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811"/>
  <workbookPr/>
  <mc:AlternateContent xmlns:mc="http://schemas.openxmlformats.org/markup-compatibility/2006">
    <mc:Choice Requires="x15">
      <x15ac:absPath xmlns:x15ac="http://schemas.microsoft.com/office/spreadsheetml/2010/11/ac" url="/Users/ryantalbot/Desktop/"/>
    </mc:Choice>
  </mc:AlternateContent>
  <xr:revisionPtr revIDLastSave="0" documentId="8_{A9D80279-1434-634A-9F20-AA357F7C083D}" xr6:coauthVersionLast="47" xr6:coauthVersionMax="47" xr10:uidLastSave="{00000000-0000-0000-0000-000000000000}"/>
  <bookViews>
    <workbookView xWindow="0" yWindow="500" windowWidth="33600" windowHeight="20500" xr2:uid="{00000000-000D-0000-FFFF-FFFF00000000}"/>
  </bookViews>
  <sheets>
    <sheet name="MSCS Info" sheetId="1" r:id="rId1"/>
    <sheet name="MSCS Module Descriptions" sheetId="2" state="hidden" r:id="rId2"/>
    <sheet name="MSCS Reviews" sheetId="3" r:id="rId3"/>
    <sheet name="MSCS OE Reviews" sheetId="4" r:id="rId4"/>
    <sheet name="MSCS Review Responses" sheetId="5" state="hidden" r:id="rId5"/>
    <sheet name="FAQs" sheetId="6" state="hidden" r:id="rId6"/>
    <sheet name="MSDS Info" sheetId="7" r:id="rId7"/>
    <sheet name="MSDS Reviews" sheetId="8" r:id="rId8"/>
    <sheet name="MSDS OE Reviews" sheetId="9" r:id="rId9"/>
    <sheet name="MEEM Info" sheetId="10" r:id="rId10"/>
    <sheet name="MEEM Reviews" sheetId="11" r:id="rId11"/>
    <sheet name="MEEM OE Reviews" sheetId="12" r:id="rId12"/>
    <sheet name="MSEE Info" sheetId="13" r:id="rId13"/>
    <sheet name="MSEE Reviews" sheetId="14" r:id="rId14"/>
    <sheet name="Outside Review Form Responses" sheetId="15" state="hidden" r:id="rId15"/>
    <sheet name="MSEE OE Reviews" sheetId="16" r:id="rId16"/>
  </sheets>
  <definedNames>
    <definedName name="Z_D79BF14D_0E82_45EB_9150_71D665DC09E0_.wvu.FilterData" localSheetId="11" hidden="1">'MEEM OE Reviews'!$B$1:$C$200</definedName>
    <definedName name="Z_D79BF14D_0E82_45EB_9150_71D665DC09E0_.wvu.FilterData" localSheetId="3" hidden="1">'MSCS OE Reviews'!$B$1:$C$200</definedName>
    <definedName name="Z_D79BF14D_0E82_45EB_9150_71D665DC09E0_.wvu.FilterData" localSheetId="8" hidden="1">'MSDS OE Reviews'!$B$1:$C$200</definedName>
    <definedName name="Z_D79BF14D_0E82_45EB_9150_71D665DC09E0_.wvu.FilterData" localSheetId="15" hidden="1">'MSEE OE Reviews'!$B$1:$C$200</definedName>
  </definedNames>
  <calcPr calcId="191029"/>
  <customWorkbookViews>
    <customWorkbookView name="Filter 1" guid="{D79BF14D-0E82-45EB-9150-71D665DC09E0}" maximized="1" windowWidth="0" windowHeight="0" activeSheetId="0"/>
  </customWorkbookViews>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229" i="16" l="1"/>
  <c r="I229" i="16"/>
  <c r="G229" i="16"/>
  <c r="J228" i="16"/>
  <c r="I228" i="16"/>
  <c r="G228" i="16"/>
  <c r="J227" i="16"/>
  <c r="I227" i="16"/>
  <c r="G227" i="16"/>
  <c r="I226" i="16"/>
  <c r="I225" i="16"/>
  <c r="I224" i="16"/>
  <c r="I223" i="16"/>
  <c r="I222" i="16"/>
  <c r="I221" i="16"/>
  <c r="I220" i="16"/>
  <c r="I219" i="16"/>
  <c r="I218" i="16"/>
  <c r="I217" i="16"/>
  <c r="I216" i="16"/>
  <c r="I215" i="16"/>
  <c r="I214" i="16"/>
  <c r="I213" i="16"/>
  <c r="I212" i="16"/>
  <c r="I211" i="16"/>
  <c r="I210" i="16"/>
  <c r="I209" i="16"/>
  <c r="I208" i="16"/>
  <c r="I207" i="16"/>
  <c r="I206" i="16"/>
  <c r="I205" i="16"/>
  <c r="I204" i="16"/>
  <c r="I203" i="16"/>
  <c r="I202" i="16"/>
  <c r="I201" i="16"/>
  <c r="I200" i="16"/>
  <c r="I199" i="16"/>
  <c r="I198" i="16"/>
  <c r="I197" i="16"/>
  <c r="I196" i="16"/>
  <c r="I195" i="16"/>
  <c r="I194" i="16"/>
  <c r="I193" i="16"/>
  <c r="I192" i="16"/>
  <c r="I191" i="16"/>
  <c r="I190" i="16"/>
  <c r="I189" i="16"/>
  <c r="I188" i="16"/>
  <c r="I187" i="16"/>
  <c r="I186" i="16"/>
  <c r="I185" i="16"/>
  <c r="I184" i="16"/>
  <c r="I183" i="16"/>
  <c r="I182" i="16"/>
  <c r="I181" i="16"/>
  <c r="I180" i="16"/>
  <c r="I179" i="16"/>
  <c r="I178" i="16"/>
  <c r="I177" i="16"/>
  <c r="I176" i="16"/>
  <c r="I175" i="16"/>
  <c r="I174" i="16"/>
  <c r="I173" i="16"/>
  <c r="I172" i="16"/>
  <c r="I171" i="16"/>
  <c r="I170" i="16"/>
  <c r="I169" i="16"/>
  <c r="I168" i="16"/>
  <c r="I167" i="16"/>
  <c r="I166" i="16"/>
  <c r="I165" i="16"/>
  <c r="I164" i="16"/>
  <c r="I163" i="16"/>
  <c r="I162" i="16"/>
  <c r="I161" i="16"/>
  <c r="I160" i="16"/>
  <c r="I159" i="16"/>
  <c r="I158" i="16"/>
  <c r="I157" i="16"/>
  <c r="I156" i="16"/>
  <c r="I155" i="16"/>
  <c r="I154" i="16"/>
  <c r="I153" i="16"/>
  <c r="I152" i="16"/>
  <c r="I151" i="16"/>
  <c r="I150" i="16"/>
  <c r="I149" i="16"/>
  <c r="I148" i="16"/>
  <c r="I147" i="16"/>
  <c r="I146" i="16"/>
  <c r="I145" i="16"/>
  <c r="I144" i="16"/>
  <c r="I143" i="16"/>
  <c r="I142" i="16"/>
  <c r="I141" i="16"/>
  <c r="I140" i="16"/>
  <c r="I139" i="16"/>
  <c r="I138" i="16"/>
  <c r="I137" i="16"/>
  <c r="I136" i="16"/>
  <c r="I135" i="16"/>
  <c r="I134" i="16"/>
  <c r="I133" i="16"/>
  <c r="I132" i="16"/>
  <c r="I131" i="16"/>
  <c r="I130" i="16"/>
  <c r="I129" i="16"/>
  <c r="I128" i="16"/>
  <c r="I127" i="16"/>
  <c r="I126" i="16"/>
  <c r="I125" i="16"/>
  <c r="I124" i="16"/>
  <c r="I123" i="16"/>
  <c r="I122" i="16"/>
  <c r="I121" i="16"/>
  <c r="I120" i="16"/>
  <c r="I119" i="16"/>
  <c r="I118" i="16"/>
  <c r="I117" i="16"/>
  <c r="I116" i="16"/>
  <c r="I115" i="16"/>
  <c r="I114" i="16"/>
  <c r="I113" i="16"/>
  <c r="I112" i="16"/>
  <c r="I111" i="16"/>
  <c r="I110" i="16"/>
  <c r="I109" i="16"/>
  <c r="I108" i="16"/>
  <c r="I107" i="16"/>
  <c r="I106" i="16"/>
  <c r="I105" i="16"/>
  <c r="I104" i="16"/>
  <c r="I103" i="16"/>
  <c r="I102" i="16"/>
  <c r="I101" i="16"/>
  <c r="I100" i="16"/>
  <c r="I99" i="16"/>
  <c r="I98" i="16"/>
  <c r="I97" i="16"/>
  <c r="I96" i="16"/>
  <c r="I95" i="16"/>
  <c r="I94" i="16"/>
  <c r="I93" i="16"/>
  <c r="I92" i="16"/>
  <c r="I91" i="16"/>
  <c r="I90" i="16"/>
  <c r="I89" i="16"/>
  <c r="I88" i="16"/>
  <c r="I87" i="16"/>
  <c r="I86" i="16"/>
  <c r="I85" i="16"/>
  <c r="I84" i="16"/>
  <c r="I83" i="16"/>
  <c r="I82" i="16"/>
  <c r="I81" i="16"/>
  <c r="I80" i="16"/>
  <c r="I79" i="16"/>
  <c r="I78" i="16"/>
  <c r="I77" i="16"/>
  <c r="I76" i="16"/>
  <c r="I75" i="16"/>
  <c r="I74" i="16"/>
  <c r="I73" i="16"/>
  <c r="I72" i="16"/>
  <c r="I71" i="16"/>
  <c r="I70" i="16"/>
  <c r="I69" i="16"/>
  <c r="I68" i="16"/>
  <c r="I67" i="16"/>
  <c r="I66" i="16"/>
  <c r="I65" i="16"/>
  <c r="I64" i="16"/>
  <c r="I63" i="16"/>
  <c r="I62" i="16"/>
  <c r="I61" i="16"/>
  <c r="I60" i="16"/>
  <c r="I59" i="16"/>
  <c r="I58" i="16"/>
  <c r="I57" i="16"/>
  <c r="I56" i="16"/>
  <c r="I55" i="16"/>
  <c r="I54" i="16"/>
  <c r="I53" i="16"/>
  <c r="I52" i="16"/>
  <c r="I51" i="16"/>
  <c r="I50" i="16"/>
  <c r="I49" i="16"/>
  <c r="I48" i="16"/>
  <c r="I47" i="16"/>
  <c r="I46" i="16"/>
  <c r="I45" i="16"/>
  <c r="I44" i="16"/>
  <c r="I43" i="16"/>
  <c r="I42" i="16"/>
  <c r="I41" i="16"/>
  <c r="I40" i="16"/>
  <c r="I39" i="16"/>
  <c r="I38" i="16"/>
  <c r="I37" i="16"/>
  <c r="I36" i="16"/>
  <c r="I35" i="16"/>
  <c r="I34" i="16"/>
  <c r="I33" i="16"/>
  <c r="I32" i="16"/>
  <c r="I31" i="16"/>
  <c r="I30" i="16"/>
  <c r="J29" i="16"/>
  <c r="I29" i="16"/>
  <c r="H29" i="16"/>
  <c r="G29" i="16"/>
  <c r="J28" i="16"/>
  <c r="I28" i="16"/>
  <c r="H28" i="16"/>
  <c r="G28" i="16"/>
  <c r="J27" i="16"/>
  <c r="I27" i="16"/>
  <c r="H27" i="16"/>
  <c r="G27" i="16"/>
  <c r="J26" i="16"/>
  <c r="I26" i="16"/>
  <c r="H26" i="16"/>
  <c r="G26" i="16"/>
  <c r="J25" i="16"/>
  <c r="I25" i="16"/>
  <c r="H25" i="16"/>
  <c r="G25" i="16"/>
  <c r="J24" i="16"/>
  <c r="I24" i="16"/>
  <c r="H24" i="16"/>
  <c r="G24" i="16"/>
  <c r="J23" i="16"/>
  <c r="I23" i="16"/>
  <c r="H23" i="16"/>
  <c r="G23" i="16"/>
  <c r="J22" i="16"/>
  <c r="I22" i="16"/>
  <c r="H22" i="16"/>
  <c r="G22" i="16"/>
  <c r="J21" i="16"/>
  <c r="I21" i="16"/>
  <c r="H21" i="16"/>
  <c r="G21" i="16"/>
  <c r="J20" i="16"/>
  <c r="I20" i="16"/>
  <c r="H20" i="16"/>
  <c r="G20" i="16"/>
  <c r="J19" i="16"/>
  <c r="I19" i="16"/>
  <c r="H19" i="16"/>
  <c r="G19" i="16"/>
  <c r="J18" i="16"/>
  <c r="I18" i="16"/>
  <c r="H18" i="16"/>
  <c r="G18" i="16"/>
  <c r="J17" i="16"/>
  <c r="I17" i="16"/>
  <c r="H17" i="16"/>
  <c r="G17" i="16"/>
  <c r="J16" i="16"/>
  <c r="I16" i="16"/>
  <c r="H16" i="16"/>
  <c r="G16" i="16"/>
  <c r="J15" i="16"/>
  <c r="I15" i="16"/>
  <c r="H15" i="16"/>
  <c r="G15" i="16"/>
  <c r="J14" i="16"/>
  <c r="I14" i="16"/>
  <c r="H14" i="16"/>
  <c r="G14" i="16"/>
  <c r="J13" i="16"/>
  <c r="I13" i="16"/>
  <c r="H13" i="16"/>
  <c r="G13" i="16"/>
  <c r="J12" i="16"/>
  <c r="I12" i="16"/>
  <c r="H12" i="16"/>
  <c r="G12" i="16"/>
  <c r="J11" i="16"/>
  <c r="I11" i="16"/>
  <c r="H11" i="16"/>
  <c r="G11" i="16"/>
  <c r="J10" i="16"/>
  <c r="I10" i="16"/>
  <c r="H10" i="16"/>
  <c r="G10" i="16"/>
  <c r="J9" i="16"/>
  <c r="I9" i="16"/>
  <c r="H9" i="16"/>
  <c r="G9" i="16"/>
  <c r="J8" i="16"/>
  <c r="I8" i="16"/>
  <c r="H8" i="16"/>
  <c r="G8" i="16"/>
  <c r="J7" i="16"/>
  <c r="I7" i="16"/>
  <c r="H7" i="16"/>
  <c r="G7" i="16"/>
  <c r="J6" i="16"/>
  <c r="I6" i="16"/>
  <c r="H6" i="16"/>
  <c r="G6" i="16"/>
  <c r="J5" i="16"/>
  <c r="I5" i="16"/>
  <c r="H5" i="16"/>
  <c r="G5" i="16"/>
  <c r="J4" i="16"/>
  <c r="I4" i="16"/>
  <c r="H4" i="16"/>
  <c r="G4" i="16"/>
  <c r="J3" i="16"/>
  <c r="I3" i="16"/>
  <c r="H3" i="16"/>
  <c r="G3" i="16"/>
  <c r="J2" i="16"/>
  <c r="I2" i="16"/>
  <c r="H2" i="16"/>
  <c r="G2" i="16"/>
  <c r="J1" i="16"/>
  <c r="I1" i="16"/>
  <c r="H1" i="16"/>
  <c r="G1" i="16"/>
  <c r="H66" i="14"/>
  <c r="G66" i="14"/>
  <c r="F66" i="14"/>
  <c r="E66" i="14"/>
  <c r="D66" i="14"/>
  <c r="C66" i="14"/>
  <c r="H65" i="14"/>
  <c r="G65" i="14"/>
  <c r="F65" i="14"/>
  <c r="E65" i="14"/>
  <c r="D65" i="14"/>
  <c r="C65" i="14"/>
  <c r="H64" i="14"/>
  <c r="G64" i="14"/>
  <c r="F64" i="14"/>
  <c r="E64" i="14"/>
  <c r="D64" i="14"/>
  <c r="C64" i="14"/>
  <c r="H63" i="14"/>
  <c r="G63" i="14"/>
  <c r="F63" i="14"/>
  <c r="E63" i="14"/>
  <c r="D63" i="14"/>
  <c r="C63" i="14"/>
  <c r="H62" i="14"/>
  <c r="G62" i="14"/>
  <c r="F62" i="14"/>
  <c r="E62" i="14"/>
  <c r="D62" i="14"/>
  <c r="C62" i="14"/>
  <c r="H61" i="14"/>
  <c r="G61" i="14"/>
  <c r="F61" i="14"/>
  <c r="E61" i="14"/>
  <c r="D61" i="14"/>
  <c r="C61" i="14"/>
  <c r="H60" i="14"/>
  <c r="G60" i="14"/>
  <c r="F60" i="14"/>
  <c r="E60" i="14"/>
  <c r="D60" i="14"/>
  <c r="C60" i="14"/>
  <c r="H59" i="14"/>
  <c r="G59" i="14"/>
  <c r="F59" i="14"/>
  <c r="E59" i="14"/>
  <c r="D59" i="14"/>
  <c r="C59" i="14"/>
  <c r="H58" i="14"/>
  <c r="G58" i="14"/>
  <c r="F58" i="14"/>
  <c r="E58" i="14"/>
  <c r="D58" i="14"/>
  <c r="C58" i="14"/>
  <c r="H57" i="14"/>
  <c r="G57" i="14"/>
  <c r="F57" i="14"/>
  <c r="E57" i="14"/>
  <c r="D57" i="14"/>
  <c r="C57" i="14"/>
  <c r="H56" i="14"/>
  <c r="G56" i="14"/>
  <c r="F56" i="14"/>
  <c r="E56" i="14"/>
  <c r="D56" i="14"/>
  <c r="C56" i="14"/>
  <c r="H55" i="14"/>
  <c r="G55" i="14"/>
  <c r="F55" i="14"/>
  <c r="E55" i="14"/>
  <c r="D55" i="14"/>
  <c r="C55" i="14"/>
  <c r="H54" i="14"/>
  <c r="G54" i="14"/>
  <c r="F54" i="14"/>
  <c r="E54" i="14"/>
  <c r="D54" i="14"/>
  <c r="C54" i="14"/>
  <c r="H53" i="14"/>
  <c r="G53" i="14"/>
  <c r="F53" i="14"/>
  <c r="E53" i="14"/>
  <c r="D53" i="14"/>
  <c r="C53" i="14"/>
  <c r="H52" i="14"/>
  <c r="G52" i="14"/>
  <c r="F52" i="14"/>
  <c r="E52" i="14"/>
  <c r="D52" i="14"/>
  <c r="C52" i="14"/>
  <c r="H51" i="14"/>
  <c r="G51" i="14"/>
  <c r="F51" i="14"/>
  <c r="E51" i="14"/>
  <c r="D51" i="14"/>
  <c r="C51" i="14"/>
  <c r="H50" i="14"/>
  <c r="G50" i="14"/>
  <c r="F50" i="14"/>
  <c r="E50" i="14"/>
  <c r="D50" i="14"/>
  <c r="C50" i="14"/>
  <c r="H49" i="14"/>
  <c r="G49" i="14"/>
  <c r="F49" i="14"/>
  <c r="E49" i="14"/>
  <c r="D49" i="14"/>
  <c r="C49" i="14"/>
  <c r="H48" i="14"/>
  <c r="G48" i="14"/>
  <c r="F48" i="14"/>
  <c r="E48" i="14"/>
  <c r="D48" i="14"/>
  <c r="C48" i="14"/>
  <c r="H47" i="14"/>
  <c r="G47" i="14"/>
  <c r="F47" i="14"/>
  <c r="E47" i="14"/>
  <c r="D47" i="14"/>
  <c r="C47" i="14"/>
  <c r="H46" i="14"/>
  <c r="G46" i="14"/>
  <c r="F46" i="14"/>
  <c r="E46" i="14"/>
  <c r="D46" i="14"/>
  <c r="C46" i="14"/>
  <c r="H45" i="14"/>
  <c r="G45" i="14"/>
  <c r="F45" i="14"/>
  <c r="E45" i="14"/>
  <c r="D45" i="14"/>
  <c r="C45" i="14"/>
  <c r="H44" i="14"/>
  <c r="G44" i="14"/>
  <c r="F44" i="14"/>
  <c r="E44" i="14"/>
  <c r="D44" i="14"/>
  <c r="C44" i="14"/>
  <c r="H43" i="14"/>
  <c r="G43" i="14"/>
  <c r="F43" i="14"/>
  <c r="E43" i="14"/>
  <c r="D43" i="14"/>
  <c r="C43" i="14"/>
  <c r="H42" i="14"/>
  <c r="G42" i="14"/>
  <c r="F42" i="14"/>
  <c r="E42" i="14"/>
  <c r="D42" i="14"/>
  <c r="C42" i="14"/>
  <c r="H41" i="14"/>
  <c r="G41" i="14"/>
  <c r="F41" i="14"/>
  <c r="E41" i="14"/>
  <c r="D41" i="14"/>
  <c r="C41" i="14"/>
  <c r="H40" i="14"/>
  <c r="G40" i="14"/>
  <c r="F40" i="14"/>
  <c r="E40" i="14"/>
  <c r="D40" i="14"/>
  <c r="C40" i="14"/>
  <c r="H39" i="14"/>
  <c r="G39" i="14"/>
  <c r="F39" i="14"/>
  <c r="E39" i="14"/>
  <c r="D39" i="14"/>
  <c r="C39" i="14"/>
  <c r="H38" i="14"/>
  <c r="G38" i="14"/>
  <c r="F38" i="14"/>
  <c r="E38" i="14"/>
  <c r="D38" i="14"/>
  <c r="C38" i="14"/>
  <c r="H37" i="14"/>
  <c r="G37" i="14"/>
  <c r="F37" i="14"/>
  <c r="E37" i="14"/>
  <c r="D37" i="14"/>
  <c r="C37" i="14"/>
  <c r="H36" i="14"/>
  <c r="G36" i="14"/>
  <c r="F36" i="14"/>
  <c r="E36" i="14"/>
  <c r="D36" i="14"/>
  <c r="C36" i="14"/>
  <c r="H35" i="14"/>
  <c r="G35" i="14"/>
  <c r="F35" i="14"/>
  <c r="E35" i="14"/>
  <c r="D35" i="14"/>
  <c r="C35" i="14"/>
  <c r="H34" i="14"/>
  <c r="G34" i="14"/>
  <c r="F34" i="14"/>
  <c r="E34" i="14"/>
  <c r="D34" i="14"/>
  <c r="C34" i="14"/>
  <c r="H33" i="14"/>
  <c r="G33" i="14"/>
  <c r="F33" i="14"/>
  <c r="E33" i="14"/>
  <c r="D33" i="14"/>
  <c r="C33" i="14"/>
  <c r="H32" i="14"/>
  <c r="G32" i="14"/>
  <c r="F32" i="14"/>
  <c r="E32" i="14"/>
  <c r="D32" i="14"/>
  <c r="C32" i="14"/>
  <c r="H31" i="14"/>
  <c r="G31" i="14"/>
  <c r="F31" i="14"/>
  <c r="E31" i="14"/>
  <c r="D31" i="14"/>
  <c r="C31" i="14"/>
  <c r="G30" i="14"/>
  <c r="F30" i="14"/>
  <c r="E30" i="14"/>
  <c r="D30" i="14"/>
  <c r="C30" i="14"/>
  <c r="H29" i="14"/>
  <c r="G29" i="14"/>
  <c r="F29" i="14"/>
  <c r="E29" i="14"/>
  <c r="D29" i="14"/>
  <c r="C29" i="14"/>
  <c r="G28" i="14"/>
  <c r="F28" i="14"/>
  <c r="E28" i="14"/>
  <c r="D28" i="14"/>
  <c r="C28" i="14"/>
  <c r="G27" i="14"/>
  <c r="F27" i="14"/>
  <c r="E27" i="14"/>
  <c r="D27" i="14"/>
  <c r="C27" i="14"/>
  <c r="H26" i="14"/>
  <c r="G26" i="14"/>
  <c r="F26" i="14"/>
  <c r="E26" i="14"/>
  <c r="D26" i="14"/>
  <c r="C26" i="14"/>
  <c r="G25" i="14"/>
  <c r="F25" i="14"/>
  <c r="E25" i="14"/>
  <c r="D25" i="14"/>
  <c r="C25" i="14"/>
  <c r="G24" i="14"/>
  <c r="F24" i="14"/>
  <c r="E24" i="14"/>
  <c r="D24" i="14"/>
  <c r="C24" i="14"/>
  <c r="G23" i="14"/>
  <c r="F23" i="14"/>
  <c r="E23" i="14"/>
  <c r="D23" i="14"/>
  <c r="C23" i="14"/>
  <c r="G22" i="14"/>
  <c r="F22" i="14"/>
  <c r="E22" i="14"/>
  <c r="D22" i="14"/>
  <c r="C22" i="14"/>
  <c r="G21" i="14"/>
  <c r="F21" i="14"/>
  <c r="E21" i="14"/>
  <c r="D21" i="14"/>
  <c r="C21" i="14"/>
  <c r="G20" i="14"/>
  <c r="F20" i="14"/>
  <c r="E20" i="14"/>
  <c r="D20" i="14"/>
  <c r="C20" i="14"/>
  <c r="G19" i="14"/>
  <c r="F19" i="14"/>
  <c r="E19" i="14"/>
  <c r="D19" i="14"/>
  <c r="C19" i="14"/>
  <c r="G18" i="14"/>
  <c r="F18" i="14"/>
  <c r="E18" i="14"/>
  <c r="D18" i="14"/>
  <c r="C18" i="14"/>
  <c r="H17" i="14"/>
  <c r="G17" i="14"/>
  <c r="F17" i="14"/>
  <c r="E17" i="14"/>
  <c r="D17" i="14"/>
  <c r="C17" i="14"/>
  <c r="G16" i="14"/>
  <c r="F16" i="14"/>
  <c r="E16" i="14"/>
  <c r="D16" i="14"/>
  <c r="C16" i="14"/>
  <c r="G15" i="14"/>
  <c r="F15" i="14"/>
  <c r="E15" i="14"/>
  <c r="D15" i="14"/>
  <c r="C15" i="14"/>
  <c r="H14" i="14"/>
  <c r="G14" i="14"/>
  <c r="F14" i="14"/>
  <c r="E14" i="14"/>
  <c r="D14" i="14"/>
  <c r="C14" i="14"/>
  <c r="H13" i="14"/>
  <c r="G13" i="14"/>
  <c r="F13" i="14"/>
  <c r="E13" i="14"/>
  <c r="D13" i="14"/>
  <c r="C13" i="14"/>
  <c r="H12" i="14"/>
  <c r="G12" i="14"/>
  <c r="F12" i="14"/>
  <c r="E12" i="14"/>
  <c r="D12" i="14"/>
  <c r="C12" i="14"/>
  <c r="H11" i="14"/>
  <c r="G11" i="14"/>
  <c r="F11" i="14"/>
  <c r="E11" i="14"/>
  <c r="D11" i="14"/>
  <c r="C11" i="14"/>
  <c r="H10" i="14"/>
  <c r="G10" i="14"/>
  <c r="F10" i="14"/>
  <c r="E10" i="14"/>
  <c r="D10" i="14"/>
  <c r="C10" i="14"/>
  <c r="G9" i="14"/>
  <c r="F9" i="14"/>
  <c r="E9" i="14"/>
  <c r="D9" i="14"/>
  <c r="C9" i="14"/>
  <c r="G8" i="14"/>
  <c r="F8" i="14"/>
  <c r="E8" i="14"/>
  <c r="D8" i="14"/>
  <c r="C8" i="14"/>
  <c r="G7" i="14"/>
  <c r="F7" i="14"/>
  <c r="E7" i="14"/>
  <c r="D7" i="14"/>
  <c r="C7" i="14"/>
  <c r="G6" i="14"/>
  <c r="F6" i="14"/>
  <c r="E6" i="14"/>
  <c r="D6" i="14"/>
  <c r="C6" i="14"/>
  <c r="G5" i="14"/>
  <c r="F5" i="14"/>
  <c r="E5" i="14"/>
  <c r="D5" i="14"/>
  <c r="C5" i="14"/>
  <c r="G4" i="14"/>
  <c r="F4" i="14"/>
  <c r="E4" i="14"/>
  <c r="D4" i="14"/>
  <c r="C4" i="14"/>
  <c r="G3" i="14"/>
  <c r="F3" i="14"/>
  <c r="E3" i="14"/>
  <c r="D3" i="14"/>
  <c r="C3" i="14"/>
  <c r="J229" i="12"/>
  <c r="I229" i="12"/>
  <c r="G229" i="12"/>
  <c r="J228" i="12"/>
  <c r="I228" i="12"/>
  <c r="G228" i="12"/>
  <c r="J227" i="12"/>
  <c r="I227" i="12"/>
  <c r="G227" i="12"/>
  <c r="J226" i="12"/>
  <c r="I226" i="12"/>
  <c r="G226" i="12"/>
  <c r="J225" i="12"/>
  <c r="I225" i="12"/>
  <c r="G225" i="12"/>
  <c r="J224" i="12"/>
  <c r="I224" i="12"/>
  <c r="G224" i="12"/>
  <c r="J223" i="12"/>
  <c r="I223" i="12"/>
  <c r="G223" i="12"/>
  <c r="J222" i="12"/>
  <c r="I222" i="12"/>
  <c r="G222" i="12"/>
  <c r="J221" i="12"/>
  <c r="I221" i="12"/>
  <c r="G221" i="12"/>
  <c r="J220" i="12"/>
  <c r="I220" i="12"/>
  <c r="G220" i="12"/>
  <c r="J219" i="12"/>
  <c r="I219" i="12"/>
  <c r="G219" i="12"/>
  <c r="I218" i="12"/>
  <c r="I217" i="12"/>
  <c r="I216" i="12"/>
  <c r="I215" i="12"/>
  <c r="I214" i="12"/>
  <c r="I213" i="12"/>
  <c r="I212" i="12"/>
  <c r="I211" i="12"/>
  <c r="I210" i="12"/>
  <c r="I209" i="12"/>
  <c r="I208" i="12"/>
  <c r="I207" i="12"/>
  <c r="I206" i="12"/>
  <c r="I205" i="12"/>
  <c r="I204" i="12"/>
  <c r="I203" i="12"/>
  <c r="I202" i="12"/>
  <c r="I201" i="12"/>
  <c r="I200" i="12"/>
  <c r="I199" i="12"/>
  <c r="I198" i="12"/>
  <c r="I197" i="12"/>
  <c r="I196" i="12"/>
  <c r="I195" i="12"/>
  <c r="I194" i="12"/>
  <c r="I193" i="12"/>
  <c r="I192" i="12"/>
  <c r="I191" i="12"/>
  <c r="I190" i="12"/>
  <c r="I189" i="12"/>
  <c r="I188" i="12"/>
  <c r="I187" i="12"/>
  <c r="I186" i="12"/>
  <c r="I185" i="12"/>
  <c r="I184" i="12"/>
  <c r="I183" i="12"/>
  <c r="I182" i="12"/>
  <c r="I181" i="12"/>
  <c r="I180" i="12"/>
  <c r="I179" i="12"/>
  <c r="I178" i="12"/>
  <c r="I177" i="12"/>
  <c r="I176" i="12"/>
  <c r="I175" i="12"/>
  <c r="I174" i="12"/>
  <c r="I173" i="12"/>
  <c r="I172" i="12"/>
  <c r="I171" i="12"/>
  <c r="I170" i="12"/>
  <c r="I169" i="12"/>
  <c r="I168" i="12"/>
  <c r="I167" i="12"/>
  <c r="I166" i="12"/>
  <c r="I165" i="12"/>
  <c r="I164" i="12"/>
  <c r="I163" i="12"/>
  <c r="I162" i="12"/>
  <c r="I161" i="12"/>
  <c r="I160" i="12"/>
  <c r="I159" i="12"/>
  <c r="I158" i="12"/>
  <c r="I157" i="12"/>
  <c r="I156" i="12"/>
  <c r="I155" i="12"/>
  <c r="I154" i="12"/>
  <c r="I153" i="12"/>
  <c r="I152" i="12"/>
  <c r="I151" i="12"/>
  <c r="I150" i="12"/>
  <c r="I149" i="12"/>
  <c r="I148" i="12"/>
  <c r="I147" i="12"/>
  <c r="I146" i="12"/>
  <c r="I145" i="12"/>
  <c r="I144" i="12"/>
  <c r="I143" i="12"/>
  <c r="I142" i="12"/>
  <c r="I141" i="12"/>
  <c r="I140" i="12"/>
  <c r="I139" i="12"/>
  <c r="I138" i="12"/>
  <c r="I137" i="12"/>
  <c r="I136" i="12"/>
  <c r="I135" i="12"/>
  <c r="I134" i="12"/>
  <c r="I133" i="12"/>
  <c r="I132" i="12"/>
  <c r="I131" i="12"/>
  <c r="I130" i="12"/>
  <c r="I129" i="12"/>
  <c r="I128" i="12"/>
  <c r="I127" i="12"/>
  <c r="I126" i="12"/>
  <c r="I125" i="12"/>
  <c r="I124" i="12"/>
  <c r="I123" i="12"/>
  <c r="I122" i="12"/>
  <c r="I121" i="12"/>
  <c r="I120" i="12"/>
  <c r="I119" i="12"/>
  <c r="I118" i="12"/>
  <c r="I117" i="12"/>
  <c r="I116" i="12"/>
  <c r="I115" i="12"/>
  <c r="I114" i="12"/>
  <c r="I113" i="12"/>
  <c r="I112" i="12"/>
  <c r="I111" i="12"/>
  <c r="I110" i="12"/>
  <c r="I109" i="12"/>
  <c r="I108" i="12"/>
  <c r="I107" i="12"/>
  <c r="I106" i="12"/>
  <c r="I105" i="12"/>
  <c r="I104" i="12"/>
  <c r="I103" i="12"/>
  <c r="I102" i="12"/>
  <c r="I101" i="12"/>
  <c r="I100" i="12"/>
  <c r="I99" i="12"/>
  <c r="I98" i="12"/>
  <c r="I97" i="12"/>
  <c r="I96" i="12"/>
  <c r="I95" i="12"/>
  <c r="I94" i="12"/>
  <c r="I93" i="12"/>
  <c r="I92" i="12"/>
  <c r="I91" i="12"/>
  <c r="I90" i="12"/>
  <c r="I89" i="12"/>
  <c r="I88" i="12"/>
  <c r="I87" i="12"/>
  <c r="I86" i="12"/>
  <c r="I85" i="12"/>
  <c r="I84" i="12"/>
  <c r="I83" i="12"/>
  <c r="I82" i="12"/>
  <c r="I81" i="12"/>
  <c r="I80" i="12"/>
  <c r="I79" i="12"/>
  <c r="I78" i="12"/>
  <c r="I77" i="12"/>
  <c r="I76" i="12"/>
  <c r="I75" i="12"/>
  <c r="I74" i="12"/>
  <c r="I73" i="12"/>
  <c r="I72" i="12"/>
  <c r="I71" i="12"/>
  <c r="I70" i="12"/>
  <c r="I69" i="12"/>
  <c r="I68" i="12"/>
  <c r="I67" i="12"/>
  <c r="I66" i="12"/>
  <c r="I65" i="12"/>
  <c r="I64" i="12"/>
  <c r="I63" i="12"/>
  <c r="I62" i="12"/>
  <c r="I61" i="12"/>
  <c r="I60" i="12"/>
  <c r="I59" i="12"/>
  <c r="I58" i="12"/>
  <c r="I57" i="12"/>
  <c r="I56" i="12"/>
  <c r="I55" i="12"/>
  <c r="I54" i="12"/>
  <c r="I53" i="12"/>
  <c r="I52" i="12"/>
  <c r="I51" i="12"/>
  <c r="I50" i="12"/>
  <c r="I49" i="12"/>
  <c r="I48" i="12"/>
  <c r="I47" i="12"/>
  <c r="I46" i="12"/>
  <c r="I45" i="12"/>
  <c r="I44" i="12"/>
  <c r="I43" i="12"/>
  <c r="I42" i="12"/>
  <c r="I41" i="12"/>
  <c r="I40" i="12"/>
  <c r="I39" i="12"/>
  <c r="I38" i="12"/>
  <c r="I37" i="12"/>
  <c r="I36" i="12"/>
  <c r="I35" i="12"/>
  <c r="I34" i="12"/>
  <c r="I33" i="12"/>
  <c r="J32" i="12"/>
  <c r="I32" i="12"/>
  <c r="H32" i="12"/>
  <c r="G32" i="12"/>
  <c r="J31" i="12"/>
  <c r="I31" i="12"/>
  <c r="H31" i="12"/>
  <c r="G31" i="12"/>
  <c r="J30" i="12"/>
  <c r="I30" i="12"/>
  <c r="H30" i="12"/>
  <c r="G30" i="12"/>
  <c r="J29" i="12"/>
  <c r="I29" i="12"/>
  <c r="H29" i="12"/>
  <c r="G29" i="12"/>
  <c r="J28" i="12"/>
  <c r="I28" i="12"/>
  <c r="H28" i="12"/>
  <c r="G28" i="12"/>
  <c r="J27" i="12"/>
  <c r="I27" i="12"/>
  <c r="H27" i="12"/>
  <c r="G27" i="12"/>
  <c r="J26" i="12"/>
  <c r="I26" i="12"/>
  <c r="H26" i="12"/>
  <c r="G26" i="12"/>
  <c r="J25" i="12"/>
  <c r="I25" i="12"/>
  <c r="H25" i="12"/>
  <c r="G25" i="12"/>
  <c r="J24" i="12"/>
  <c r="I24" i="12"/>
  <c r="H24" i="12"/>
  <c r="G24" i="12"/>
  <c r="J23" i="12"/>
  <c r="I23" i="12"/>
  <c r="H23" i="12"/>
  <c r="G23" i="12"/>
  <c r="J22" i="12"/>
  <c r="I22" i="12"/>
  <c r="H22" i="12"/>
  <c r="G22" i="12"/>
  <c r="J21" i="12"/>
  <c r="I21" i="12"/>
  <c r="H21" i="12"/>
  <c r="G21" i="12"/>
  <c r="J20" i="12"/>
  <c r="I20" i="12"/>
  <c r="H20" i="12"/>
  <c r="G20" i="12"/>
  <c r="J19" i="12"/>
  <c r="I19" i="12"/>
  <c r="H19" i="12"/>
  <c r="G19" i="12"/>
  <c r="J18" i="12"/>
  <c r="I18" i="12"/>
  <c r="H18" i="12"/>
  <c r="G18" i="12"/>
  <c r="J17" i="12"/>
  <c r="I17" i="12"/>
  <c r="H17" i="12"/>
  <c r="G17" i="12"/>
  <c r="J16" i="12"/>
  <c r="I16" i="12"/>
  <c r="H16" i="12"/>
  <c r="G16" i="12"/>
  <c r="J15" i="12"/>
  <c r="I15" i="12"/>
  <c r="H15" i="12"/>
  <c r="G15" i="12"/>
  <c r="J14" i="12"/>
  <c r="I14" i="12"/>
  <c r="H14" i="12"/>
  <c r="G14" i="12"/>
  <c r="J13" i="12"/>
  <c r="I13" i="12"/>
  <c r="H13" i="12"/>
  <c r="G13" i="12"/>
  <c r="J12" i="12"/>
  <c r="I12" i="12"/>
  <c r="H12" i="12"/>
  <c r="G12" i="12"/>
  <c r="J11" i="12"/>
  <c r="I11" i="12"/>
  <c r="H11" i="12"/>
  <c r="G11" i="12"/>
  <c r="J10" i="12"/>
  <c r="I10" i="12"/>
  <c r="H10" i="12"/>
  <c r="G10" i="12"/>
  <c r="J9" i="12"/>
  <c r="I9" i="12"/>
  <c r="H9" i="12"/>
  <c r="G9" i="12"/>
  <c r="J8" i="12"/>
  <c r="I8" i="12"/>
  <c r="H8" i="12"/>
  <c r="G8" i="12"/>
  <c r="J7" i="12"/>
  <c r="I7" i="12"/>
  <c r="H7" i="12"/>
  <c r="G7" i="12"/>
  <c r="J6" i="12"/>
  <c r="I6" i="12"/>
  <c r="H6" i="12"/>
  <c r="G6" i="12"/>
  <c r="J5" i="12"/>
  <c r="I5" i="12"/>
  <c r="H5" i="12"/>
  <c r="G5" i="12"/>
  <c r="J4" i="12"/>
  <c r="I4" i="12"/>
  <c r="H4" i="12"/>
  <c r="G4" i="12"/>
  <c r="J3" i="12"/>
  <c r="I3" i="12"/>
  <c r="H3" i="12"/>
  <c r="G3" i="12"/>
  <c r="J2" i="12"/>
  <c r="I2" i="12"/>
  <c r="H2" i="12"/>
  <c r="G2" i="12"/>
  <c r="J1" i="12"/>
  <c r="I1" i="12"/>
  <c r="H1" i="12"/>
  <c r="G1" i="12"/>
  <c r="H47" i="11"/>
  <c r="G47" i="11"/>
  <c r="F47" i="11"/>
  <c r="E47" i="11"/>
  <c r="D47" i="11"/>
  <c r="C47" i="11"/>
  <c r="H46" i="11"/>
  <c r="G46" i="11"/>
  <c r="F46" i="11"/>
  <c r="E46" i="11"/>
  <c r="D46" i="11"/>
  <c r="C46" i="11"/>
  <c r="H45" i="11"/>
  <c r="G45" i="11"/>
  <c r="F45" i="11"/>
  <c r="E45" i="11"/>
  <c r="D45" i="11"/>
  <c r="C45" i="11"/>
  <c r="H44" i="11"/>
  <c r="G44" i="11"/>
  <c r="F44" i="11"/>
  <c r="E44" i="11"/>
  <c r="D44" i="11"/>
  <c r="C44" i="11"/>
  <c r="H43" i="11"/>
  <c r="G43" i="11"/>
  <c r="F43" i="11"/>
  <c r="E43" i="11"/>
  <c r="D43" i="11"/>
  <c r="C43" i="11"/>
  <c r="H42" i="11"/>
  <c r="G42" i="11"/>
  <c r="F42" i="11"/>
  <c r="E42" i="11"/>
  <c r="D42" i="11"/>
  <c r="C42" i="11"/>
  <c r="H41" i="11"/>
  <c r="G41" i="11"/>
  <c r="F41" i="11"/>
  <c r="E41" i="11"/>
  <c r="D41" i="11"/>
  <c r="C41" i="11"/>
  <c r="H40" i="11"/>
  <c r="G40" i="11"/>
  <c r="F40" i="11"/>
  <c r="E40" i="11"/>
  <c r="D40" i="11"/>
  <c r="C40" i="11"/>
  <c r="H39" i="11"/>
  <c r="G39" i="11"/>
  <c r="F39" i="11"/>
  <c r="E39" i="11"/>
  <c r="D39" i="11"/>
  <c r="C39" i="11"/>
  <c r="H38" i="11"/>
  <c r="G38" i="11"/>
  <c r="F38" i="11"/>
  <c r="E38" i="11"/>
  <c r="D38" i="11"/>
  <c r="C38" i="11"/>
  <c r="H37" i="11"/>
  <c r="G37" i="11"/>
  <c r="F37" i="11"/>
  <c r="E37" i="11"/>
  <c r="D37" i="11"/>
  <c r="C37" i="11"/>
  <c r="H36" i="11"/>
  <c r="G36" i="11"/>
  <c r="F36" i="11"/>
  <c r="E36" i="11"/>
  <c r="D36" i="11"/>
  <c r="C36" i="11"/>
  <c r="H35" i="11"/>
  <c r="G35" i="11"/>
  <c r="F35" i="11"/>
  <c r="E35" i="11"/>
  <c r="D35" i="11"/>
  <c r="C35" i="11"/>
  <c r="H34" i="11"/>
  <c r="G34" i="11"/>
  <c r="F34" i="11"/>
  <c r="E34" i="11"/>
  <c r="D34" i="11"/>
  <c r="C34" i="11"/>
  <c r="H33" i="11"/>
  <c r="G33" i="11"/>
  <c r="F33" i="11"/>
  <c r="E33" i="11"/>
  <c r="D33" i="11"/>
  <c r="C33" i="11"/>
  <c r="H32" i="11"/>
  <c r="G32" i="11"/>
  <c r="F32" i="11"/>
  <c r="E32" i="11"/>
  <c r="D32" i="11"/>
  <c r="C32" i="11"/>
  <c r="H31" i="11"/>
  <c r="G31" i="11"/>
  <c r="F31" i="11"/>
  <c r="E31" i="11"/>
  <c r="D31" i="11"/>
  <c r="C31" i="11"/>
  <c r="H30" i="11"/>
  <c r="G30" i="11"/>
  <c r="F30" i="11"/>
  <c r="E30" i="11"/>
  <c r="D30" i="11"/>
  <c r="C30" i="11"/>
  <c r="H29" i="11"/>
  <c r="G29" i="11"/>
  <c r="F29" i="11"/>
  <c r="E29" i="11"/>
  <c r="D29" i="11"/>
  <c r="C29" i="11"/>
  <c r="H28" i="11"/>
  <c r="G28" i="11"/>
  <c r="F28" i="11"/>
  <c r="E28" i="11"/>
  <c r="D28" i="11"/>
  <c r="C28" i="11"/>
  <c r="H27" i="11"/>
  <c r="G27" i="11"/>
  <c r="F27" i="11"/>
  <c r="E27" i="11"/>
  <c r="D27" i="11"/>
  <c r="C27" i="11"/>
  <c r="H26" i="11"/>
  <c r="G26" i="11"/>
  <c r="F26" i="11"/>
  <c r="E26" i="11"/>
  <c r="D26" i="11"/>
  <c r="C26" i="11"/>
  <c r="H25" i="11"/>
  <c r="G25" i="11"/>
  <c r="F25" i="11"/>
  <c r="E25" i="11"/>
  <c r="D25" i="11"/>
  <c r="C25" i="11"/>
  <c r="H24" i="11"/>
  <c r="G24" i="11"/>
  <c r="F24" i="11"/>
  <c r="E24" i="11"/>
  <c r="D24" i="11"/>
  <c r="C24" i="11"/>
  <c r="H23" i="11"/>
  <c r="G23" i="11"/>
  <c r="F23" i="11"/>
  <c r="E23" i="11"/>
  <c r="D23" i="11"/>
  <c r="C23" i="11"/>
  <c r="H22" i="11"/>
  <c r="G22" i="11"/>
  <c r="F22" i="11"/>
  <c r="E22" i="11"/>
  <c r="D22" i="11"/>
  <c r="C22" i="11"/>
  <c r="H21" i="11"/>
  <c r="G21" i="11"/>
  <c r="F21" i="11"/>
  <c r="E21" i="11"/>
  <c r="D21" i="11"/>
  <c r="C21" i="11"/>
  <c r="H20" i="11"/>
  <c r="G20" i="11"/>
  <c r="F20" i="11"/>
  <c r="E20" i="11"/>
  <c r="D20" i="11"/>
  <c r="C20" i="11"/>
  <c r="H19" i="11"/>
  <c r="G19" i="11"/>
  <c r="F19" i="11"/>
  <c r="E19" i="11"/>
  <c r="D19" i="11"/>
  <c r="C19" i="11"/>
  <c r="H18" i="11"/>
  <c r="G18" i="11"/>
  <c r="F18" i="11"/>
  <c r="E18" i="11"/>
  <c r="D18" i="11"/>
  <c r="C18" i="11"/>
  <c r="H17" i="11"/>
  <c r="G17" i="11"/>
  <c r="F17" i="11"/>
  <c r="E17" i="11"/>
  <c r="D17" i="11"/>
  <c r="C17" i="11"/>
  <c r="H16" i="11"/>
  <c r="G16" i="11"/>
  <c r="F16" i="11"/>
  <c r="E16" i="11"/>
  <c r="D16" i="11"/>
  <c r="C16" i="11"/>
  <c r="H15" i="11"/>
  <c r="G15" i="11"/>
  <c r="F15" i="11"/>
  <c r="E15" i="11"/>
  <c r="D15" i="11"/>
  <c r="C15" i="11"/>
  <c r="H14" i="11"/>
  <c r="G14" i="11"/>
  <c r="F14" i="11"/>
  <c r="E14" i="11"/>
  <c r="D14" i="11"/>
  <c r="C14" i="11"/>
  <c r="H13" i="11"/>
  <c r="G13" i="11"/>
  <c r="F13" i="11"/>
  <c r="E13" i="11"/>
  <c r="D13" i="11"/>
  <c r="C13" i="11"/>
  <c r="H12" i="11"/>
  <c r="G12" i="11"/>
  <c r="F12" i="11"/>
  <c r="E12" i="11"/>
  <c r="D12" i="11"/>
  <c r="C12" i="11"/>
  <c r="H11" i="11"/>
  <c r="G11" i="11"/>
  <c r="F11" i="11"/>
  <c r="E11" i="11"/>
  <c r="D11" i="11"/>
  <c r="C11" i="11"/>
  <c r="H10" i="11"/>
  <c r="G10" i="11"/>
  <c r="F10" i="11"/>
  <c r="E10" i="11"/>
  <c r="D10" i="11"/>
  <c r="C10" i="11"/>
  <c r="H9" i="11"/>
  <c r="G9" i="11"/>
  <c r="F9" i="11"/>
  <c r="E9" i="11"/>
  <c r="D9" i="11"/>
  <c r="C9" i="11"/>
  <c r="H8" i="11"/>
  <c r="G8" i="11"/>
  <c r="F8" i="11"/>
  <c r="E8" i="11"/>
  <c r="D8" i="11"/>
  <c r="C8" i="11"/>
  <c r="H7" i="11"/>
  <c r="G7" i="11"/>
  <c r="F7" i="11"/>
  <c r="E7" i="11"/>
  <c r="D7" i="11"/>
  <c r="C7" i="11"/>
  <c r="H6" i="11"/>
  <c r="G6" i="11"/>
  <c r="F6" i="11"/>
  <c r="E6" i="11"/>
  <c r="D6" i="11"/>
  <c r="C6" i="11"/>
  <c r="H5" i="11"/>
  <c r="G5" i="11"/>
  <c r="F5" i="11"/>
  <c r="E5" i="11"/>
  <c r="D5" i="11"/>
  <c r="C5" i="11"/>
  <c r="H4" i="11"/>
  <c r="G4" i="11"/>
  <c r="F4" i="11"/>
  <c r="E4" i="11"/>
  <c r="D4" i="11"/>
  <c r="C4" i="11"/>
  <c r="H3" i="11"/>
  <c r="G3" i="11"/>
  <c r="F3" i="11"/>
  <c r="E3" i="11"/>
  <c r="D3" i="11"/>
  <c r="C3" i="11"/>
  <c r="J229" i="9"/>
  <c r="I229" i="9"/>
  <c r="G229" i="9"/>
  <c r="J228" i="9"/>
  <c r="I228" i="9"/>
  <c r="G228" i="9"/>
  <c r="J227" i="9"/>
  <c r="I227" i="9"/>
  <c r="G227" i="9"/>
  <c r="J226" i="9"/>
  <c r="I226" i="9"/>
  <c r="G226" i="9"/>
  <c r="J225" i="9"/>
  <c r="I225" i="9"/>
  <c r="G225" i="9"/>
  <c r="J224" i="9"/>
  <c r="I224" i="9"/>
  <c r="G224" i="9"/>
  <c r="J223" i="9"/>
  <c r="I223" i="9"/>
  <c r="G223" i="9"/>
  <c r="J222" i="9"/>
  <c r="I222" i="9"/>
  <c r="G222" i="9"/>
  <c r="J221" i="9"/>
  <c r="I221" i="9"/>
  <c r="G221" i="9"/>
  <c r="J220" i="9"/>
  <c r="I220" i="9"/>
  <c r="G220" i="9"/>
  <c r="I219" i="9"/>
  <c r="I218" i="9"/>
  <c r="I217" i="9"/>
  <c r="I216" i="9"/>
  <c r="I215" i="9"/>
  <c r="I214" i="9"/>
  <c r="I213" i="9"/>
  <c r="I212" i="9"/>
  <c r="I211" i="9"/>
  <c r="I210" i="9"/>
  <c r="I209" i="9"/>
  <c r="I208" i="9"/>
  <c r="I207" i="9"/>
  <c r="I206" i="9"/>
  <c r="I205" i="9"/>
  <c r="I204" i="9"/>
  <c r="I203" i="9"/>
  <c r="I202" i="9"/>
  <c r="I201" i="9"/>
  <c r="I200" i="9"/>
  <c r="I199" i="9"/>
  <c r="I198" i="9"/>
  <c r="I197" i="9"/>
  <c r="I196" i="9"/>
  <c r="I195" i="9"/>
  <c r="I194" i="9"/>
  <c r="I193" i="9"/>
  <c r="I192" i="9"/>
  <c r="I191" i="9"/>
  <c r="I190" i="9"/>
  <c r="I189" i="9"/>
  <c r="I188" i="9"/>
  <c r="I187" i="9"/>
  <c r="I186" i="9"/>
  <c r="I185" i="9"/>
  <c r="I184" i="9"/>
  <c r="I183" i="9"/>
  <c r="I182" i="9"/>
  <c r="I181" i="9"/>
  <c r="I180" i="9"/>
  <c r="I179" i="9"/>
  <c r="I178" i="9"/>
  <c r="I177" i="9"/>
  <c r="I176" i="9"/>
  <c r="I175" i="9"/>
  <c r="I174" i="9"/>
  <c r="I173" i="9"/>
  <c r="I172" i="9"/>
  <c r="I171" i="9"/>
  <c r="I170" i="9"/>
  <c r="I169" i="9"/>
  <c r="I168" i="9"/>
  <c r="I167" i="9"/>
  <c r="I166" i="9"/>
  <c r="I165" i="9"/>
  <c r="I164" i="9"/>
  <c r="I163" i="9"/>
  <c r="I162" i="9"/>
  <c r="I161" i="9"/>
  <c r="I160" i="9"/>
  <c r="I159" i="9"/>
  <c r="I158" i="9"/>
  <c r="I157" i="9"/>
  <c r="I156" i="9"/>
  <c r="I155" i="9"/>
  <c r="I154" i="9"/>
  <c r="I153" i="9"/>
  <c r="I152" i="9"/>
  <c r="I151" i="9"/>
  <c r="I150" i="9"/>
  <c r="I149" i="9"/>
  <c r="I148" i="9"/>
  <c r="I147" i="9"/>
  <c r="I146" i="9"/>
  <c r="I145" i="9"/>
  <c r="I144" i="9"/>
  <c r="I143" i="9"/>
  <c r="I142" i="9"/>
  <c r="I141" i="9"/>
  <c r="I140" i="9"/>
  <c r="I139" i="9"/>
  <c r="I138" i="9"/>
  <c r="I137" i="9"/>
  <c r="I136" i="9"/>
  <c r="I135" i="9"/>
  <c r="I134" i="9"/>
  <c r="I133" i="9"/>
  <c r="I132" i="9"/>
  <c r="I131" i="9"/>
  <c r="I130" i="9"/>
  <c r="I129" i="9"/>
  <c r="I128" i="9"/>
  <c r="I127" i="9"/>
  <c r="I126" i="9"/>
  <c r="I125" i="9"/>
  <c r="I124" i="9"/>
  <c r="I123" i="9"/>
  <c r="I122" i="9"/>
  <c r="I121" i="9"/>
  <c r="I120" i="9"/>
  <c r="I119" i="9"/>
  <c r="I118" i="9"/>
  <c r="I117" i="9"/>
  <c r="I116" i="9"/>
  <c r="I115" i="9"/>
  <c r="I114" i="9"/>
  <c r="I113" i="9"/>
  <c r="I112" i="9"/>
  <c r="I111" i="9"/>
  <c r="I110" i="9"/>
  <c r="I109" i="9"/>
  <c r="I108" i="9"/>
  <c r="I107" i="9"/>
  <c r="I106" i="9"/>
  <c r="I105" i="9"/>
  <c r="I104" i="9"/>
  <c r="I103" i="9"/>
  <c r="I102" i="9"/>
  <c r="I101" i="9"/>
  <c r="I100" i="9"/>
  <c r="I99" i="9"/>
  <c r="I98" i="9"/>
  <c r="I97" i="9"/>
  <c r="I96" i="9"/>
  <c r="I95" i="9"/>
  <c r="I94" i="9"/>
  <c r="I93" i="9"/>
  <c r="I92" i="9"/>
  <c r="I91" i="9"/>
  <c r="I90" i="9"/>
  <c r="I89" i="9"/>
  <c r="I88" i="9"/>
  <c r="I87" i="9"/>
  <c r="I86" i="9"/>
  <c r="I85" i="9"/>
  <c r="I84" i="9"/>
  <c r="I83" i="9"/>
  <c r="I82" i="9"/>
  <c r="I81" i="9"/>
  <c r="I80" i="9"/>
  <c r="I79" i="9"/>
  <c r="I78" i="9"/>
  <c r="I77" i="9"/>
  <c r="I76" i="9"/>
  <c r="I75" i="9"/>
  <c r="I74" i="9"/>
  <c r="I73" i="9"/>
  <c r="I72" i="9"/>
  <c r="I71" i="9"/>
  <c r="I70" i="9"/>
  <c r="I69" i="9"/>
  <c r="I68" i="9"/>
  <c r="I67" i="9"/>
  <c r="I66" i="9"/>
  <c r="I65" i="9"/>
  <c r="I64" i="9"/>
  <c r="I63" i="9"/>
  <c r="I62" i="9"/>
  <c r="I61" i="9"/>
  <c r="I60" i="9"/>
  <c r="I59" i="9"/>
  <c r="I58" i="9"/>
  <c r="I57" i="9"/>
  <c r="I56" i="9"/>
  <c r="I55" i="9"/>
  <c r="I54" i="9"/>
  <c r="I53" i="9"/>
  <c r="I52" i="9"/>
  <c r="I51" i="9"/>
  <c r="I50" i="9"/>
  <c r="I49" i="9"/>
  <c r="I48" i="9"/>
  <c r="I47" i="9"/>
  <c r="I46" i="9"/>
  <c r="I45" i="9"/>
  <c r="I44" i="9"/>
  <c r="I43" i="9"/>
  <c r="I42" i="9"/>
  <c r="I41" i="9"/>
  <c r="I40" i="9"/>
  <c r="I39" i="9"/>
  <c r="I38" i="9"/>
  <c r="I37" i="9"/>
  <c r="I36" i="9"/>
  <c r="I35" i="9"/>
  <c r="I34" i="9"/>
  <c r="I33" i="9"/>
  <c r="I32" i="9"/>
  <c r="I31" i="9"/>
  <c r="I30" i="9"/>
  <c r="I29" i="9"/>
  <c r="I28" i="9"/>
  <c r="I27" i="9"/>
  <c r="I26" i="9"/>
  <c r="I25" i="9"/>
  <c r="I24" i="9"/>
  <c r="I23" i="9"/>
  <c r="I22" i="9"/>
  <c r="J21" i="9"/>
  <c r="I21" i="9"/>
  <c r="H21" i="9"/>
  <c r="G21" i="9"/>
  <c r="J20" i="9"/>
  <c r="I20" i="9"/>
  <c r="H20" i="9"/>
  <c r="G20" i="9"/>
  <c r="J19" i="9"/>
  <c r="I19" i="9"/>
  <c r="H19" i="9"/>
  <c r="G19" i="9"/>
  <c r="J18" i="9"/>
  <c r="I18" i="9"/>
  <c r="H18" i="9"/>
  <c r="G18" i="9"/>
  <c r="J17" i="9"/>
  <c r="I17" i="9"/>
  <c r="H17" i="9"/>
  <c r="G17" i="9"/>
  <c r="J16" i="9"/>
  <c r="I16" i="9"/>
  <c r="H16" i="9"/>
  <c r="G16" i="9"/>
  <c r="J15" i="9"/>
  <c r="I15" i="9"/>
  <c r="H15" i="9"/>
  <c r="G15" i="9"/>
  <c r="J14" i="9"/>
  <c r="I14" i="9"/>
  <c r="H14" i="9"/>
  <c r="G14" i="9"/>
  <c r="J13" i="9"/>
  <c r="I13" i="9"/>
  <c r="H13" i="9"/>
  <c r="G13" i="9"/>
  <c r="J12" i="9"/>
  <c r="I12" i="9"/>
  <c r="H12" i="9"/>
  <c r="G12" i="9"/>
  <c r="J11" i="9"/>
  <c r="I11" i="9"/>
  <c r="H11" i="9"/>
  <c r="G11" i="9"/>
  <c r="J10" i="9"/>
  <c r="I10" i="9"/>
  <c r="H10" i="9"/>
  <c r="G10" i="9"/>
  <c r="J9" i="9"/>
  <c r="I9" i="9"/>
  <c r="H9" i="9"/>
  <c r="G9" i="9"/>
  <c r="J8" i="9"/>
  <c r="I8" i="9"/>
  <c r="H8" i="9"/>
  <c r="G8" i="9"/>
  <c r="J7" i="9"/>
  <c r="I7" i="9"/>
  <c r="H7" i="9"/>
  <c r="G7" i="9"/>
  <c r="J6" i="9"/>
  <c r="I6" i="9"/>
  <c r="H6" i="9"/>
  <c r="G6" i="9"/>
  <c r="J5" i="9"/>
  <c r="I5" i="9"/>
  <c r="H5" i="9"/>
  <c r="G5" i="9"/>
  <c r="J4" i="9"/>
  <c r="I4" i="9"/>
  <c r="H4" i="9"/>
  <c r="G4" i="9"/>
  <c r="J3" i="9"/>
  <c r="I3" i="9"/>
  <c r="H3" i="9"/>
  <c r="G3" i="9"/>
  <c r="J2" i="9"/>
  <c r="I2" i="9"/>
  <c r="H2" i="9"/>
  <c r="G2" i="9"/>
  <c r="J1" i="9"/>
  <c r="I1" i="9"/>
  <c r="H1" i="9"/>
  <c r="G1" i="9"/>
  <c r="H30" i="8"/>
  <c r="G30" i="8"/>
  <c r="F30" i="8"/>
  <c r="E30" i="8"/>
  <c r="D30" i="8"/>
  <c r="C30" i="8"/>
  <c r="H29" i="8"/>
  <c r="G29" i="8"/>
  <c r="F29" i="8"/>
  <c r="E29" i="8"/>
  <c r="D29" i="8"/>
  <c r="C29" i="8"/>
  <c r="H28" i="8"/>
  <c r="G28" i="8"/>
  <c r="F28" i="8"/>
  <c r="E28" i="8"/>
  <c r="D28" i="8"/>
  <c r="C28" i="8"/>
  <c r="H27" i="8"/>
  <c r="F27" i="8"/>
  <c r="C27" i="8"/>
  <c r="H26" i="8"/>
  <c r="F26" i="8"/>
  <c r="H25" i="8"/>
  <c r="E25" i="8"/>
  <c r="H24" i="8"/>
  <c r="F24" i="8"/>
  <c r="D24" i="8"/>
  <c r="H23" i="8"/>
  <c r="H22" i="8"/>
  <c r="G22" i="8"/>
  <c r="F22" i="8"/>
  <c r="E22" i="8"/>
  <c r="D22" i="8"/>
  <c r="H21" i="8"/>
  <c r="G21" i="8"/>
  <c r="F21" i="8"/>
  <c r="E21" i="8"/>
  <c r="D21" i="8"/>
  <c r="C21" i="8"/>
  <c r="H20" i="8"/>
  <c r="G20" i="8"/>
  <c r="F20" i="8"/>
  <c r="E20" i="8"/>
  <c r="D20" i="8"/>
  <c r="C20" i="8"/>
  <c r="H19" i="8"/>
  <c r="G19" i="8"/>
  <c r="F19" i="8"/>
  <c r="E19" i="8"/>
  <c r="D19" i="8"/>
  <c r="C19" i="8"/>
  <c r="H18" i="8"/>
  <c r="G18" i="8"/>
  <c r="F18" i="8"/>
  <c r="E18" i="8"/>
  <c r="D18" i="8"/>
  <c r="C18" i="8"/>
  <c r="H17" i="8"/>
  <c r="G17" i="8"/>
  <c r="F17" i="8"/>
  <c r="E17" i="8"/>
  <c r="D17" i="8"/>
  <c r="C17" i="8"/>
  <c r="H16" i="8"/>
  <c r="G16" i="8"/>
  <c r="F16" i="8"/>
  <c r="E16" i="8"/>
  <c r="D16" i="8"/>
  <c r="C16" i="8"/>
  <c r="H15" i="8"/>
  <c r="G15" i="8"/>
  <c r="F15" i="8"/>
  <c r="E15" i="8"/>
  <c r="D15" i="8"/>
  <c r="C15" i="8"/>
  <c r="H14" i="8"/>
  <c r="G14" i="8"/>
  <c r="F14" i="8"/>
  <c r="E14" i="8"/>
  <c r="D14" i="8"/>
  <c r="C14" i="8"/>
  <c r="H13" i="8"/>
  <c r="G13" i="8"/>
  <c r="F13" i="8"/>
  <c r="E13" i="8"/>
  <c r="D13" i="8"/>
  <c r="C13" i="8"/>
  <c r="H12" i="8"/>
  <c r="G12" i="8"/>
  <c r="F12" i="8"/>
  <c r="E12" i="8"/>
  <c r="D12" i="8"/>
  <c r="C12" i="8"/>
  <c r="H11" i="8"/>
  <c r="G11" i="8"/>
  <c r="F11" i="8"/>
  <c r="E11" i="8"/>
  <c r="D11" i="8"/>
  <c r="C11" i="8"/>
  <c r="H10" i="8"/>
  <c r="G10" i="8"/>
  <c r="F10" i="8"/>
  <c r="E10" i="8"/>
  <c r="D10" i="8"/>
  <c r="C10" i="8"/>
  <c r="H9" i="8"/>
  <c r="G9" i="8"/>
  <c r="F9" i="8"/>
  <c r="E9" i="8"/>
  <c r="D9" i="8"/>
  <c r="C9" i="8"/>
  <c r="H8" i="8"/>
  <c r="G8" i="8"/>
  <c r="F8" i="8"/>
  <c r="E8" i="8"/>
  <c r="D8" i="8"/>
  <c r="C8" i="8"/>
  <c r="H7" i="8"/>
  <c r="G7" i="8"/>
  <c r="F7" i="8"/>
  <c r="E7" i="8"/>
  <c r="D7" i="8"/>
  <c r="C7" i="8"/>
  <c r="H6" i="8"/>
  <c r="G6" i="8"/>
  <c r="F6" i="8"/>
  <c r="E6" i="8"/>
  <c r="D6" i="8"/>
  <c r="C6" i="8"/>
  <c r="H5" i="8"/>
  <c r="G5" i="8"/>
  <c r="F5" i="8"/>
  <c r="E5" i="8"/>
  <c r="D5" i="8"/>
  <c r="C5" i="8"/>
  <c r="H4" i="8"/>
  <c r="G4" i="8"/>
  <c r="F4" i="8"/>
  <c r="E4" i="8"/>
  <c r="D4" i="8"/>
  <c r="C4" i="8"/>
  <c r="H3" i="8"/>
  <c r="G3" i="8"/>
  <c r="F3" i="8"/>
  <c r="E3" i="8"/>
  <c r="D3" i="8"/>
  <c r="C3" i="8"/>
  <c r="G216" i="4"/>
  <c r="G215" i="4"/>
  <c r="G214" i="4"/>
  <c r="G213" i="4"/>
  <c r="G212" i="4"/>
  <c r="G211" i="4"/>
  <c r="H210" i="4"/>
  <c r="G210" i="4"/>
  <c r="H209" i="4"/>
  <c r="G209" i="4"/>
  <c r="H208" i="4"/>
  <c r="G208" i="4"/>
  <c r="H207" i="4"/>
  <c r="G207" i="4"/>
  <c r="H206" i="4"/>
  <c r="G206" i="4"/>
  <c r="H205" i="4"/>
  <c r="G205" i="4"/>
  <c r="G204" i="4"/>
  <c r="G203" i="4"/>
  <c r="H202" i="4"/>
  <c r="G202" i="4"/>
  <c r="H201" i="4"/>
  <c r="G201" i="4"/>
  <c r="H200" i="4"/>
  <c r="G200" i="4"/>
  <c r="G199" i="4"/>
  <c r="G198" i="4"/>
  <c r="G197" i="4"/>
  <c r="H196" i="4"/>
  <c r="G196" i="4"/>
  <c r="G195" i="4"/>
  <c r="G194" i="4"/>
  <c r="H193" i="4"/>
  <c r="G193" i="4"/>
  <c r="G192" i="4"/>
  <c r="G191" i="4"/>
  <c r="G190" i="4"/>
  <c r="J189" i="4"/>
  <c r="I189" i="4"/>
  <c r="G189" i="4"/>
  <c r="J188" i="4"/>
  <c r="I188" i="4"/>
  <c r="G188" i="4"/>
  <c r="J187" i="4"/>
  <c r="I187" i="4"/>
  <c r="G187" i="4"/>
  <c r="J186" i="4"/>
  <c r="I186" i="4"/>
  <c r="G186" i="4"/>
  <c r="J185" i="4"/>
  <c r="I185" i="4"/>
  <c r="G185" i="4"/>
  <c r="J184" i="4"/>
  <c r="I184" i="4"/>
  <c r="G184" i="4"/>
  <c r="J183" i="4"/>
  <c r="I183" i="4"/>
  <c r="G183" i="4"/>
  <c r="J182" i="4"/>
  <c r="I182" i="4"/>
  <c r="G182" i="4"/>
  <c r="J181" i="4"/>
  <c r="I181" i="4"/>
  <c r="G181" i="4"/>
  <c r="J180" i="4"/>
  <c r="I180" i="4"/>
  <c r="G180" i="4"/>
  <c r="J179" i="4"/>
  <c r="I179" i="4"/>
  <c r="G179" i="4"/>
  <c r="J178" i="4"/>
  <c r="I178" i="4"/>
  <c r="G178" i="4"/>
  <c r="J177" i="4"/>
  <c r="I177" i="4"/>
  <c r="G177" i="4"/>
  <c r="J176" i="4"/>
  <c r="I176" i="4"/>
  <c r="G176" i="4"/>
  <c r="J175" i="4"/>
  <c r="I175" i="4"/>
  <c r="G175" i="4"/>
  <c r="J174" i="4"/>
  <c r="I174" i="4"/>
  <c r="G174" i="4"/>
  <c r="J173" i="4"/>
  <c r="I173" i="4"/>
  <c r="G173" i="4"/>
  <c r="J172" i="4"/>
  <c r="I172" i="4"/>
  <c r="G172" i="4"/>
  <c r="J171" i="4"/>
  <c r="I171" i="4"/>
  <c r="G171" i="4"/>
  <c r="J170" i="4"/>
  <c r="I170" i="4"/>
  <c r="G170" i="4"/>
  <c r="J169" i="4"/>
  <c r="I169" i="4"/>
  <c r="G169" i="4"/>
  <c r="J168" i="4"/>
  <c r="I168" i="4"/>
  <c r="G168" i="4"/>
  <c r="J167" i="4"/>
  <c r="I167" i="4"/>
  <c r="G167" i="4"/>
  <c r="J166" i="4"/>
  <c r="I166" i="4"/>
  <c r="G166" i="4"/>
  <c r="J165" i="4"/>
  <c r="I165" i="4"/>
  <c r="G165" i="4"/>
  <c r="J164" i="4"/>
  <c r="I164" i="4"/>
  <c r="G164" i="4"/>
  <c r="J163" i="4"/>
  <c r="I163" i="4"/>
  <c r="G163" i="4"/>
  <c r="J162" i="4"/>
  <c r="I162" i="4"/>
  <c r="G162" i="4"/>
  <c r="J161" i="4"/>
  <c r="I161" i="4"/>
  <c r="G161" i="4"/>
  <c r="J160" i="4"/>
  <c r="I160" i="4"/>
  <c r="G160" i="4"/>
  <c r="J159" i="4"/>
  <c r="I159" i="4"/>
  <c r="G159" i="4"/>
  <c r="J158" i="4"/>
  <c r="I158" i="4"/>
  <c r="G158" i="4"/>
  <c r="J157" i="4"/>
  <c r="I157" i="4"/>
  <c r="G157" i="4"/>
  <c r="J156" i="4"/>
  <c r="I156" i="4"/>
  <c r="G156" i="4"/>
  <c r="J155" i="4"/>
  <c r="I155" i="4"/>
  <c r="G155" i="4"/>
  <c r="J154" i="4"/>
  <c r="I154" i="4"/>
  <c r="G154" i="4"/>
  <c r="J153" i="4"/>
  <c r="I153" i="4"/>
  <c r="G153" i="4"/>
  <c r="J152" i="4"/>
  <c r="I152" i="4"/>
  <c r="G152" i="4"/>
  <c r="J151" i="4"/>
  <c r="I151" i="4"/>
  <c r="G151" i="4"/>
  <c r="J150" i="4"/>
  <c r="I150" i="4"/>
  <c r="G150" i="4"/>
  <c r="J149" i="4"/>
  <c r="I149" i="4"/>
  <c r="G149" i="4"/>
  <c r="J148" i="4"/>
  <c r="I148" i="4"/>
  <c r="G148" i="4"/>
  <c r="J147" i="4"/>
  <c r="I147" i="4"/>
  <c r="G147" i="4"/>
  <c r="J146" i="4"/>
  <c r="I146" i="4"/>
  <c r="G146" i="4"/>
  <c r="J145" i="4"/>
  <c r="I145" i="4"/>
  <c r="G145" i="4"/>
  <c r="J144" i="4"/>
  <c r="I144" i="4"/>
  <c r="G144" i="4"/>
  <c r="J143" i="4"/>
  <c r="I143" i="4"/>
  <c r="G143" i="4"/>
  <c r="J142" i="4"/>
  <c r="I142" i="4"/>
  <c r="G142" i="4"/>
  <c r="J141" i="4"/>
  <c r="I141" i="4"/>
  <c r="G141" i="4"/>
  <c r="J140" i="4"/>
  <c r="I140" i="4"/>
  <c r="G140" i="4"/>
  <c r="J139" i="4"/>
  <c r="I139" i="4"/>
  <c r="G139" i="4"/>
  <c r="J138" i="4"/>
  <c r="I138" i="4"/>
  <c r="G138" i="4"/>
  <c r="J137" i="4"/>
  <c r="I137" i="4"/>
  <c r="G137" i="4"/>
  <c r="J136" i="4"/>
  <c r="I136" i="4"/>
  <c r="G136" i="4"/>
  <c r="J135" i="4"/>
  <c r="I135" i="4"/>
  <c r="G135" i="4"/>
  <c r="J134" i="4"/>
  <c r="I134" i="4"/>
  <c r="G134" i="4"/>
  <c r="J133" i="4"/>
  <c r="I133" i="4"/>
  <c r="G133" i="4"/>
  <c r="J132" i="4"/>
  <c r="I132" i="4"/>
  <c r="G132" i="4"/>
  <c r="J131" i="4"/>
  <c r="I131" i="4"/>
  <c r="G131" i="4"/>
  <c r="J130" i="4"/>
  <c r="I130" i="4"/>
  <c r="G130" i="4"/>
  <c r="J129" i="4"/>
  <c r="I129" i="4"/>
  <c r="G129" i="4"/>
  <c r="J128" i="4"/>
  <c r="I128" i="4"/>
  <c r="G128" i="4"/>
  <c r="J127" i="4"/>
  <c r="I127" i="4"/>
  <c r="G127" i="4"/>
  <c r="J126" i="4"/>
  <c r="I126" i="4"/>
  <c r="G126" i="4"/>
  <c r="J125" i="4"/>
  <c r="I125" i="4"/>
  <c r="G125" i="4"/>
  <c r="J124" i="4"/>
  <c r="I124" i="4"/>
  <c r="G124" i="4"/>
  <c r="J123" i="4"/>
  <c r="I123" i="4"/>
  <c r="G123" i="4"/>
  <c r="J122" i="4"/>
  <c r="I122" i="4"/>
  <c r="G122" i="4"/>
  <c r="J121" i="4"/>
  <c r="I121" i="4"/>
  <c r="G121" i="4"/>
  <c r="J120" i="4"/>
  <c r="I120" i="4"/>
  <c r="G120" i="4"/>
  <c r="J119" i="4"/>
  <c r="I119" i="4"/>
  <c r="G119" i="4"/>
  <c r="J118" i="4"/>
  <c r="I118" i="4"/>
  <c r="G118" i="4"/>
  <c r="J117" i="4"/>
  <c r="I117" i="4"/>
  <c r="G117" i="4"/>
  <c r="J116" i="4"/>
  <c r="I116" i="4"/>
  <c r="G116" i="4"/>
  <c r="J115" i="4"/>
  <c r="I115" i="4"/>
  <c r="G115" i="4"/>
  <c r="J114" i="4"/>
  <c r="I114" i="4"/>
  <c r="G114" i="4"/>
  <c r="J113" i="4"/>
  <c r="I113" i="4"/>
  <c r="G113" i="4"/>
  <c r="I112" i="4"/>
  <c r="G112" i="4"/>
  <c r="I111" i="4"/>
  <c r="G111" i="4"/>
  <c r="I110" i="4"/>
  <c r="G110" i="4"/>
  <c r="I109" i="4"/>
  <c r="G109" i="4"/>
  <c r="J108" i="4"/>
  <c r="I108" i="4"/>
  <c r="H108" i="4"/>
  <c r="G108" i="4"/>
  <c r="J107" i="4"/>
  <c r="I107" i="4"/>
  <c r="H107" i="4"/>
  <c r="G107" i="4"/>
  <c r="J106" i="4"/>
  <c r="I106" i="4"/>
  <c r="H106" i="4"/>
  <c r="G106" i="4"/>
  <c r="J105" i="4"/>
  <c r="I105" i="4"/>
  <c r="H105" i="4"/>
  <c r="G105" i="4"/>
  <c r="J104" i="4"/>
  <c r="I104" i="4"/>
  <c r="H104" i="4"/>
  <c r="G104" i="4"/>
  <c r="J103" i="4"/>
  <c r="I103" i="4"/>
  <c r="H103" i="4"/>
  <c r="G103" i="4"/>
  <c r="J102" i="4"/>
  <c r="I102" i="4"/>
  <c r="H102" i="4"/>
  <c r="G102" i="4"/>
  <c r="J101" i="4"/>
  <c r="I101" i="4"/>
  <c r="H101" i="4"/>
  <c r="G101" i="4"/>
  <c r="J100" i="4"/>
  <c r="I100" i="4"/>
  <c r="H100" i="4"/>
  <c r="G100" i="4"/>
  <c r="J99" i="4"/>
  <c r="I99" i="4"/>
  <c r="H99" i="4"/>
  <c r="G99" i="4"/>
  <c r="J98" i="4"/>
  <c r="I98" i="4"/>
  <c r="H98" i="4"/>
  <c r="G98" i="4"/>
  <c r="J97" i="4"/>
  <c r="I97" i="4"/>
  <c r="H97" i="4"/>
  <c r="G97" i="4"/>
  <c r="J96" i="4"/>
  <c r="I96" i="4"/>
  <c r="H96" i="4"/>
  <c r="G96" i="4"/>
  <c r="J95" i="4"/>
  <c r="I95" i="4"/>
  <c r="H95" i="4"/>
  <c r="G95" i="4"/>
  <c r="J94" i="4"/>
  <c r="I94" i="4"/>
  <c r="H94" i="4"/>
  <c r="G94" i="4"/>
  <c r="J93" i="4"/>
  <c r="I93" i="4"/>
  <c r="H93" i="4"/>
  <c r="G93" i="4"/>
  <c r="J92" i="4"/>
  <c r="I92" i="4"/>
  <c r="H92" i="4"/>
  <c r="G92" i="4"/>
  <c r="J91" i="4"/>
  <c r="I91" i="4"/>
  <c r="H91" i="4"/>
  <c r="G91" i="4"/>
  <c r="J90" i="4"/>
  <c r="I90" i="4"/>
  <c r="H90" i="4"/>
  <c r="G90" i="4"/>
  <c r="J89" i="4"/>
  <c r="I89" i="4"/>
  <c r="H89" i="4"/>
  <c r="G89" i="4"/>
  <c r="J88" i="4"/>
  <c r="I88" i="4"/>
  <c r="H88" i="4"/>
  <c r="G88" i="4"/>
  <c r="J87" i="4"/>
  <c r="I87" i="4"/>
  <c r="H87" i="4"/>
  <c r="G87" i="4"/>
  <c r="J86" i="4"/>
  <c r="I86" i="4"/>
  <c r="H86" i="4"/>
  <c r="G86" i="4"/>
  <c r="J85" i="4"/>
  <c r="I85" i="4"/>
  <c r="H85" i="4"/>
  <c r="G85" i="4"/>
  <c r="J84" i="4"/>
  <c r="I84" i="4"/>
  <c r="H84" i="4"/>
  <c r="G84" i="4"/>
  <c r="J83" i="4"/>
  <c r="I83" i="4"/>
  <c r="H83" i="4"/>
  <c r="G83" i="4"/>
  <c r="J82" i="4"/>
  <c r="I82" i="4"/>
  <c r="H82" i="4"/>
  <c r="G82" i="4"/>
  <c r="J81" i="4"/>
  <c r="I81" i="4"/>
  <c r="H81" i="4"/>
  <c r="G81" i="4"/>
  <c r="J80" i="4"/>
  <c r="I80" i="4"/>
  <c r="H80" i="4"/>
  <c r="G80" i="4"/>
  <c r="J79" i="4"/>
  <c r="I79" i="4"/>
  <c r="H79" i="4"/>
  <c r="G79" i="4"/>
  <c r="J78" i="4"/>
  <c r="I78" i="4"/>
  <c r="H78" i="4"/>
  <c r="G78" i="4"/>
  <c r="J77" i="4"/>
  <c r="I77" i="4"/>
  <c r="H77" i="4"/>
  <c r="G77" i="4"/>
  <c r="J76" i="4"/>
  <c r="I76" i="4"/>
  <c r="H76" i="4"/>
  <c r="G76" i="4"/>
  <c r="J75" i="4"/>
  <c r="I75" i="4"/>
  <c r="H75" i="4"/>
  <c r="G75" i="4"/>
  <c r="J74" i="4"/>
  <c r="I74" i="4"/>
  <c r="H74" i="4"/>
  <c r="G74" i="4"/>
  <c r="J73" i="4"/>
  <c r="I73" i="4"/>
  <c r="H73" i="4"/>
  <c r="G73" i="4"/>
  <c r="J72" i="4"/>
  <c r="I72" i="4"/>
  <c r="H72" i="4"/>
  <c r="G72" i="4"/>
  <c r="J71" i="4"/>
  <c r="I71" i="4"/>
  <c r="H71" i="4"/>
  <c r="G71" i="4"/>
  <c r="J70" i="4"/>
  <c r="I70" i="4"/>
  <c r="H70" i="4"/>
  <c r="G70" i="4"/>
  <c r="J69" i="4"/>
  <c r="I69" i="4"/>
  <c r="H69" i="4"/>
  <c r="G69" i="4"/>
  <c r="J68" i="4"/>
  <c r="I68" i="4"/>
  <c r="H68" i="4"/>
  <c r="G68" i="4"/>
  <c r="J67" i="4"/>
  <c r="I67" i="4"/>
  <c r="H67" i="4"/>
  <c r="G67" i="4"/>
  <c r="J66" i="4"/>
  <c r="I66" i="4"/>
  <c r="H66" i="4"/>
  <c r="G66" i="4"/>
  <c r="J65" i="4"/>
  <c r="I65" i="4"/>
  <c r="H65" i="4"/>
  <c r="G65" i="4"/>
  <c r="J64" i="4"/>
  <c r="I64" i="4"/>
  <c r="H64" i="4"/>
  <c r="G64" i="4"/>
  <c r="J63" i="4"/>
  <c r="I63" i="4"/>
  <c r="H63" i="4"/>
  <c r="G63" i="4"/>
  <c r="J62" i="4"/>
  <c r="I62" i="4"/>
  <c r="H62" i="4"/>
  <c r="G62" i="4"/>
  <c r="J61" i="4"/>
  <c r="I61" i="4"/>
  <c r="H61" i="4"/>
  <c r="G61" i="4"/>
  <c r="J60" i="4"/>
  <c r="I60" i="4"/>
  <c r="H60" i="4"/>
  <c r="G60" i="4"/>
  <c r="J59" i="4"/>
  <c r="I59" i="4"/>
  <c r="H59" i="4"/>
  <c r="G59" i="4"/>
  <c r="J58" i="4"/>
  <c r="I58" i="4"/>
  <c r="H58" i="4"/>
  <c r="G58" i="4"/>
  <c r="J57" i="4"/>
  <c r="I57" i="4"/>
  <c r="H57" i="4"/>
  <c r="G57" i="4"/>
  <c r="J56" i="4"/>
  <c r="I56" i="4"/>
  <c r="H56" i="4"/>
  <c r="G56" i="4"/>
  <c r="J55" i="4"/>
  <c r="I55" i="4"/>
  <c r="H55" i="4"/>
  <c r="G55" i="4"/>
  <c r="J54" i="4"/>
  <c r="I54" i="4"/>
  <c r="H54" i="4"/>
  <c r="G54" i="4"/>
  <c r="J53" i="4"/>
  <c r="I53" i="4"/>
  <c r="H53" i="4"/>
  <c r="G53" i="4"/>
  <c r="J52" i="4"/>
  <c r="I52" i="4"/>
  <c r="H52" i="4"/>
  <c r="G52" i="4"/>
  <c r="J51" i="4"/>
  <c r="I51" i="4"/>
  <c r="H51" i="4"/>
  <c r="G51" i="4"/>
  <c r="J50" i="4"/>
  <c r="I50" i="4"/>
  <c r="H50" i="4"/>
  <c r="G50" i="4"/>
  <c r="J49" i="4"/>
  <c r="I49" i="4"/>
  <c r="H49" i="4"/>
  <c r="G49" i="4"/>
  <c r="J48" i="4"/>
  <c r="I48" i="4"/>
  <c r="H48" i="4"/>
  <c r="G48" i="4"/>
  <c r="J47" i="4"/>
  <c r="I47" i="4"/>
  <c r="H47" i="4"/>
  <c r="G47" i="4"/>
  <c r="J46" i="4"/>
  <c r="I46" i="4"/>
  <c r="H46" i="4"/>
  <c r="G46" i="4"/>
  <c r="J45" i="4"/>
  <c r="I45" i="4"/>
  <c r="H45" i="4"/>
  <c r="G45" i="4"/>
  <c r="J44" i="4"/>
  <c r="I44" i="4"/>
  <c r="H44" i="4"/>
  <c r="G44" i="4"/>
  <c r="J43" i="4"/>
  <c r="I43" i="4"/>
  <c r="H43" i="4"/>
  <c r="G43" i="4"/>
  <c r="J42" i="4"/>
  <c r="I42" i="4"/>
  <c r="H42" i="4"/>
  <c r="G42" i="4"/>
  <c r="J41" i="4"/>
  <c r="I41" i="4"/>
  <c r="H41" i="4"/>
  <c r="G41" i="4"/>
  <c r="J40" i="4"/>
  <c r="I40" i="4"/>
  <c r="H40" i="4"/>
  <c r="G40" i="4"/>
  <c r="J39" i="4"/>
  <c r="I39" i="4"/>
  <c r="H39" i="4"/>
  <c r="G39" i="4"/>
  <c r="J38" i="4"/>
  <c r="I38" i="4"/>
  <c r="H38" i="4"/>
  <c r="G38" i="4"/>
  <c r="J37" i="4"/>
  <c r="I37" i="4"/>
  <c r="H37" i="4"/>
  <c r="G37" i="4"/>
  <c r="J36" i="4"/>
  <c r="I36" i="4"/>
  <c r="H36" i="4"/>
  <c r="G36" i="4"/>
  <c r="J35" i="4"/>
  <c r="I35" i="4"/>
  <c r="H35" i="4"/>
  <c r="G35" i="4"/>
  <c r="J34" i="4"/>
  <c r="I34" i="4"/>
  <c r="H34" i="4"/>
  <c r="G34" i="4"/>
  <c r="J33" i="4"/>
  <c r="I33" i="4"/>
  <c r="H33" i="4"/>
  <c r="G33" i="4"/>
  <c r="J32" i="4"/>
  <c r="I32" i="4"/>
  <c r="H32" i="4"/>
  <c r="G32" i="4"/>
  <c r="J31" i="4"/>
  <c r="I31" i="4"/>
  <c r="H31" i="4"/>
  <c r="G31" i="4"/>
  <c r="J30" i="4"/>
  <c r="I30" i="4"/>
  <c r="H30" i="4"/>
  <c r="G30" i="4"/>
  <c r="J29" i="4"/>
  <c r="I29" i="4"/>
  <c r="H29" i="4"/>
  <c r="G29" i="4"/>
  <c r="J28" i="4"/>
  <c r="I28" i="4"/>
  <c r="H28" i="4"/>
  <c r="G28" i="4"/>
  <c r="J27" i="4"/>
  <c r="I27" i="4"/>
  <c r="H27" i="4"/>
  <c r="G27" i="4"/>
  <c r="J26" i="4"/>
  <c r="I26" i="4"/>
  <c r="H26" i="4"/>
  <c r="G26" i="4"/>
  <c r="J25" i="4"/>
  <c r="I25" i="4"/>
  <c r="H25" i="4"/>
  <c r="G25" i="4"/>
  <c r="J24" i="4"/>
  <c r="I24" i="4"/>
  <c r="H24" i="4"/>
  <c r="G24" i="4"/>
  <c r="J23" i="4"/>
  <c r="I23" i="4"/>
  <c r="H23" i="4"/>
  <c r="G23" i="4"/>
  <c r="J22" i="4"/>
  <c r="I22" i="4"/>
  <c r="H22" i="4"/>
  <c r="G22" i="4"/>
  <c r="J21" i="4"/>
  <c r="I21" i="4"/>
  <c r="H21" i="4"/>
  <c r="G21" i="4"/>
  <c r="J20" i="4"/>
  <c r="I20" i="4"/>
  <c r="H20" i="4"/>
  <c r="G20" i="4"/>
  <c r="J19" i="4"/>
  <c r="I19" i="4"/>
  <c r="H19" i="4"/>
  <c r="G19" i="4"/>
  <c r="J18" i="4"/>
  <c r="I18" i="4"/>
  <c r="H18" i="4"/>
  <c r="G18" i="4"/>
  <c r="J17" i="4"/>
  <c r="I17" i="4"/>
  <c r="H17" i="4"/>
  <c r="G17" i="4"/>
  <c r="J16" i="4"/>
  <c r="I16" i="4"/>
  <c r="H16" i="4"/>
  <c r="G16" i="4"/>
  <c r="J15" i="4"/>
  <c r="I15" i="4"/>
  <c r="H15" i="4"/>
  <c r="G15" i="4"/>
  <c r="J14" i="4"/>
  <c r="I14" i="4"/>
  <c r="H14" i="4"/>
  <c r="G14" i="4"/>
  <c r="J13" i="4"/>
  <c r="I13" i="4"/>
  <c r="H13" i="4"/>
  <c r="G13" i="4"/>
  <c r="J12" i="4"/>
  <c r="I12" i="4"/>
  <c r="H12" i="4"/>
  <c r="G12" i="4"/>
  <c r="J11" i="4"/>
  <c r="I11" i="4"/>
  <c r="H11" i="4"/>
  <c r="G11" i="4"/>
  <c r="J10" i="4"/>
  <c r="I10" i="4"/>
  <c r="H10" i="4"/>
  <c r="G10" i="4"/>
  <c r="J9" i="4"/>
  <c r="I9" i="4"/>
  <c r="H9" i="4"/>
  <c r="G9" i="4"/>
  <c r="J8" i="4"/>
  <c r="I8" i="4"/>
  <c r="H8" i="4"/>
  <c r="G8" i="4"/>
  <c r="J7" i="4"/>
  <c r="I7" i="4"/>
  <c r="H7" i="4"/>
  <c r="G7" i="4"/>
  <c r="J6" i="4"/>
  <c r="I6" i="4"/>
  <c r="H6" i="4"/>
  <c r="G6" i="4"/>
  <c r="J5" i="4"/>
  <c r="I5" i="4"/>
  <c r="H5" i="4"/>
  <c r="G5" i="4"/>
  <c r="J4" i="4"/>
  <c r="I4" i="4"/>
  <c r="H4" i="4"/>
  <c r="G4" i="4"/>
  <c r="J3" i="4"/>
  <c r="I3" i="4"/>
  <c r="H3" i="4"/>
  <c r="G3" i="4"/>
  <c r="I2" i="4"/>
  <c r="H2" i="4"/>
  <c r="G2" i="4"/>
  <c r="J1" i="4"/>
  <c r="I1" i="4"/>
  <c r="H1" i="4"/>
  <c r="G1" i="4"/>
  <c r="G47" i="3"/>
  <c r="F47" i="3"/>
  <c r="E47" i="3"/>
  <c r="D47" i="3"/>
  <c r="C47" i="3"/>
  <c r="G46" i="3"/>
  <c r="F46" i="3"/>
  <c r="E46" i="3"/>
  <c r="D46" i="3"/>
  <c r="C46" i="3"/>
  <c r="H43" i="3"/>
  <c r="G43" i="3"/>
  <c r="F43" i="3"/>
  <c r="E43" i="3"/>
  <c r="D43" i="3"/>
  <c r="C43" i="3"/>
  <c r="G42" i="3"/>
  <c r="F42" i="3"/>
  <c r="E42" i="3"/>
  <c r="D42" i="3"/>
  <c r="C42" i="3"/>
  <c r="G41" i="3"/>
  <c r="F41" i="3"/>
  <c r="E41" i="3"/>
  <c r="D41" i="3"/>
  <c r="C41" i="3"/>
  <c r="G40" i="3"/>
  <c r="F40" i="3"/>
  <c r="E40" i="3"/>
  <c r="D40" i="3"/>
  <c r="C40" i="3"/>
  <c r="G39" i="3"/>
  <c r="F39" i="3"/>
  <c r="E39" i="3"/>
  <c r="D39" i="3"/>
  <c r="C39" i="3"/>
  <c r="G38" i="3"/>
  <c r="F38" i="3"/>
  <c r="E38" i="3"/>
  <c r="D38" i="3"/>
  <c r="C38" i="3"/>
  <c r="G37" i="3"/>
  <c r="F37" i="3"/>
  <c r="E37" i="3"/>
  <c r="D37" i="3"/>
  <c r="C37" i="3"/>
  <c r="G36" i="3"/>
  <c r="F36" i="3"/>
  <c r="E36" i="3"/>
  <c r="D36" i="3"/>
  <c r="C36" i="3"/>
  <c r="G35" i="3"/>
  <c r="F35" i="3"/>
  <c r="E35" i="3"/>
  <c r="D35" i="3"/>
  <c r="C35" i="3"/>
  <c r="G34" i="3"/>
  <c r="F34" i="3"/>
  <c r="E34" i="3"/>
  <c r="D34" i="3"/>
  <c r="C34" i="3"/>
  <c r="G33" i="3"/>
  <c r="F33" i="3"/>
  <c r="E33" i="3"/>
  <c r="D33" i="3"/>
  <c r="C33" i="3"/>
  <c r="G32" i="3"/>
  <c r="F32" i="3"/>
  <c r="E32" i="3"/>
  <c r="D32" i="3"/>
  <c r="C32" i="3"/>
  <c r="G31" i="3"/>
  <c r="F31" i="3"/>
  <c r="E31" i="3"/>
  <c r="D31" i="3"/>
  <c r="C31" i="3"/>
  <c r="G30" i="3"/>
  <c r="F30" i="3"/>
  <c r="E30" i="3"/>
  <c r="D30" i="3"/>
  <c r="C30" i="3"/>
  <c r="G29" i="3"/>
  <c r="F29" i="3"/>
  <c r="E29" i="3"/>
  <c r="D29" i="3"/>
  <c r="C29" i="3"/>
  <c r="G28" i="3"/>
  <c r="F28" i="3"/>
  <c r="E28" i="3"/>
  <c r="D28" i="3"/>
  <c r="C28" i="3"/>
  <c r="G27" i="3"/>
  <c r="F27" i="3"/>
  <c r="E27" i="3"/>
  <c r="D27" i="3"/>
  <c r="C27" i="3"/>
  <c r="G26" i="3"/>
  <c r="F26" i="3"/>
  <c r="E26" i="3"/>
  <c r="D26" i="3"/>
  <c r="C26" i="3"/>
  <c r="G25" i="3"/>
  <c r="F25" i="3"/>
  <c r="E25" i="3"/>
  <c r="D25" i="3"/>
  <c r="C25" i="3"/>
  <c r="G24" i="3"/>
  <c r="F24" i="3"/>
  <c r="E24" i="3"/>
  <c r="D24" i="3"/>
  <c r="C24" i="3"/>
  <c r="G23" i="3"/>
  <c r="F23" i="3"/>
  <c r="E23" i="3"/>
  <c r="D23" i="3"/>
  <c r="C23" i="3"/>
  <c r="G22" i="3"/>
  <c r="F22" i="3"/>
  <c r="E22" i="3"/>
  <c r="D22" i="3"/>
  <c r="C22" i="3"/>
  <c r="G21" i="3"/>
  <c r="G27" i="8" s="1"/>
  <c r="F21" i="3"/>
  <c r="E21" i="3"/>
  <c r="E27" i="8" s="1"/>
  <c r="D21" i="3"/>
  <c r="D27" i="8" s="1"/>
  <c r="C21" i="3"/>
  <c r="G20" i="3"/>
  <c r="G26" i="8" s="1"/>
  <c r="F20" i="3"/>
  <c r="E20" i="3"/>
  <c r="E26" i="8" s="1"/>
  <c r="D20" i="3"/>
  <c r="D26" i="8" s="1"/>
  <c r="C20" i="3"/>
  <c r="C26" i="8" s="1"/>
  <c r="G19" i="3"/>
  <c r="G25" i="8" s="1"/>
  <c r="F19" i="3"/>
  <c r="F25" i="8" s="1"/>
  <c r="E19" i="3"/>
  <c r="D19" i="3"/>
  <c r="D25" i="8" s="1"/>
  <c r="C19" i="3"/>
  <c r="C25" i="8" s="1"/>
  <c r="G18" i="3"/>
  <c r="F18" i="3"/>
  <c r="E18" i="3"/>
  <c r="D18" i="3"/>
  <c r="C18" i="3"/>
  <c r="G17" i="3"/>
  <c r="F17" i="3"/>
  <c r="E17" i="3"/>
  <c r="D17" i="3"/>
  <c r="C17" i="3"/>
  <c r="G16" i="3"/>
  <c r="F16" i="3"/>
  <c r="E16" i="3"/>
  <c r="D16" i="3"/>
  <c r="C16" i="3"/>
  <c r="G15" i="3"/>
  <c r="F15" i="3"/>
  <c r="E15" i="3"/>
  <c r="D15" i="3"/>
  <c r="C15" i="3"/>
  <c r="G14" i="3"/>
  <c r="F14" i="3"/>
  <c r="E14" i="3"/>
  <c r="D14" i="3"/>
  <c r="C14" i="3"/>
  <c r="G13" i="3"/>
  <c r="F13" i="3"/>
  <c r="E13" i="3"/>
  <c r="D13" i="3"/>
  <c r="C13" i="3"/>
  <c r="G12" i="3"/>
  <c r="F12" i="3"/>
  <c r="E12" i="3"/>
  <c r="D12" i="3"/>
  <c r="C12" i="3"/>
  <c r="G11" i="3"/>
  <c r="G24" i="8" s="1"/>
  <c r="F11" i="3"/>
  <c r="E11" i="3"/>
  <c r="E24" i="8" s="1"/>
  <c r="D11" i="3"/>
  <c r="C11" i="3"/>
  <c r="C24" i="8" s="1"/>
  <c r="G10" i="3"/>
  <c r="G23" i="8" s="1"/>
  <c r="F10" i="3"/>
  <c r="F23" i="8" s="1"/>
  <c r="E10" i="3"/>
  <c r="E23" i="8" s="1"/>
  <c r="D10" i="3"/>
  <c r="D23" i="8" s="1"/>
  <c r="C10" i="3"/>
  <c r="C23" i="8" s="1"/>
  <c r="G9" i="3"/>
  <c r="F9" i="3"/>
  <c r="E9" i="3"/>
  <c r="D9" i="3"/>
  <c r="C9" i="3"/>
  <c r="C22" i="8" s="1"/>
  <c r="G8" i="3"/>
  <c r="F8" i="3"/>
  <c r="E8" i="3"/>
  <c r="D8" i="3"/>
  <c r="C8" i="3"/>
  <c r="G7" i="3"/>
  <c r="F7" i="3"/>
  <c r="E7" i="3"/>
  <c r="D7" i="3"/>
  <c r="C7" i="3"/>
  <c r="G6" i="3"/>
  <c r="F6" i="3"/>
  <c r="E6" i="3"/>
  <c r="D6" i="3"/>
  <c r="C6" i="3"/>
  <c r="G5" i="3"/>
  <c r="F5" i="3"/>
  <c r="E5" i="3"/>
  <c r="D5" i="3"/>
  <c r="C5" i="3"/>
  <c r="G4" i="3"/>
  <c r="F4" i="3"/>
  <c r="E4" i="3"/>
  <c r="D4" i="3"/>
  <c r="C4" i="3"/>
  <c r="G3" i="3"/>
  <c r="F3" i="3"/>
  <c r="E3" i="3"/>
  <c r="D3" i="3"/>
  <c r="C3" i="3"/>
  <c r="B327" i="16"/>
  <c r="B315" i="16"/>
  <c r="B303" i="16"/>
  <c r="B291" i="16"/>
  <c r="C280" i="16"/>
  <c r="C274" i="16"/>
  <c r="C268" i="16"/>
  <c r="C262" i="16"/>
  <c r="C256" i="16"/>
  <c r="C250" i="16"/>
  <c r="C244" i="16"/>
  <c r="C238" i="16"/>
  <c r="C232" i="16"/>
  <c r="B188" i="16"/>
  <c r="C183" i="16"/>
  <c r="B176" i="16"/>
  <c r="C171" i="16"/>
  <c r="B164" i="16"/>
  <c r="C159" i="16"/>
  <c r="B152" i="16"/>
  <c r="C147" i="16"/>
  <c r="B140" i="16"/>
  <c r="C135" i="16"/>
  <c r="B128" i="16"/>
  <c r="C123" i="16"/>
  <c r="B116" i="16"/>
  <c r="C111" i="16"/>
  <c r="B104" i="16"/>
  <c r="C99" i="16"/>
  <c r="B92" i="16"/>
  <c r="C87" i="16"/>
  <c r="B80" i="16"/>
  <c r="C75" i="16"/>
  <c r="B68" i="16"/>
  <c r="C63" i="16"/>
  <c r="B56" i="16"/>
  <c r="C51" i="16"/>
  <c r="B44" i="16"/>
  <c r="C39" i="16"/>
  <c r="B32" i="16"/>
  <c r="B326" i="16"/>
  <c r="B314" i="16"/>
  <c r="B302" i="16"/>
  <c r="B290" i="16"/>
  <c r="B280" i="16"/>
  <c r="B274" i="16"/>
  <c r="B268" i="16"/>
  <c r="B262" i="16"/>
  <c r="B256" i="16"/>
  <c r="B250" i="16"/>
  <c r="B244" i="16"/>
  <c r="B238" i="16"/>
  <c r="B232" i="16"/>
  <c r="B183" i="16"/>
  <c r="C178" i="16"/>
  <c r="B171" i="16"/>
  <c r="C166" i="16"/>
  <c r="B159" i="16"/>
  <c r="C154" i="16"/>
  <c r="B147" i="16"/>
  <c r="C142" i="16"/>
  <c r="B135" i="16"/>
  <c r="C130" i="16"/>
  <c r="B123" i="16"/>
  <c r="C118" i="16"/>
  <c r="B111" i="16"/>
  <c r="C106" i="16"/>
  <c r="B99" i="16"/>
  <c r="C94" i="16"/>
  <c r="B87" i="16"/>
  <c r="C82" i="16"/>
  <c r="B75" i="16"/>
  <c r="C70" i="16"/>
  <c r="B63" i="16"/>
  <c r="C58" i="16"/>
  <c r="B51" i="16"/>
  <c r="C46" i="16"/>
  <c r="B39" i="16"/>
  <c r="C34" i="16"/>
  <c r="C28" i="16"/>
  <c r="C25" i="16"/>
  <c r="C22" i="16"/>
  <c r="C19" i="16"/>
  <c r="C16" i="16"/>
  <c r="C13" i="16"/>
  <c r="C10" i="16"/>
  <c r="C7" i="16"/>
  <c r="C4" i="16"/>
  <c r="B325" i="16"/>
  <c r="B313" i="16"/>
  <c r="B301" i="16"/>
  <c r="B289" i="16"/>
  <c r="C279" i="16"/>
  <c r="C273" i="16"/>
  <c r="C267" i="16"/>
  <c r="C261" i="16"/>
  <c r="C255" i="16"/>
  <c r="C249" i="16"/>
  <c r="C243" i="16"/>
  <c r="C237" i="16"/>
  <c r="C231" i="16"/>
  <c r="C226" i="16"/>
  <c r="C223" i="16"/>
  <c r="C220" i="16"/>
  <c r="C217" i="16"/>
  <c r="C214" i="16"/>
  <c r="C211" i="16"/>
  <c r="C208" i="16"/>
  <c r="C205" i="16"/>
  <c r="C202" i="16"/>
  <c r="C199" i="16"/>
  <c r="C196" i="16"/>
  <c r="C193" i="16"/>
  <c r="C190" i="16"/>
  <c r="C185" i="16"/>
  <c r="B178" i="16"/>
  <c r="C173" i="16"/>
  <c r="B166" i="16"/>
  <c r="C161" i="16"/>
  <c r="B154" i="16"/>
  <c r="C149" i="16"/>
  <c r="B142" i="16"/>
  <c r="C137" i="16"/>
  <c r="B130" i="16"/>
  <c r="C125" i="16"/>
  <c r="B118" i="16"/>
  <c r="C113" i="16"/>
  <c r="B106" i="16"/>
  <c r="C101" i="16"/>
  <c r="B94" i="16"/>
  <c r="C89" i="16"/>
  <c r="B82" i="16"/>
  <c r="C77" i="16"/>
  <c r="B70" i="16"/>
  <c r="C65" i="16"/>
  <c r="B58" i="16"/>
  <c r="C53" i="16"/>
  <c r="B46" i="16"/>
  <c r="C41" i="16"/>
  <c r="B34" i="16"/>
  <c r="B28" i="16"/>
  <c r="B25" i="16"/>
  <c r="B22" i="16"/>
  <c r="B19" i="16"/>
  <c r="B16" i="16"/>
  <c r="B13" i="16"/>
  <c r="B10" i="16"/>
  <c r="B7" i="16"/>
  <c r="B4" i="16"/>
  <c r="B324" i="16"/>
  <c r="B312" i="16"/>
  <c r="B300" i="16"/>
  <c r="B288" i="16"/>
  <c r="B279" i="16"/>
  <c r="B273" i="16"/>
  <c r="B267" i="16"/>
  <c r="B261" i="16"/>
  <c r="B255" i="16"/>
  <c r="B249" i="16"/>
  <c r="B243" i="16"/>
  <c r="B237" i="16"/>
  <c r="B231" i="16"/>
  <c r="B226" i="16"/>
  <c r="B223" i="16"/>
  <c r="B220" i="16"/>
  <c r="B217" i="16"/>
  <c r="B214" i="16"/>
  <c r="B211" i="16"/>
  <c r="B208" i="16"/>
  <c r="B205" i="16"/>
  <c r="B202" i="16"/>
  <c r="B199" i="16"/>
  <c r="B196" i="16"/>
  <c r="B193" i="16"/>
  <c r="B190" i="16"/>
  <c r="B185" i="16"/>
  <c r="C180" i="16"/>
  <c r="B173" i="16"/>
  <c r="C168" i="16"/>
  <c r="B161" i="16"/>
  <c r="C156" i="16"/>
  <c r="B149" i="16"/>
  <c r="C144" i="16"/>
  <c r="B137" i="16"/>
  <c r="C132" i="16"/>
  <c r="B125" i="16"/>
  <c r="C120" i="16"/>
  <c r="B113" i="16"/>
  <c r="C108" i="16"/>
  <c r="B101" i="16"/>
  <c r="C96" i="16"/>
  <c r="B89" i="16"/>
  <c r="C84" i="16"/>
  <c r="B77" i="16"/>
  <c r="C72" i="16"/>
  <c r="B65" i="16"/>
  <c r="C60" i="16"/>
  <c r="B53" i="16"/>
  <c r="C48" i="16"/>
  <c r="B41" i="16"/>
  <c r="C36" i="16"/>
  <c r="B323" i="16"/>
  <c r="B311" i="16"/>
  <c r="B299" i="16"/>
  <c r="B287" i="16"/>
  <c r="C278" i="16"/>
  <c r="C272" i="16"/>
  <c r="C266" i="16"/>
  <c r="C260" i="16"/>
  <c r="C254" i="16"/>
  <c r="C248" i="16"/>
  <c r="C242" i="16"/>
  <c r="C236" i="16"/>
  <c r="C230" i="16"/>
  <c r="C228" i="16"/>
  <c r="C187" i="16"/>
  <c r="B180" i="16"/>
  <c r="C175" i="16"/>
  <c r="B168" i="16"/>
  <c r="C163" i="16"/>
  <c r="B156" i="16"/>
  <c r="C151" i="16"/>
  <c r="B144" i="16"/>
  <c r="C139" i="16"/>
  <c r="B132" i="16"/>
  <c r="C127" i="16"/>
  <c r="B120" i="16"/>
  <c r="C115" i="16"/>
  <c r="B108" i="16"/>
  <c r="C103" i="16"/>
  <c r="B96" i="16"/>
  <c r="C91" i="16"/>
  <c r="B84" i="16"/>
  <c r="C79" i="16"/>
  <c r="B72" i="16"/>
  <c r="C67" i="16"/>
  <c r="B60" i="16"/>
  <c r="C55" i="16"/>
  <c r="B48" i="16"/>
  <c r="C43" i="16"/>
  <c r="B36" i="16"/>
  <c r="C31" i="16"/>
  <c r="B322" i="16"/>
  <c r="B310" i="16"/>
  <c r="B298" i="16"/>
  <c r="B286" i="16"/>
  <c r="B278" i="16"/>
  <c r="B272" i="16"/>
  <c r="B266" i="16"/>
  <c r="B260" i="16"/>
  <c r="B254" i="16"/>
  <c r="B248" i="16"/>
  <c r="B242" i="16"/>
  <c r="B236" i="16"/>
  <c r="B230" i="16"/>
  <c r="B228" i="16"/>
  <c r="B187" i="16"/>
  <c r="C182" i="16"/>
  <c r="B175" i="16"/>
  <c r="C170" i="16"/>
  <c r="B163" i="16"/>
  <c r="C158" i="16"/>
  <c r="B151" i="16"/>
  <c r="C146" i="16"/>
  <c r="B139" i="16"/>
  <c r="C134" i="16"/>
  <c r="B127" i="16"/>
  <c r="C122" i="16"/>
  <c r="B115" i="16"/>
  <c r="C110" i="16"/>
  <c r="B103" i="16"/>
  <c r="C98" i="16"/>
  <c r="B91" i="16"/>
  <c r="C86" i="16"/>
  <c r="B79" i="16"/>
  <c r="C74" i="16"/>
  <c r="B67" i="16"/>
  <c r="C62" i="16"/>
  <c r="B55" i="16"/>
  <c r="C50" i="16"/>
  <c r="B43" i="16"/>
  <c r="C38" i="16"/>
  <c r="B31" i="16"/>
  <c r="C29" i="16"/>
  <c r="C26" i="16"/>
  <c r="C23" i="16"/>
  <c r="C20" i="16"/>
  <c r="C17" i="16"/>
  <c r="C14" i="16"/>
  <c r="C11" i="16"/>
  <c r="C8" i="16"/>
  <c r="C5" i="16"/>
  <c r="C2" i="16"/>
  <c r="B321" i="16"/>
  <c r="B309" i="16"/>
  <c r="B297" i="16"/>
  <c r="B285" i="16"/>
  <c r="C277" i="16"/>
  <c r="C271" i="16"/>
  <c r="C265" i="16"/>
  <c r="C259" i="16"/>
  <c r="C253" i="16"/>
  <c r="C247" i="16"/>
  <c r="C241" i="16"/>
  <c r="C235" i="16"/>
  <c r="C225" i="16"/>
  <c r="C222" i="16"/>
  <c r="C219" i="16"/>
  <c r="C216" i="16"/>
  <c r="C213" i="16"/>
  <c r="C210" i="16"/>
  <c r="C207" i="16"/>
  <c r="C204" i="16"/>
  <c r="C201" i="16"/>
  <c r="C198" i="16"/>
  <c r="C195" i="16"/>
  <c r="C192" i="16"/>
  <c r="C189" i="16"/>
  <c r="B182" i="16"/>
  <c r="C177" i="16"/>
  <c r="B170" i="16"/>
  <c r="C165" i="16"/>
  <c r="B158" i="16"/>
  <c r="C153" i="16"/>
  <c r="B146" i="16"/>
  <c r="C141" i="16"/>
  <c r="B134" i="16"/>
  <c r="C129" i="16"/>
  <c r="B122" i="16"/>
  <c r="C117" i="16"/>
  <c r="B110" i="16"/>
  <c r="C105" i="16"/>
  <c r="B98" i="16"/>
  <c r="C93" i="16"/>
  <c r="B86" i="16"/>
  <c r="C81" i="16"/>
  <c r="B74" i="16"/>
  <c r="C69" i="16"/>
  <c r="B62" i="16"/>
  <c r="C57" i="16"/>
  <c r="B50" i="16"/>
  <c r="C45" i="16"/>
  <c r="B38" i="16"/>
  <c r="C33" i="16"/>
  <c r="B29" i="16"/>
  <c r="B26" i="16"/>
  <c r="B23" i="16"/>
  <c r="B20" i="16"/>
  <c r="B17" i="16"/>
  <c r="B14" i="16"/>
  <c r="B11" i="16"/>
  <c r="B8" i="16"/>
  <c r="B5" i="16"/>
  <c r="B2" i="16"/>
  <c r="B325" i="12"/>
  <c r="B313" i="12"/>
  <c r="B301" i="12"/>
  <c r="B289" i="12"/>
  <c r="C279" i="12"/>
  <c r="C273" i="12"/>
  <c r="C267" i="12"/>
  <c r="C261" i="12"/>
  <c r="C255" i="12"/>
  <c r="C249" i="12"/>
  <c r="C243" i="12"/>
  <c r="C237" i="12"/>
  <c r="C231" i="12"/>
  <c r="C218" i="12"/>
  <c r="C215" i="12"/>
  <c r="C212" i="12"/>
  <c r="C209" i="12"/>
  <c r="C206" i="12"/>
  <c r="C203" i="12"/>
  <c r="C200" i="12"/>
  <c r="C197" i="12"/>
  <c r="C194" i="12"/>
  <c r="C191" i="12"/>
  <c r="B186" i="12"/>
  <c r="B320" i="16"/>
  <c r="B308" i="16"/>
  <c r="B296" i="16"/>
  <c r="B284" i="16"/>
  <c r="B277" i="16"/>
  <c r="B271" i="16"/>
  <c r="B265" i="16"/>
  <c r="B259" i="16"/>
  <c r="B253" i="16"/>
  <c r="B247" i="16"/>
  <c r="B241" i="16"/>
  <c r="B235" i="16"/>
  <c r="B225" i="16"/>
  <c r="B222" i="16"/>
  <c r="B219" i="16"/>
  <c r="B216" i="16"/>
  <c r="B213" i="16"/>
  <c r="B210" i="16"/>
  <c r="B207" i="16"/>
  <c r="B204" i="16"/>
  <c r="B201" i="16"/>
  <c r="B198" i="16"/>
  <c r="B195" i="16"/>
  <c r="B192" i="16"/>
  <c r="B189" i="16"/>
  <c r="C184" i="16"/>
  <c r="B177" i="16"/>
  <c r="C172" i="16"/>
  <c r="B165" i="16"/>
  <c r="C160" i="16"/>
  <c r="B153" i="16"/>
  <c r="C148" i="16"/>
  <c r="B141" i="16"/>
  <c r="C136" i="16"/>
  <c r="B129" i="16"/>
  <c r="C124" i="16"/>
  <c r="B117" i="16"/>
  <c r="C112" i="16"/>
  <c r="B105" i="16"/>
  <c r="C100" i="16"/>
  <c r="B93" i="16"/>
  <c r="C88" i="16"/>
  <c r="B81" i="16"/>
  <c r="C76" i="16"/>
  <c r="B69" i="16"/>
  <c r="C64" i="16"/>
  <c r="B57" i="16"/>
  <c r="C52" i="16"/>
  <c r="B45" i="16"/>
  <c r="C40" i="16"/>
  <c r="B33" i="16"/>
  <c r="B319" i="16"/>
  <c r="B307" i="16"/>
  <c r="B295" i="16"/>
  <c r="B283" i="16"/>
  <c r="C276" i="16"/>
  <c r="C270" i="16"/>
  <c r="C264" i="16"/>
  <c r="C258" i="16"/>
  <c r="C252" i="16"/>
  <c r="C246" i="16"/>
  <c r="C240" i="16"/>
  <c r="C234" i="16"/>
  <c r="B184" i="16"/>
  <c r="C179" i="16"/>
  <c r="B172" i="16"/>
  <c r="C167" i="16"/>
  <c r="B160" i="16"/>
  <c r="C155" i="16"/>
  <c r="B148" i="16"/>
  <c r="C143" i="16"/>
  <c r="B136" i="16"/>
  <c r="C131" i="16"/>
  <c r="B124" i="16"/>
  <c r="C119" i="16"/>
  <c r="B112" i="16"/>
  <c r="C107" i="16"/>
  <c r="B100" i="16"/>
  <c r="C95" i="16"/>
  <c r="B88" i="16"/>
  <c r="C83" i="16"/>
  <c r="B76" i="16"/>
  <c r="C71" i="16"/>
  <c r="B64" i="16"/>
  <c r="C59" i="16"/>
  <c r="B52" i="16"/>
  <c r="C47" i="16"/>
  <c r="B40" i="16"/>
  <c r="C35" i="16"/>
  <c r="B318" i="16"/>
  <c r="B306" i="16"/>
  <c r="B294" i="16"/>
  <c r="B282" i="16"/>
  <c r="B276" i="16"/>
  <c r="B270" i="16"/>
  <c r="B264" i="16"/>
  <c r="B258" i="16"/>
  <c r="B252" i="16"/>
  <c r="B246" i="16"/>
  <c r="B240" i="16"/>
  <c r="B234" i="16"/>
  <c r="C186" i="16"/>
  <c r="B179" i="16"/>
  <c r="C174" i="16"/>
  <c r="B167" i="16"/>
  <c r="C162" i="16"/>
  <c r="B155" i="16"/>
  <c r="C150" i="16"/>
  <c r="B143" i="16"/>
  <c r="C138" i="16"/>
  <c r="B131" i="16"/>
  <c r="C126" i="16"/>
  <c r="B119" i="16"/>
  <c r="C114" i="16"/>
  <c r="B107" i="16"/>
  <c r="C102" i="16"/>
  <c r="B95" i="16"/>
  <c r="C90" i="16"/>
  <c r="B83" i="16"/>
  <c r="C78" i="16"/>
  <c r="B71" i="16"/>
  <c r="C66" i="16"/>
  <c r="B59" i="16"/>
  <c r="C54" i="16"/>
  <c r="B47" i="16"/>
  <c r="C42" i="16"/>
  <c r="B35" i="16"/>
  <c r="C30" i="16"/>
  <c r="C27" i="16"/>
  <c r="C24" i="16"/>
  <c r="C21" i="16"/>
  <c r="C18" i="16"/>
  <c r="C15" i="16"/>
  <c r="C12" i="16"/>
  <c r="C9" i="16"/>
  <c r="C6" i="16"/>
  <c r="C3" i="16"/>
  <c r="B317" i="16"/>
  <c r="B305" i="16"/>
  <c r="B293" i="16"/>
  <c r="C281" i="16"/>
  <c r="C275" i="16"/>
  <c r="C269" i="16"/>
  <c r="C263" i="16"/>
  <c r="C257" i="16"/>
  <c r="C251" i="16"/>
  <c r="C245" i="16"/>
  <c r="C239" i="16"/>
  <c r="C233" i="16"/>
  <c r="C229" i="16"/>
  <c r="C227" i="16"/>
  <c r="C224" i="16"/>
  <c r="C221" i="16"/>
  <c r="C218" i="16"/>
  <c r="C215" i="16"/>
  <c r="C212" i="16"/>
  <c r="C209" i="16"/>
  <c r="C206" i="16"/>
  <c r="C203" i="16"/>
  <c r="C200" i="16"/>
  <c r="C197" i="16"/>
  <c r="C194" i="16"/>
  <c r="C191" i="16"/>
  <c r="B186" i="16"/>
  <c r="C181" i="16"/>
  <c r="B174" i="16"/>
  <c r="C169" i="16"/>
  <c r="B162" i="16"/>
  <c r="C157" i="16"/>
  <c r="B150" i="16"/>
  <c r="C145" i="16"/>
  <c r="B138" i="16"/>
  <c r="C133" i="16"/>
  <c r="B126" i="16"/>
  <c r="C121" i="16"/>
  <c r="B114" i="16"/>
  <c r="C109" i="16"/>
  <c r="B102" i="16"/>
  <c r="C97" i="16"/>
  <c r="B90" i="16"/>
  <c r="C85" i="16"/>
  <c r="B78" i="16"/>
  <c r="C73" i="16"/>
  <c r="B66" i="16"/>
  <c r="C61" i="16"/>
  <c r="B54" i="16"/>
  <c r="C49" i="16"/>
  <c r="B42" i="16"/>
  <c r="C37" i="16"/>
  <c r="B30" i="16"/>
  <c r="B27" i="16"/>
  <c r="B24" i="16"/>
  <c r="B21" i="16"/>
  <c r="B18" i="16"/>
  <c r="B15" i="16"/>
  <c r="B12" i="16"/>
  <c r="B9" i="16"/>
  <c r="B6" i="16"/>
  <c r="B3" i="16"/>
  <c r="B316" i="16"/>
  <c r="B304" i="16"/>
  <c r="B292" i="16"/>
  <c r="B281" i="16"/>
  <c r="B275" i="16"/>
  <c r="B269" i="16"/>
  <c r="B263" i="16"/>
  <c r="B257" i="16"/>
  <c r="B251" i="16"/>
  <c r="B245" i="16"/>
  <c r="B239" i="16"/>
  <c r="B233" i="16"/>
  <c r="B229" i="16"/>
  <c r="B227" i="16"/>
  <c r="B224" i="16"/>
  <c r="B221" i="16"/>
  <c r="B218" i="16"/>
  <c r="B215" i="16"/>
  <c r="B212" i="16"/>
  <c r="B209" i="16"/>
  <c r="B206" i="16"/>
  <c r="B203" i="16"/>
  <c r="B200" i="16"/>
  <c r="B197" i="16"/>
  <c r="B194" i="16"/>
  <c r="B191" i="16"/>
  <c r="C188" i="16"/>
  <c r="B181" i="16"/>
  <c r="C176" i="16"/>
  <c r="B169" i="16"/>
  <c r="C164" i="16"/>
  <c r="B157" i="16"/>
  <c r="C152" i="16"/>
  <c r="B145" i="16"/>
  <c r="C140" i="16"/>
  <c r="B133" i="16"/>
  <c r="C128" i="16"/>
  <c r="B121" i="16"/>
  <c r="C116" i="16"/>
  <c r="B109" i="16"/>
  <c r="C104" i="16"/>
  <c r="B97" i="16"/>
  <c r="C92" i="16"/>
  <c r="B85" i="16"/>
  <c r="C80" i="16"/>
  <c r="B73" i="16"/>
  <c r="C68" i="16"/>
  <c r="B61" i="16"/>
  <c r="C56" i="16"/>
  <c r="B49" i="16"/>
  <c r="C44" i="16"/>
  <c r="B37" i="16"/>
  <c r="C32" i="16"/>
  <c r="B324" i="12"/>
  <c r="B311" i="12"/>
  <c r="B298" i="12"/>
  <c r="B285" i="12"/>
  <c r="B277" i="12"/>
  <c r="C270" i="12"/>
  <c r="B264" i="12"/>
  <c r="C257" i="12"/>
  <c r="B251" i="12"/>
  <c r="C244" i="12"/>
  <c r="B238" i="12"/>
  <c r="B231" i="12"/>
  <c r="C211" i="12"/>
  <c r="B208" i="12"/>
  <c r="C198" i="12"/>
  <c r="B195" i="12"/>
  <c r="B181" i="12"/>
  <c r="C176" i="12"/>
  <c r="B169" i="12"/>
  <c r="C164" i="12"/>
  <c r="B157" i="12"/>
  <c r="C152" i="12"/>
  <c r="B145" i="12"/>
  <c r="C140" i="12"/>
  <c r="B133" i="12"/>
  <c r="C128" i="12"/>
  <c r="B121" i="12"/>
  <c r="C116" i="12"/>
  <c r="B109" i="12"/>
  <c r="C104" i="12"/>
  <c r="B97" i="12"/>
  <c r="C92" i="12"/>
  <c r="B85" i="12"/>
  <c r="C80" i="12"/>
  <c r="B73" i="12"/>
  <c r="C68" i="12"/>
  <c r="B61" i="12"/>
  <c r="C56" i="12"/>
  <c r="B49" i="12"/>
  <c r="C44" i="12"/>
  <c r="B37" i="12"/>
  <c r="B31" i="12"/>
  <c r="B28" i="12"/>
  <c r="B25" i="12"/>
  <c r="B22" i="12"/>
  <c r="B19" i="12"/>
  <c r="B16" i="12"/>
  <c r="B13" i="12"/>
  <c r="B10" i="12"/>
  <c r="B7" i="12"/>
  <c r="B4" i="12"/>
  <c r="B303" i="9"/>
  <c r="B291" i="9"/>
  <c r="C280" i="9"/>
  <c r="C274" i="9"/>
  <c r="C268" i="9"/>
  <c r="C262" i="9"/>
  <c r="C256" i="9"/>
  <c r="C250" i="9"/>
  <c r="C244" i="9"/>
  <c r="C238" i="9"/>
  <c r="C232" i="9"/>
  <c r="C218" i="9"/>
  <c r="C215" i="9"/>
  <c r="C212" i="9"/>
  <c r="C209" i="9"/>
  <c r="C206" i="9"/>
  <c r="C203" i="9"/>
  <c r="C200" i="9"/>
  <c r="C197" i="9"/>
  <c r="C194" i="9"/>
  <c r="C191" i="9"/>
  <c r="B186" i="9"/>
  <c r="C181" i="9"/>
  <c r="B321" i="12"/>
  <c r="B308" i="12"/>
  <c r="B295" i="12"/>
  <c r="B282" i="12"/>
  <c r="C275" i="12"/>
  <c r="B269" i="12"/>
  <c r="C262" i="12"/>
  <c r="B256" i="12"/>
  <c r="B249" i="12"/>
  <c r="C242" i="12"/>
  <c r="B236" i="12"/>
  <c r="B217" i="12"/>
  <c r="C207" i="12"/>
  <c r="B204" i="12"/>
  <c r="B194" i="12"/>
  <c r="C185" i="12"/>
  <c r="B178" i="12"/>
  <c r="C173" i="12"/>
  <c r="B166" i="12"/>
  <c r="C161" i="12"/>
  <c r="B154" i="12"/>
  <c r="C149" i="12"/>
  <c r="B142" i="12"/>
  <c r="C137" i="12"/>
  <c r="B130" i="12"/>
  <c r="C125" i="12"/>
  <c r="B118" i="12"/>
  <c r="C113" i="12"/>
  <c r="B106" i="12"/>
  <c r="C101" i="12"/>
  <c r="B94" i="12"/>
  <c r="C89" i="12"/>
  <c r="B82" i="12"/>
  <c r="C77" i="12"/>
  <c r="B70" i="12"/>
  <c r="C65" i="12"/>
  <c r="B58" i="12"/>
  <c r="C53" i="12"/>
  <c r="B46" i="12"/>
  <c r="C41" i="12"/>
  <c r="B34" i="12"/>
  <c r="C32" i="12"/>
  <c r="C29" i="12"/>
  <c r="C26" i="12"/>
  <c r="C23" i="12"/>
  <c r="C20" i="12"/>
  <c r="C17" i="12"/>
  <c r="C14" i="12"/>
  <c r="C11" i="12"/>
  <c r="C8" i="12"/>
  <c r="C5" i="12"/>
  <c r="C2" i="12"/>
  <c r="B317" i="12"/>
  <c r="B304" i="12"/>
  <c r="B291" i="12"/>
  <c r="B280" i="12"/>
  <c r="B273" i="12"/>
  <c r="C266" i="12"/>
  <c r="B260" i="12"/>
  <c r="C253" i="12"/>
  <c r="B247" i="12"/>
  <c r="C240" i="12"/>
  <c r="B234" i="12"/>
  <c r="C229" i="12"/>
  <c r="C227" i="12"/>
  <c r="C225" i="12"/>
  <c r="C223" i="12"/>
  <c r="C221" i="12"/>
  <c r="C219" i="12"/>
  <c r="B216" i="12"/>
  <c r="B206" i="12"/>
  <c r="C196" i="12"/>
  <c r="B193" i="12"/>
  <c r="B187" i="12"/>
  <c r="B182" i="12"/>
  <c r="C177" i="12"/>
  <c r="B170" i="12"/>
  <c r="C165" i="12"/>
  <c r="B158" i="12"/>
  <c r="C153" i="12"/>
  <c r="B146" i="12"/>
  <c r="C141" i="12"/>
  <c r="B134" i="12"/>
  <c r="C129" i="12"/>
  <c r="B122" i="12"/>
  <c r="C117" i="12"/>
  <c r="B110" i="12"/>
  <c r="C105" i="12"/>
  <c r="B98" i="12"/>
  <c r="C93" i="12"/>
  <c r="B86" i="12"/>
  <c r="C81" i="12"/>
  <c r="B74" i="12"/>
  <c r="C69" i="12"/>
  <c r="B62" i="12"/>
  <c r="C57" i="12"/>
  <c r="B50" i="12"/>
  <c r="C45" i="12"/>
  <c r="B38" i="12"/>
  <c r="C33" i="12"/>
  <c r="C30" i="12"/>
  <c r="C27" i="12"/>
  <c r="C24" i="12"/>
  <c r="C21" i="12"/>
  <c r="C18" i="12"/>
  <c r="C15" i="12"/>
  <c r="C12" i="12"/>
  <c r="C9" i="12"/>
  <c r="C6" i="12"/>
  <c r="C3" i="12"/>
  <c r="B312" i="12"/>
  <c r="B294" i="12"/>
  <c r="B279" i="12"/>
  <c r="B271" i="12"/>
  <c r="B262" i="12"/>
  <c r="B253" i="12"/>
  <c r="B245" i="12"/>
  <c r="C235" i="12"/>
  <c r="B222" i="12"/>
  <c r="C216" i="12"/>
  <c r="C208" i="12"/>
  <c r="C204" i="12"/>
  <c r="B196" i="12"/>
  <c r="B192" i="12"/>
  <c r="C182" i="12"/>
  <c r="C179" i="12"/>
  <c r="C170" i="12"/>
  <c r="C167" i="12"/>
  <c r="C158" i="12"/>
  <c r="C155" i="12"/>
  <c r="C146" i="12"/>
  <c r="C143" i="12"/>
  <c r="C134" i="12"/>
  <c r="C131" i="12"/>
  <c r="C122" i="12"/>
  <c r="C119" i="12"/>
  <c r="C110" i="12"/>
  <c r="C107" i="12"/>
  <c r="C98" i="12"/>
  <c r="C95" i="12"/>
  <c r="C86" i="12"/>
  <c r="C83" i="12"/>
  <c r="C74" i="12"/>
  <c r="C71" i="12"/>
  <c r="C62" i="12"/>
  <c r="C59" i="12"/>
  <c r="C50" i="12"/>
  <c r="C47" i="12"/>
  <c r="C38" i="12"/>
  <c r="C35" i="12"/>
  <c r="B24" i="12"/>
  <c r="B12" i="12"/>
  <c r="B323" i="12"/>
  <c r="B306" i="12"/>
  <c r="B288" i="12"/>
  <c r="C276" i="12"/>
  <c r="B268" i="12"/>
  <c r="B259" i="12"/>
  <c r="C250" i="12"/>
  <c r="C241" i="12"/>
  <c r="B233" i="12"/>
  <c r="B226" i="12"/>
  <c r="B211" i="12"/>
  <c r="B199" i="12"/>
  <c r="C184" i="12"/>
  <c r="C181" i="12"/>
  <c r="C172" i="12"/>
  <c r="C169" i="12"/>
  <c r="C160" i="12"/>
  <c r="C157" i="12"/>
  <c r="C148" i="12"/>
  <c r="C145" i="12"/>
  <c r="C136" i="12"/>
  <c r="C133" i="12"/>
  <c r="C124" i="12"/>
  <c r="C121" i="12"/>
  <c r="C112" i="12"/>
  <c r="C109" i="12"/>
  <c r="C100" i="12"/>
  <c r="C97" i="12"/>
  <c r="C88" i="12"/>
  <c r="C85" i="12"/>
  <c r="C76" i="12"/>
  <c r="C73" i="12"/>
  <c r="C64" i="12"/>
  <c r="C61" i="12"/>
  <c r="C52" i="12"/>
  <c r="C49" i="12"/>
  <c r="C40" i="12"/>
  <c r="C37" i="12"/>
  <c r="B32" i="12"/>
  <c r="B20" i="12"/>
  <c r="B8" i="12"/>
  <c r="B305" i="9"/>
  <c r="B292" i="9"/>
  <c r="B280" i="9"/>
  <c r="C273" i="9"/>
  <c r="B267" i="9"/>
  <c r="C260" i="9"/>
  <c r="B254" i="9"/>
  <c r="C247" i="9"/>
  <c r="B241" i="9"/>
  <c r="C234" i="9"/>
  <c r="B219" i="9"/>
  <c r="B209" i="9"/>
  <c r="C199" i="9"/>
  <c r="B196" i="9"/>
  <c r="C184" i="9"/>
  <c r="C179" i="9"/>
  <c r="B174" i="9"/>
  <c r="C169" i="9"/>
  <c r="B162" i="9"/>
  <c r="C157" i="9"/>
  <c r="B150" i="9"/>
  <c r="C145" i="9"/>
  <c r="B138" i="9"/>
  <c r="C133" i="9"/>
  <c r="B126" i="9"/>
  <c r="C121" i="9"/>
  <c r="B114" i="9"/>
  <c r="C109" i="9"/>
  <c r="B102" i="9"/>
  <c r="C97" i="9"/>
  <c r="B90" i="9"/>
  <c r="C85" i="9"/>
  <c r="B78" i="9"/>
  <c r="C73" i="9"/>
  <c r="B66" i="9"/>
  <c r="C61" i="9"/>
  <c r="B54" i="9"/>
  <c r="C49" i="9"/>
  <c r="B42" i="9"/>
  <c r="C37" i="9"/>
  <c r="B30" i="9"/>
  <c r="C25" i="9"/>
  <c r="B21" i="9"/>
  <c r="B18" i="9"/>
  <c r="B15" i="9"/>
  <c r="B12" i="9"/>
  <c r="B9" i="9"/>
  <c r="B6" i="9"/>
  <c r="B3" i="9"/>
  <c r="C242" i="4"/>
  <c r="C230" i="4"/>
  <c r="C218" i="4"/>
  <c r="B214" i="4"/>
  <c r="C210" i="4"/>
  <c r="C207" i="4"/>
  <c r="B204" i="4"/>
  <c r="B197" i="4"/>
  <c r="B188" i="4"/>
  <c r="C181" i="4"/>
  <c r="B176" i="4"/>
  <c r="C169" i="4"/>
  <c r="B164" i="4"/>
  <c r="C157" i="4"/>
  <c r="B152" i="4"/>
  <c r="C145" i="4"/>
  <c r="B140" i="4"/>
  <c r="C133" i="4"/>
  <c r="B128" i="4"/>
  <c r="C121" i="4"/>
  <c r="B116" i="4"/>
  <c r="C107" i="4"/>
  <c r="C104" i="4"/>
  <c r="C101" i="4"/>
  <c r="C98" i="4"/>
  <c r="C95" i="4"/>
  <c r="C92" i="4"/>
  <c r="C89" i="4"/>
  <c r="C86" i="4"/>
  <c r="C83" i="4"/>
  <c r="C80" i="4"/>
  <c r="C77" i="4"/>
  <c r="C74" i="4"/>
  <c r="C71" i="4"/>
  <c r="C68" i="4"/>
  <c r="C65" i="4"/>
  <c r="C62" i="4"/>
  <c r="C59" i="4"/>
  <c r="C56" i="4"/>
  <c r="C53" i="4"/>
  <c r="C50" i="4"/>
  <c r="C47" i="4"/>
  <c r="B322" i="12"/>
  <c r="B305" i="12"/>
  <c r="B287" i="12"/>
  <c r="B276" i="12"/>
  <c r="B267" i="12"/>
  <c r="C258" i="12"/>
  <c r="B250" i="12"/>
  <c r="B241" i="12"/>
  <c r="C232" i="12"/>
  <c r="C228" i="12"/>
  <c r="B221" i="12"/>
  <c r="C214" i="12"/>
  <c r="B184" i="12"/>
  <c r="C178" i="12"/>
  <c r="C175" i="12"/>
  <c r="B172" i="12"/>
  <c r="C166" i="12"/>
  <c r="C163" i="12"/>
  <c r="B160" i="12"/>
  <c r="C154" i="12"/>
  <c r="C151" i="12"/>
  <c r="B148" i="12"/>
  <c r="C142" i="12"/>
  <c r="C139" i="12"/>
  <c r="B136" i="12"/>
  <c r="C130" i="12"/>
  <c r="C127" i="12"/>
  <c r="B124" i="12"/>
  <c r="C118" i="12"/>
  <c r="C115" i="12"/>
  <c r="B112" i="12"/>
  <c r="C106" i="12"/>
  <c r="C103" i="12"/>
  <c r="B100" i="12"/>
  <c r="C94" i="12"/>
  <c r="C91" i="12"/>
  <c r="B88" i="12"/>
  <c r="C82" i="12"/>
  <c r="C79" i="12"/>
  <c r="B76" i="12"/>
  <c r="C70" i="12"/>
  <c r="C67" i="12"/>
  <c r="B64" i="12"/>
  <c r="C58" i="12"/>
  <c r="C55" i="12"/>
  <c r="B52" i="12"/>
  <c r="C46" i="12"/>
  <c r="C43" i="12"/>
  <c r="B40" i="12"/>
  <c r="C34" i="12"/>
  <c r="C25" i="12"/>
  <c r="C13" i="12"/>
  <c r="B320" i="12"/>
  <c r="B303" i="12"/>
  <c r="B286" i="12"/>
  <c r="B275" i="12"/>
  <c r="B266" i="12"/>
  <c r="B258" i="12"/>
  <c r="C248" i="12"/>
  <c r="B240" i="12"/>
  <c r="B232" i="12"/>
  <c r="B228" i="12"/>
  <c r="B218" i="12"/>
  <c r="B214" i="12"/>
  <c r="C210" i="12"/>
  <c r="C202" i="12"/>
  <c r="C190" i="12"/>
  <c r="C187" i="12"/>
  <c r="B175" i="12"/>
  <c r="B163" i="12"/>
  <c r="B151" i="12"/>
  <c r="B139" i="12"/>
  <c r="B127" i="12"/>
  <c r="B115" i="12"/>
  <c r="B103" i="12"/>
  <c r="B91" i="12"/>
  <c r="B79" i="12"/>
  <c r="B67" i="12"/>
  <c r="B55" i="12"/>
  <c r="B43" i="12"/>
  <c r="B30" i="12"/>
  <c r="B18" i="12"/>
  <c r="B6" i="12"/>
  <c r="B302" i="9"/>
  <c r="B289" i="9"/>
  <c r="B279" i="9"/>
  <c r="B319" i="12"/>
  <c r="B302" i="12"/>
  <c r="B284" i="12"/>
  <c r="C274" i="12"/>
  <c r="C265" i="12"/>
  <c r="B257" i="12"/>
  <c r="B248" i="12"/>
  <c r="C239" i="12"/>
  <c r="C230" i="12"/>
  <c r="B223" i="12"/>
  <c r="B210" i="12"/>
  <c r="B202" i="12"/>
  <c r="B198" i="12"/>
  <c r="B190" i="12"/>
  <c r="C180" i="12"/>
  <c r="C168" i="12"/>
  <c r="C156" i="12"/>
  <c r="C144" i="12"/>
  <c r="C132" i="12"/>
  <c r="C120" i="12"/>
  <c r="C108" i="12"/>
  <c r="C96" i="12"/>
  <c r="C84" i="12"/>
  <c r="C72" i="12"/>
  <c r="C60" i="12"/>
  <c r="C48" i="12"/>
  <c r="C36" i="12"/>
  <c r="B23" i="12"/>
  <c r="B11" i="12"/>
  <c r="B299" i="12"/>
  <c r="C277" i="12"/>
  <c r="B261" i="12"/>
  <c r="B246" i="12"/>
  <c r="B230" i="12"/>
  <c r="B227" i="12"/>
  <c r="B213" i="12"/>
  <c r="B207" i="12"/>
  <c r="C201" i="12"/>
  <c r="B185" i="12"/>
  <c r="B180" i="12"/>
  <c r="B176" i="12"/>
  <c r="C171" i="12"/>
  <c r="B167" i="12"/>
  <c r="B149" i="12"/>
  <c r="B144" i="12"/>
  <c r="B140" i="12"/>
  <c r="C135" i="12"/>
  <c r="B131" i="12"/>
  <c r="B113" i="12"/>
  <c r="B108" i="12"/>
  <c r="B104" i="12"/>
  <c r="C99" i="12"/>
  <c r="B95" i="12"/>
  <c r="B77" i="12"/>
  <c r="B72" i="12"/>
  <c r="B68" i="12"/>
  <c r="C63" i="12"/>
  <c r="B59" i="12"/>
  <c r="B41" i="12"/>
  <c r="B36" i="12"/>
  <c r="C28" i="12"/>
  <c r="B5" i="12"/>
  <c r="B297" i="12"/>
  <c r="B274" i="12"/>
  <c r="C260" i="12"/>
  <c r="C245" i="12"/>
  <c r="C224" i="12"/>
  <c r="B201" i="12"/>
  <c r="C195" i="12"/>
  <c r="B171" i="12"/>
  <c r="C162" i="12"/>
  <c r="B153" i="12"/>
  <c r="B135" i="12"/>
  <c r="C126" i="12"/>
  <c r="B117" i="12"/>
  <c r="B99" i="12"/>
  <c r="C90" i="12"/>
  <c r="B81" i="12"/>
  <c r="B63" i="12"/>
  <c r="C54" i="12"/>
  <c r="B45" i="12"/>
  <c r="B26" i="12"/>
  <c r="B3" i="12"/>
  <c r="B304" i="9"/>
  <c r="B287" i="9"/>
  <c r="B277" i="9"/>
  <c r="B270" i="9"/>
  <c r="B263" i="9"/>
  <c r="C255" i="9"/>
  <c r="C248" i="9"/>
  <c r="C241" i="9"/>
  <c r="B234" i="9"/>
  <c r="B229" i="9"/>
  <c r="B217" i="9"/>
  <c r="C210" i="9"/>
  <c r="C196" i="9"/>
  <c r="C189" i="9"/>
  <c r="B178" i="9"/>
  <c r="C165" i="9"/>
  <c r="B160" i="9"/>
  <c r="B155" i="9"/>
  <c r="C152" i="9"/>
  <c r="C147" i="9"/>
  <c r="B142" i="9"/>
  <c r="C129" i="9"/>
  <c r="B124" i="9"/>
  <c r="B119" i="9"/>
  <c r="C116" i="9"/>
  <c r="C111" i="9"/>
  <c r="B106" i="9"/>
  <c r="C93" i="9"/>
  <c r="B88" i="9"/>
  <c r="B83" i="9"/>
  <c r="C80" i="9"/>
  <c r="C75" i="9"/>
  <c r="B70" i="9"/>
  <c r="C57" i="9"/>
  <c r="B52" i="9"/>
  <c r="B47" i="9"/>
  <c r="C44" i="9"/>
  <c r="C39" i="9"/>
  <c r="B34" i="9"/>
  <c r="B318" i="12"/>
  <c r="B292" i="12"/>
  <c r="C271" i="12"/>
  <c r="B255" i="12"/>
  <c r="B242" i="12"/>
  <c r="B229" i="12"/>
  <c r="C226" i="12"/>
  <c r="C220" i="12"/>
  <c r="B205" i="12"/>
  <c r="C193" i="12"/>
  <c r="C183" i="12"/>
  <c r="B179" i="12"/>
  <c r="B161" i="12"/>
  <c r="B156" i="12"/>
  <c r="B152" i="12"/>
  <c r="C147" i="12"/>
  <c r="B143" i="12"/>
  <c r="B125" i="12"/>
  <c r="B120" i="12"/>
  <c r="B116" i="12"/>
  <c r="C111" i="12"/>
  <c r="B107" i="12"/>
  <c r="B89" i="12"/>
  <c r="B84" i="12"/>
  <c r="B80" i="12"/>
  <c r="C75" i="12"/>
  <c r="B71" i="12"/>
  <c r="B53" i="12"/>
  <c r="B48" i="12"/>
  <c r="B44" i="12"/>
  <c r="C39" i="12"/>
  <c r="B35" i="12"/>
  <c r="B15" i="12"/>
  <c r="B316" i="12"/>
  <c r="B290" i="12"/>
  <c r="B270" i="12"/>
  <c r="C254" i="12"/>
  <c r="B239" i="12"/>
  <c r="B220" i="12"/>
  <c r="C199" i="12"/>
  <c r="C188" i="12"/>
  <c r="B183" i="12"/>
  <c r="C174" i="12"/>
  <c r="B165" i="12"/>
  <c r="B147" i="12"/>
  <c r="C138" i="12"/>
  <c r="B129" i="12"/>
  <c r="B111" i="12"/>
  <c r="C102" i="12"/>
  <c r="B93" i="12"/>
  <c r="B75" i="12"/>
  <c r="C66" i="12"/>
  <c r="B57" i="12"/>
  <c r="B39" i="12"/>
  <c r="B315" i="12"/>
  <c r="B283" i="12"/>
  <c r="C269" i="12"/>
  <c r="B254" i="12"/>
  <c r="C238" i="12"/>
  <c r="B188" i="12"/>
  <c r="B174" i="12"/>
  <c r="B138" i="12"/>
  <c r="B102" i="12"/>
  <c r="B66" i="12"/>
  <c r="B29" i="12"/>
  <c r="B21" i="12"/>
  <c r="C19" i="12"/>
  <c r="C4" i="12"/>
  <c r="B314" i="12"/>
  <c r="C280" i="12"/>
  <c r="C252" i="12"/>
  <c r="B191" i="12"/>
  <c r="B177" i="12"/>
  <c r="B150" i="12"/>
  <c r="B128" i="12"/>
  <c r="B101" i="12"/>
  <c r="B87" i="12"/>
  <c r="B33" i="12"/>
  <c r="C31" i="12"/>
  <c r="C278" i="12"/>
  <c r="B252" i="12"/>
  <c r="C213" i="12"/>
  <c r="B162" i="12"/>
  <c r="C7" i="12"/>
  <c r="B309" i="9"/>
  <c r="B293" i="9"/>
  <c r="B278" i="9"/>
  <c r="C270" i="9"/>
  <c r="B262" i="9"/>
  <c r="C254" i="9"/>
  <c r="C246" i="9"/>
  <c r="B239" i="9"/>
  <c r="B231" i="9"/>
  <c r="B228" i="9"/>
  <c r="C211" i="9"/>
  <c r="C204" i="9"/>
  <c r="B193" i="9"/>
  <c r="C186" i="9"/>
  <c r="B169" i="9"/>
  <c r="C166" i="9"/>
  <c r="C158" i="9"/>
  <c r="B139" i="9"/>
  <c r="C136" i="9"/>
  <c r="C125" i="9"/>
  <c r="B120" i="9"/>
  <c r="C117" i="9"/>
  <c r="B109" i="9"/>
  <c r="B98" i="9"/>
  <c r="C95" i="9"/>
  <c r="C92" i="9"/>
  <c r="B87" i="9"/>
  <c r="B327" i="12"/>
  <c r="B278" i="12"/>
  <c r="C251" i="12"/>
  <c r="C205" i="12"/>
  <c r="B197" i="12"/>
  <c r="B168" i="12"/>
  <c r="B155" i="12"/>
  <c r="C114" i="12"/>
  <c r="C51" i="12"/>
  <c r="B9" i="12"/>
  <c r="B310" i="12"/>
  <c r="B272" i="12"/>
  <c r="C246" i="12"/>
  <c r="C222" i="12"/>
  <c r="B189" i="12"/>
  <c r="B126" i="12"/>
  <c r="B17" i="12"/>
  <c r="B309" i="12"/>
  <c r="C268" i="12"/>
  <c r="B244" i="12"/>
  <c r="B225" i="12"/>
  <c r="C159" i="12"/>
  <c r="B132" i="12"/>
  <c r="B119" i="12"/>
  <c r="C78" i="12"/>
  <c r="B301" i="9"/>
  <c r="B285" i="9"/>
  <c r="C275" i="9"/>
  <c r="C267" i="9"/>
  <c r="C259" i="9"/>
  <c r="B252" i="9"/>
  <c r="B244" i="9"/>
  <c r="C236" i="9"/>
  <c r="C227" i="9"/>
  <c r="B225" i="9"/>
  <c r="C217" i="9"/>
  <c r="B210" i="9"/>
  <c r="B199" i="9"/>
  <c r="C195" i="9"/>
  <c r="B192" i="9"/>
  <c r="C188" i="9"/>
  <c r="C185" i="9"/>
  <c r="B171" i="9"/>
  <c r="C168" i="9"/>
  <c r="B149" i="9"/>
  <c r="B141" i="9"/>
  <c r="C138" i="9"/>
  <c r="B127" i="9"/>
  <c r="C119" i="9"/>
  <c r="B116" i="9"/>
  <c r="C108" i="9"/>
  <c r="B97" i="9"/>
  <c r="C94" i="9"/>
  <c r="C86" i="9"/>
  <c r="B67" i="9"/>
  <c r="C64" i="9"/>
  <c r="C53" i="9"/>
  <c r="B48" i="9"/>
  <c r="C45" i="9"/>
  <c r="B37" i="9"/>
  <c r="B26" i="9"/>
  <c r="C18" i="9"/>
  <c r="C7" i="9"/>
  <c r="B4" i="9"/>
  <c r="C246" i="4"/>
  <c r="C233" i="4"/>
  <c r="C220" i="4"/>
  <c r="C214" i="4"/>
  <c r="B210" i="4"/>
  <c r="B203" i="4"/>
  <c r="B200" i="4"/>
  <c r="B196" i="4"/>
  <c r="C192" i="4"/>
  <c r="C189" i="4"/>
  <c r="B180" i="4"/>
  <c r="C171" i="4"/>
  <c r="B307" i="12"/>
  <c r="B265" i="12"/>
  <c r="B243" i="12"/>
  <c r="C217" i="12"/>
  <c r="B203" i="12"/>
  <c r="B173" i="12"/>
  <c r="B159" i="12"/>
  <c r="B105" i="12"/>
  <c r="B78" i="12"/>
  <c r="B56" i="12"/>
  <c r="B27" i="12"/>
  <c r="C22" i="12"/>
  <c r="B300" i="12"/>
  <c r="C264" i="12"/>
  <c r="B237" i="12"/>
  <c r="B209" i="12"/>
  <c r="B90" i="12"/>
  <c r="C10" i="12"/>
  <c r="B299" i="9"/>
  <c r="B283" i="9"/>
  <c r="B274" i="9"/>
  <c r="B266" i="9"/>
  <c r="C258" i="9"/>
  <c r="B251" i="9"/>
  <c r="B243" i="9"/>
  <c r="C235" i="9"/>
  <c r="C229" i="9"/>
  <c r="C220" i="9"/>
  <c r="C213" i="9"/>
  <c r="B202" i="9"/>
  <c r="C182" i="9"/>
  <c r="B179" i="9"/>
  <c r="B176" i="9"/>
  <c r="C173" i="9"/>
  <c r="C162" i="9"/>
  <c r="B154" i="9"/>
  <c r="C151" i="9"/>
  <c r="B146" i="9"/>
  <c r="B135" i="9"/>
  <c r="C132" i="9"/>
  <c r="B113" i="9"/>
  <c r="B105" i="9"/>
  <c r="C102" i="9"/>
  <c r="B91" i="9"/>
  <c r="C83" i="9"/>
  <c r="B80" i="9"/>
  <c r="C72" i="9"/>
  <c r="B61" i="9"/>
  <c r="C58" i="9"/>
  <c r="C50" i="9"/>
  <c r="B31" i="9"/>
  <c r="C28" i="9"/>
  <c r="B23" i="9"/>
  <c r="C13" i="9"/>
  <c r="B10" i="9"/>
  <c r="C2" i="9"/>
  <c r="C247" i="12"/>
  <c r="B224" i="12"/>
  <c r="C16" i="12"/>
  <c r="B14" i="12"/>
  <c r="B295" i="9"/>
  <c r="C276" i="9"/>
  <c r="C265" i="9"/>
  <c r="B256" i="9"/>
  <c r="C245" i="9"/>
  <c r="B235" i="9"/>
  <c r="B226" i="9"/>
  <c r="B200" i="9"/>
  <c r="B191" i="9"/>
  <c r="C187" i="9"/>
  <c r="C183" i="9"/>
  <c r="C176" i="9"/>
  <c r="B173" i="9"/>
  <c r="C159" i="9"/>
  <c r="B156" i="9"/>
  <c r="C149" i="9"/>
  <c r="C139" i="9"/>
  <c r="B129" i="9"/>
  <c r="C112" i="9"/>
  <c r="B95" i="9"/>
  <c r="C91" i="9"/>
  <c r="C78" i="9"/>
  <c r="C62" i="9"/>
  <c r="C59" i="9"/>
  <c r="B56" i="9"/>
  <c r="C34" i="9"/>
  <c r="B20" i="9"/>
  <c r="C15" i="9"/>
  <c r="C3" i="9"/>
  <c r="C236" i="12"/>
  <c r="B212" i="12"/>
  <c r="C192" i="12"/>
  <c r="B294" i="9"/>
  <c r="B276" i="9"/>
  <c r="B265" i="9"/>
  <c r="B255" i="9"/>
  <c r="B245" i="9"/>
  <c r="C233" i="9"/>
  <c r="C221" i="9"/>
  <c r="C208" i="9"/>
  <c r="B195" i="9"/>
  <c r="B187" i="9"/>
  <c r="B183" i="9"/>
  <c r="B166" i="9"/>
  <c r="B159" i="9"/>
  <c r="B152" i="9"/>
  <c r="C115" i="9"/>
  <c r="B112" i="9"/>
  <c r="C98" i="9"/>
  <c r="C84" i="9"/>
  <c r="C81" i="9"/>
  <c r="C68" i="9"/>
  <c r="C65" i="9"/>
  <c r="B62" i="9"/>
  <c r="B59" i="9"/>
  <c r="C43" i="9"/>
  <c r="C40" i="9"/>
  <c r="C8" i="9"/>
  <c r="B326" i="12"/>
  <c r="B235" i="12"/>
  <c r="B83" i="12"/>
  <c r="B65" i="12"/>
  <c r="B47" i="12"/>
  <c r="B293" i="12"/>
  <c r="C233" i="12"/>
  <c r="B219" i="12"/>
  <c r="B200" i="12"/>
  <c r="B137" i="12"/>
  <c r="B54" i="12"/>
  <c r="B2" i="12"/>
  <c r="B310" i="9"/>
  <c r="B286" i="9"/>
  <c r="C272" i="9"/>
  <c r="C263" i="9"/>
  <c r="C252" i="9"/>
  <c r="B242" i="9"/>
  <c r="C231" i="9"/>
  <c r="C225" i="9"/>
  <c r="B216" i="9"/>
  <c r="B212" i="9"/>
  <c r="C207" i="9"/>
  <c r="B203" i="9"/>
  <c r="C198" i="9"/>
  <c r="B194" i="9"/>
  <c r="B190" i="9"/>
  <c r="B175" i="9"/>
  <c r="B172" i="9"/>
  <c r="B165" i="9"/>
  <c r="C155" i="9"/>
  <c r="C148" i="9"/>
  <c r="B128" i="9"/>
  <c r="B111" i="9"/>
  <c r="C90" i="9"/>
  <c r="B71" i="9"/>
  <c r="B58" i="9"/>
  <c r="B39" i="9"/>
  <c r="C36" i="9"/>
  <c r="B33" i="9"/>
  <c r="B27" i="9"/>
  <c r="B24" i="9"/>
  <c r="C16" i="9"/>
  <c r="C11" i="9"/>
  <c r="C243" i="4"/>
  <c r="C228" i="4"/>
  <c r="B212" i="4"/>
  <c r="C208" i="4"/>
  <c r="B205" i="4"/>
  <c r="B201" i="4"/>
  <c r="B193" i="4"/>
  <c r="C187" i="4"/>
  <c r="B174" i="4"/>
  <c r="C172" i="4"/>
  <c r="C170" i="4"/>
  <c r="C168" i="4"/>
  <c r="B161" i="4"/>
  <c r="C152" i="4"/>
  <c r="C150" i="4"/>
  <c r="B143" i="4"/>
  <c r="B134" i="4"/>
  <c r="C132" i="4"/>
  <c r="B125" i="4"/>
  <c r="C116" i="4"/>
  <c r="C114" i="4"/>
  <c r="C99" i="4"/>
  <c r="B96" i="4"/>
  <c r="C88" i="4"/>
  <c r="B85" i="4"/>
  <c r="B74" i="4"/>
  <c r="C63" i="4"/>
  <c r="B60" i="4"/>
  <c r="C52" i="4"/>
  <c r="B49" i="4"/>
  <c r="C272" i="12"/>
  <c r="B271" i="9"/>
  <c r="B211" i="9"/>
  <c r="C171" i="9"/>
  <c r="B161" i="9"/>
  <c r="C144" i="9"/>
  <c r="C127" i="9"/>
  <c r="B117" i="9"/>
  <c r="B100" i="9"/>
  <c r="C76" i="9"/>
  <c r="C70" i="9"/>
  <c r="C281" i="12"/>
  <c r="B308" i="9"/>
  <c r="B284" i="9"/>
  <c r="B272" i="9"/>
  <c r="C261" i="9"/>
  <c r="C251" i="9"/>
  <c r="C240" i="9"/>
  <c r="C230" i="9"/>
  <c r="B207" i="9"/>
  <c r="B198" i="9"/>
  <c r="B182" i="9"/>
  <c r="C178" i="9"/>
  <c r="B158" i="9"/>
  <c r="B151" i="9"/>
  <c r="B148" i="9"/>
  <c r="C141" i="9"/>
  <c r="C134" i="9"/>
  <c r="C131" i="9"/>
  <c r="B121" i="9"/>
  <c r="C114" i="9"/>
  <c r="C107" i="9"/>
  <c r="C67" i="9"/>
  <c r="B64" i="9"/>
  <c r="C42" i="9"/>
  <c r="B36" i="9"/>
  <c r="C21" i="9"/>
  <c r="B16" i="9"/>
  <c r="B11" i="9"/>
  <c r="C4" i="9"/>
  <c r="C241" i="4"/>
  <c r="C227" i="4"/>
  <c r="C216" i="4"/>
  <c r="B208" i="4"/>
  <c r="B189" i="4"/>
  <c r="B187" i="4"/>
  <c r="C185" i="4"/>
  <c r="B172" i="4"/>
  <c r="B170" i="4"/>
  <c r="B168" i="4"/>
  <c r="C159" i="4"/>
  <c r="B150" i="4"/>
  <c r="C141" i="4"/>
  <c r="B132" i="4"/>
  <c r="C123" i="4"/>
  <c r="B114" i="4"/>
  <c r="C112" i="4"/>
  <c r="C110" i="4"/>
  <c r="C102" i="4"/>
  <c r="B99" i="4"/>
  <c r="C91" i="4"/>
  <c r="B88" i="4"/>
  <c r="B77" i="4"/>
  <c r="C66" i="4"/>
  <c r="B63" i="4"/>
  <c r="C55" i="4"/>
  <c r="B52" i="4"/>
  <c r="C2" i="4"/>
  <c r="C240" i="4"/>
  <c r="C226" i="4"/>
  <c r="B216" i="4"/>
  <c r="C211" i="4"/>
  <c r="C204" i="4"/>
  <c r="C196" i="4"/>
  <c r="B192" i="4"/>
  <c r="B185" i="4"/>
  <c r="C166" i="4"/>
  <c r="B159" i="4"/>
  <c r="B157" i="4"/>
  <c r="C148" i="4"/>
  <c r="B141" i="4"/>
  <c r="C139" i="4"/>
  <c r="C130" i="4"/>
  <c r="B123" i="4"/>
  <c r="B121" i="4"/>
  <c r="B112" i="4"/>
  <c r="B110" i="4"/>
  <c r="C105" i="4"/>
  <c r="B102" i="4"/>
  <c r="C94" i="4"/>
  <c r="B91" i="4"/>
  <c r="B80" i="4"/>
  <c r="C69" i="4"/>
  <c r="B66" i="4"/>
  <c r="C58" i="4"/>
  <c r="B55" i="4"/>
  <c r="C44" i="4"/>
  <c r="C41" i="4"/>
  <c r="C38" i="4"/>
  <c r="C35" i="4"/>
  <c r="C32" i="4"/>
  <c r="C29" i="4"/>
  <c r="C26" i="4"/>
  <c r="C23" i="4"/>
  <c r="C20" i="4"/>
  <c r="C17" i="4"/>
  <c r="C14" i="4"/>
  <c r="C11" i="4"/>
  <c r="C8" i="4"/>
  <c r="C5" i="4"/>
  <c r="B2" i="4"/>
  <c r="B306" i="9"/>
  <c r="C281" i="9"/>
  <c r="B260" i="9"/>
  <c r="C249" i="9"/>
  <c r="C239" i="9"/>
  <c r="B215" i="9"/>
  <c r="B206" i="9"/>
  <c r="C193" i="9"/>
  <c r="B164" i="9"/>
  <c r="C137" i="9"/>
  <c r="B110" i="9"/>
  <c r="B103" i="9"/>
  <c r="B86" i="9"/>
  <c r="C79" i="9"/>
  <c r="B73" i="9"/>
  <c r="B281" i="12"/>
  <c r="C189" i="12"/>
  <c r="B307" i="9"/>
  <c r="B282" i="9"/>
  <c r="C271" i="9"/>
  <c r="B261" i="9"/>
  <c r="B250" i="9"/>
  <c r="B240" i="9"/>
  <c r="B230" i="9"/>
  <c r="B227" i="9"/>
  <c r="B220" i="9"/>
  <c r="C202" i="9"/>
  <c r="B189" i="9"/>
  <c r="B185" i="9"/>
  <c r="B168" i="9"/>
  <c r="C164" i="9"/>
  <c r="C161" i="9"/>
  <c r="C154" i="9"/>
  <c r="B134" i="9"/>
  <c r="B131" i="9"/>
  <c r="C124" i="9"/>
  <c r="C110" i="9"/>
  <c r="B107" i="9"/>
  <c r="C103" i="9"/>
  <c r="C100" i="9"/>
  <c r="B93" i="9"/>
  <c r="C51" i="9"/>
  <c r="C14" i="9"/>
  <c r="C9" i="9"/>
  <c r="B141" i="12"/>
  <c r="B311" i="9"/>
  <c r="B273" i="9"/>
  <c r="B253" i="9"/>
  <c r="B232" i="9"/>
  <c r="B224" i="9"/>
  <c r="C190" i="9"/>
  <c r="C146" i="9"/>
  <c r="B89" i="9"/>
  <c r="B84" i="9"/>
  <c r="C74" i="9"/>
  <c r="C69" i="9"/>
  <c r="B65" i="9"/>
  <c r="B19" i="9"/>
  <c r="C245" i="4"/>
  <c r="C224" i="4"/>
  <c r="C209" i="4"/>
  <c r="C191" i="4"/>
  <c r="C188" i="4"/>
  <c r="B181" i="4"/>
  <c r="B179" i="4"/>
  <c r="C177" i="4"/>
  <c r="C175" i="4"/>
  <c r="B173" i="4"/>
  <c r="C155" i="4"/>
  <c r="C151" i="4"/>
  <c r="C128" i="4"/>
  <c r="B126" i="4"/>
  <c r="B124" i="4"/>
  <c r="C113" i="4"/>
  <c r="C103" i="4"/>
  <c r="C85" i="4"/>
  <c r="C78" i="4"/>
  <c r="C76" i="4"/>
  <c r="B71" i="4"/>
  <c r="B64" i="4"/>
  <c r="B62" i="4"/>
  <c r="B53" i="4"/>
  <c r="C51" i="4"/>
  <c r="B46" i="4"/>
  <c r="C39" i="4"/>
  <c r="B34" i="4"/>
  <c r="C27" i="4"/>
  <c r="B22" i="4"/>
  <c r="C15" i="4"/>
  <c r="B10" i="4"/>
  <c r="C3" i="4"/>
  <c r="C150" i="12"/>
  <c r="B300" i="9"/>
  <c r="C269" i="9"/>
  <c r="B249" i="9"/>
  <c r="C216" i="9"/>
  <c r="C177" i="9"/>
  <c r="C140" i="9"/>
  <c r="C135" i="9"/>
  <c r="C130" i="9"/>
  <c r="B125" i="9"/>
  <c r="B115" i="9"/>
  <c r="C104" i="9"/>
  <c r="C99" i="9"/>
  <c r="B74" i="9"/>
  <c r="B69" i="9"/>
  <c r="C54" i="9"/>
  <c r="C46" i="9"/>
  <c r="C32" i="9"/>
  <c r="C17" i="9"/>
  <c r="B2" i="9"/>
  <c r="C244" i="4"/>
  <c r="C223" i="4"/>
  <c r="B209" i="4"/>
  <c r="C205" i="4"/>
  <c r="B191" i="4"/>
  <c r="C183" i="4"/>
  <c r="B177" i="4"/>
  <c r="B175" i="4"/>
  <c r="B155" i="4"/>
  <c r="C153" i="4"/>
  <c r="B151" i="4"/>
  <c r="C138" i="4"/>
  <c r="B113" i="4"/>
  <c r="C108" i="4"/>
  <c r="B103" i="4"/>
  <c r="B101" i="4"/>
  <c r="B92" i="4"/>
  <c r="C90" i="4"/>
  <c r="B83" i="4"/>
  <c r="B78" i="4"/>
  <c r="B76" i="4"/>
  <c r="B69" i="4"/>
  <c r="B51" i="4"/>
  <c r="B44" i="4"/>
  <c r="B39" i="4"/>
  <c r="B32" i="4"/>
  <c r="B27" i="4"/>
  <c r="B20" i="4"/>
  <c r="B15" i="4"/>
  <c r="B8" i="4"/>
  <c r="B3" i="4"/>
  <c r="C263" i="12"/>
  <c r="C87" i="12"/>
  <c r="B297" i="9"/>
  <c r="B268" i="9"/>
  <c r="B247" i="9"/>
  <c r="C226" i="9"/>
  <c r="B208" i="9"/>
  <c r="B188" i="9"/>
  <c r="B167" i="9"/>
  <c r="C150" i="9"/>
  <c r="B145" i="9"/>
  <c r="C63" i="9"/>
  <c r="B41" i="9"/>
  <c r="B8" i="9"/>
  <c r="C238" i="4"/>
  <c r="C221" i="4"/>
  <c r="B213" i="4"/>
  <c r="B195" i="4"/>
  <c r="C190" i="4"/>
  <c r="C167" i="4"/>
  <c r="C165" i="4"/>
  <c r="C146" i="4"/>
  <c r="C140" i="4"/>
  <c r="B136" i="4"/>
  <c r="B119" i="4"/>
  <c r="C117" i="4"/>
  <c r="B115" i="4"/>
  <c r="C106" i="4"/>
  <c r="C97" i="4"/>
  <c r="C81" i="4"/>
  <c r="C67" i="4"/>
  <c r="C49" i="4"/>
  <c r="C42" i="4"/>
  <c r="B37" i="4"/>
  <c r="C30" i="4"/>
  <c r="B25" i="4"/>
  <c r="C18" i="4"/>
  <c r="B13" i="4"/>
  <c r="C6" i="4"/>
  <c r="B296" i="12"/>
  <c r="B96" i="12"/>
  <c r="B298" i="9"/>
  <c r="B269" i="9"/>
  <c r="B248" i="9"/>
  <c r="B221" i="9"/>
  <c r="B177" i="9"/>
  <c r="C172" i="9"/>
  <c r="C167" i="9"/>
  <c r="C156" i="9"/>
  <c r="B140" i="9"/>
  <c r="B130" i="9"/>
  <c r="C120" i="9"/>
  <c r="B104" i="9"/>
  <c r="B99" i="9"/>
  <c r="B94" i="9"/>
  <c r="C88" i="9"/>
  <c r="B50" i="9"/>
  <c r="B46" i="9"/>
  <c r="C41" i="9"/>
  <c r="B32" i="9"/>
  <c r="B28" i="9"/>
  <c r="C24" i="9"/>
  <c r="B17" i="9"/>
  <c r="C239" i="4"/>
  <c r="C222" i="4"/>
  <c r="C213" i="4"/>
  <c r="C200" i="4"/>
  <c r="C195" i="4"/>
  <c r="B183" i="4"/>
  <c r="B153" i="4"/>
  <c r="B138" i="4"/>
  <c r="C136" i="4"/>
  <c r="C134" i="4"/>
  <c r="C119" i="4"/>
  <c r="C115" i="4"/>
  <c r="B108" i="4"/>
  <c r="B90" i="4"/>
  <c r="C60" i="4"/>
  <c r="B58" i="4"/>
  <c r="C37" i="4"/>
  <c r="C25" i="4"/>
  <c r="C13" i="4"/>
  <c r="B263" i="12"/>
  <c r="B296" i="9"/>
  <c r="C266" i="9"/>
  <c r="B246" i="9"/>
  <c r="C223" i="9"/>
  <c r="C201" i="9"/>
  <c r="C82" i="9"/>
  <c r="C77" i="9"/>
  <c r="B68" i="9"/>
  <c r="B63" i="9"/>
  <c r="B45" i="9"/>
  <c r="C23" i="9"/>
  <c r="C6" i="9"/>
  <c r="C237" i="4"/>
  <c r="C219" i="4"/>
  <c r="C203" i="4"/>
  <c r="C199" i="4"/>
  <c r="B190" i="4"/>
  <c r="B167" i="4"/>
  <c r="B165" i="4"/>
  <c r="C163" i="4"/>
  <c r="C161" i="4"/>
  <c r="B148" i="4"/>
  <c r="B146" i="4"/>
  <c r="C144" i="4"/>
  <c r="C142" i="4"/>
  <c r="B117" i="4"/>
  <c r="B106" i="4"/>
  <c r="B97" i="4"/>
  <c r="B81" i="4"/>
  <c r="C79" i="4"/>
  <c r="C72" i="4"/>
  <c r="B67" i="4"/>
  <c r="B65" i="4"/>
  <c r="B56" i="4"/>
  <c r="C54" i="4"/>
  <c r="B47" i="4"/>
  <c r="B42" i="4"/>
  <c r="B35" i="4"/>
  <c r="B30" i="4"/>
  <c r="B23" i="4"/>
  <c r="B18" i="4"/>
  <c r="B11" i="4"/>
  <c r="B6" i="4"/>
  <c r="C259" i="12"/>
  <c r="C256" i="12"/>
  <c r="C186" i="12"/>
  <c r="B114" i="12"/>
  <c r="C42" i="12"/>
  <c r="B288" i="9"/>
  <c r="B264" i="9"/>
  <c r="C242" i="9"/>
  <c r="B214" i="9"/>
  <c r="C175" i="9"/>
  <c r="C170" i="9"/>
  <c r="C160" i="9"/>
  <c r="B133" i="9"/>
  <c r="B123" i="9"/>
  <c r="C118" i="9"/>
  <c r="B72" i="9"/>
  <c r="B44" i="9"/>
  <c r="B40" i="9"/>
  <c r="C35" i="9"/>
  <c r="C20" i="9"/>
  <c r="C12" i="9"/>
  <c r="C252" i="4"/>
  <c r="C235" i="4"/>
  <c r="C217" i="4"/>
  <c r="B207" i="4"/>
  <c r="B194" i="4"/>
  <c r="C180" i="4"/>
  <c r="B178" i="4"/>
  <c r="C174" i="4"/>
  <c r="C156" i="4"/>
  <c r="B131" i="4"/>
  <c r="B129" i="4"/>
  <c r="C127" i="4"/>
  <c r="C125" i="4"/>
  <c r="C109" i="4"/>
  <c r="C93" i="4"/>
  <c r="C84" i="4"/>
  <c r="C70" i="4"/>
  <c r="C61" i="4"/>
  <c r="C45" i="4"/>
  <c r="B40" i="4"/>
  <c r="C33" i="4"/>
  <c r="B28" i="4"/>
  <c r="C21" i="4"/>
  <c r="B16" i="4"/>
  <c r="C9" i="4"/>
  <c r="B4" i="4"/>
  <c r="C176" i="4"/>
  <c r="C158" i="4"/>
  <c r="C154" i="4"/>
  <c r="B133" i="4"/>
  <c r="B109" i="4"/>
  <c r="B93" i="4"/>
  <c r="B61" i="4"/>
  <c r="B14" i="4"/>
  <c r="C234" i="12"/>
  <c r="C123" i="12"/>
  <c r="B42" i="12"/>
  <c r="B281" i="9"/>
  <c r="B259" i="9"/>
  <c r="B238" i="9"/>
  <c r="C228" i="9"/>
  <c r="C180" i="9"/>
  <c r="B170" i="9"/>
  <c r="C143" i="9"/>
  <c r="B118" i="9"/>
  <c r="B76" i="9"/>
  <c r="C52" i="9"/>
  <c r="C48" i="9"/>
  <c r="B35" i="9"/>
  <c r="C26" i="9"/>
  <c r="C22" i="9"/>
  <c r="C251" i="4"/>
  <c r="C234" i="4"/>
  <c r="B217" i="4"/>
  <c r="B211" i="4"/>
  <c r="C202" i="4"/>
  <c r="C198" i="4"/>
  <c r="C184" i="4"/>
  <c r="C182" i="4"/>
  <c r="B156" i="4"/>
  <c r="C137" i="4"/>
  <c r="B127" i="4"/>
  <c r="B84" i="4"/>
  <c r="B70" i="4"/>
  <c r="B45" i="4"/>
  <c r="B38" i="4"/>
  <c r="B33" i="4"/>
  <c r="B26" i="4"/>
  <c r="B21" i="4"/>
  <c r="B9" i="4"/>
  <c r="B215" i="12"/>
  <c r="B92" i="12"/>
  <c r="C278" i="9"/>
  <c r="C257" i="9"/>
  <c r="B237" i="9"/>
  <c r="C222" i="9"/>
  <c r="B205" i="9"/>
  <c r="B153" i="9"/>
  <c r="B147" i="9"/>
  <c r="B132" i="9"/>
  <c r="C122" i="9"/>
  <c r="C101" i="9"/>
  <c r="B96" i="9"/>
  <c r="B85" i="9"/>
  <c r="C71" i="9"/>
  <c r="C66" i="9"/>
  <c r="B43" i="9"/>
  <c r="C5" i="9"/>
  <c r="C249" i="4"/>
  <c r="C231" i="4"/>
  <c r="C206" i="4"/>
  <c r="C193" i="4"/>
  <c r="B186" i="4"/>
  <c r="B171" i="4"/>
  <c r="B166" i="4"/>
  <c r="C162" i="4"/>
  <c r="C160" i="4"/>
  <c r="B164" i="12"/>
  <c r="B123" i="12"/>
  <c r="B51" i="12"/>
  <c r="C279" i="9"/>
  <c r="B258" i="9"/>
  <c r="C237" i="9"/>
  <c r="C219" i="9"/>
  <c r="B213" i="9"/>
  <c r="C205" i="9"/>
  <c r="C192" i="9"/>
  <c r="B180" i="9"/>
  <c r="C174" i="9"/>
  <c r="C153" i="9"/>
  <c r="B143" i="9"/>
  <c r="B137" i="9"/>
  <c r="C106" i="9"/>
  <c r="C96" i="9"/>
  <c r="B81" i="9"/>
  <c r="C56" i="9"/>
  <c r="C30" i="9"/>
  <c r="B22" i="9"/>
  <c r="C250" i="4"/>
  <c r="C232" i="4"/>
  <c r="B202" i="4"/>
  <c r="B198" i="4"/>
  <c r="C186" i="4"/>
  <c r="B184" i="4"/>
  <c r="B182" i="4"/>
  <c r="B158" i="4"/>
  <c r="B154" i="4"/>
  <c r="B139" i="4"/>
  <c r="B137" i="4"/>
  <c r="C135" i="4"/>
  <c r="C120" i="4"/>
  <c r="C100" i="4"/>
  <c r="C82" i="4"/>
  <c r="C75" i="4"/>
  <c r="B68" i="4"/>
  <c r="B59" i="4"/>
  <c r="B50" i="4"/>
  <c r="C43" i="4"/>
  <c r="C31" i="4"/>
  <c r="C19" i="4"/>
  <c r="C7" i="4"/>
  <c r="B60" i="12"/>
  <c r="C277" i="9"/>
  <c r="B257" i="9"/>
  <c r="B236" i="9"/>
  <c r="B222" i="9"/>
  <c r="B218" i="9"/>
  <c r="C163" i="9"/>
  <c r="C142" i="9"/>
  <c r="C126" i="9"/>
  <c r="B122" i="9"/>
  <c r="B101" i="9"/>
  <c r="B75" i="9"/>
  <c r="C60" i="9"/>
  <c r="C55" i="9"/>
  <c r="B51" i="9"/>
  <c r="C38" i="9"/>
  <c r="C29" i="9"/>
  <c r="B7" i="9"/>
  <c r="B5" i="9"/>
  <c r="C248" i="4"/>
  <c r="C229" i="4"/>
  <c r="C215" i="4"/>
  <c r="B206" i="4"/>
  <c r="C197" i="4"/>
  <c r="C164" i="4"/>
  <c r="B162" i="4"/>
  <c r="B160" i="4"/>
  <c r="C149" i="4"/>
  <c r="C147" i="4"/>
  <c r="B145" i="4"/>
  <c r="B122" i="4"/>
  <c r="B118" i="4"/>
  <c r="B111" i="4"/>
  <c r="B105" i="4"/>
  <c r="B87" i="4"/>
  <c r="B73" i="4"/>
  <c r="B57" i="4"/>
  <c r="B48" i="4"/>
  <c r="B41" i="4"/>
  <c r="B36" i="4"/>
  <c r="B29" i="4"/>
  <c r="B24" i="4"/>
  <c r="B17" i="4"/>
  <c r="B12" i="4"/>
  <c r="B5" i="4"/>
  <c r="B69" i="12"/>
  <c r="B136" i="9"/>
  <c r="C212" i="4"/>
  <c r="B199" i="4"/>
  <c r="C179" i="4"/>
  <c r="B142" i="4"/>
  <c r="C22" i="4"/>
  <c r="B7" i="4"/>
  <c r="C118" i="4"/>
  <c r="C111" i="4"/>
  <c r="B100" i="4"/>
  <c r="B95" i="4"/>
  <c r="C87" i="4"/>
  <c r="B54" i="4"/>
  <c r="C24" i="4"/>
  <c r="B204" i="9"/>
  <c r="C87" i="9"/>
  <c r="B14" i="9"/>
  <c r="C214" i="9"/>
  <c r="B184" i="9"/>
  <c r="C105" i="9"/>
  <c r="B77" i="9"/>
  <c r="C31" i="9"/>
  <c r="C247" i="4"/>
  <c r="B82" i="4"/>
  <c r="B72" i="4"/>
  <c r="C34" i="4"/>
  <c r="B19" i="4"/>
  <c r="B163" i="9"/>
  <c r="B144" i="9"/>
  <c r="B57" i="9"/>
  <c r="B49" i="9"/>
  <c r="C236" i="4"/>
  <c r="B130" i="4"/>
  <c r="C124" i="4"/>
  <c r="C36" i="4"/>
  <c r="C4" i="4"/>
  <c r="B31" i="4"/>
  <c r="C123" i="9"/>
  <c r="C113" i="9"/>
  <c r="B38" i="9"/>
  <c r="C19" i="9"/>
  <c r="C225" i="4"/>
  <c r="C178" i="4"/>
  <c r="B147" i="4"/>
  <c r="B144" i="4"/>
  <c r="B107" i="4"/>
  <c r="B89" i="4"/>
  <c r="B79" i="4"/>
  <c r="C64" i="4"/>
  <c r="C46" i="4"/>
  <c r="B201" i="9"/>
  <c r="B29" i="9"/>
  <c r="B218" i="4"/>
  <c r="C48" i="4"/>
  <c r="C16" i="4"/>
  <c r="B290" i="9"/>
  <c r="C224" i="9"/>
  <c r="B181" i="9"/>
  <c r="B92" i="9"/>
  <c r="B55" i="9"/>
  <c r="C47" i="9"/>
  <c r="B13" i="9"/>
  <c r="B120" i="4"/>
  <c r="B94" i="4"/>
  <c r="B43" i="4"/>
  <c r="B275" i="9"/>
  <c r="B82" i="9"/>
  <c r="C194" i="4"/>
  <c r="C129" i="4"/>
  <c r="C126" i="4"/>
  <c r="B104" i="4"/>
  <c r="B86" i="4"/>
  <c r="C28" i="4"/>
  <c r="C264" i="9"/>
  <c r="C27" i="9"/>
  <c r="C10" i="9"/>
  <c r="B215" i="4"/>
  <c r="C201" i="4"/>
  <c r="B149" i="4"/>
  <c r="C143" i="4"/>
  <c r="C96" i="4"/>
  <c r="C73" i="4"/>
  <c r="C253" i="9"/>
  <c r="B53" i="9"/>
  <c r="B163" i="4"/>
  <c r="C40" i="4"/>
  <c r="C10" i="4"/>
  <c r="C243" i="9"/>
  <c r="B223" i="9"/>
  <c r="B197" i="9"/>
  <c r="C128" i="9"/>
  <c r="B108" i="9"/>
  <c r="C89" i="9"/>
  <c r="C173" i="4"/>
  <c r="B135" i="4"/>
  <c r="C122" i="4"/>
  <c r="B98" i="4"/>
  <c r="B233" i="9"/>
  <c r="B157" i="9"/>
  <c r="B79" i="9"/>
  <c r="B60" i="9"/>
  <c r="C33" i="9"/>
  <c r="B25" i="9"/>
  <c r="B169" i="4"/>
  <c r="C131" i="4"/>
  <c r="B75" i="4"/>
  <c r="C57" i="4"/>
  <c r="C12" i="4"/>
  <c r="D12" i="4" l="1"/>
  <c r="D57" i="4"/>
  <c r="A75" i="4"/>
  <c r="D131" i="4"/>
  <c r="A169" i="4"/>
  <c r="A25" i="9"/>
  <c r="D33" i="9"/>
  <c r="A60" i="9"/>
  <c r="A79" i="9"/>
  <c r="A157" i="9"/>
  <c r="A98" i="4"/>
  <c r="D122" i="4"/>
  <c r="A135" i="4"/>
  <c r="D173" i="4"/>
  <c r="D89" i="9"/>
  <c r="A108" i="9"/>
  <c r="D128" i="9"/>
  <c r="D10" i="4"/>
  <c r="D40" i="4"/>
  <c r="A163" i="4"/>
  <c r="A53" i="9"/>
  <c r="D73" i="4"/>
  <c r="D96" i="4"/>
  <c r="D143" i="4"/>
  <c r="A149" i="4"/>
  <c r="D10" i="9"/>
  <c r="D27" i="9"/>
  <c r="D28" i="4"/>
  <c r="A86" i="4"/>
  <c r="A104" i="4"/>
  <c r="D126" i="4"/>
  <c r="D129" i="4"/>
  <c r="A82" i="9"/>
  <c r="A43" i="4"/>
  <c r="A94" i="4"/>
  <c r="A120" i="4"/>
  <c r="A13" i="9"/>
  <c r="D47" i="9"/>
  <c r="A55" i="9"/>
  <c r="A92" i="9"/>
  <c r="A181" i="9"/>
  <c r="D224" i="9"/>
  <c r="D16" i="4"/>
  <c r="D48" i="4"/>
  <c r="A29" i="9"/>
  <c r="D46" i="4"/>
  <c r="D64" i="4"/>
  <c r="A79" i="4"/>
  <c r="A89" i="4"/>
  <c r="A107" i="4"/>
  <c r="A144" i="4"/>
  <c r="A147" i="4"/>
  <c r="D178" i="4"/>
  <c r="D19" i="9"/>
  <c r="A38" i="9"/>
  <c r="D113" i="9"/>
  <c r="D123" i="9"/>
  <c r="A31" i="4"/>
  <c r="D4" i="4"/>
  <c r="D36" i="4"/>
  <c r="D124" i="4"/>
  <c r="A130" i="4"/>
  <c r="A49" i="9"/>
  <c r="A57" i="9"/>
  <c r="A144" i="9"/>
  <c r="A163" i="9"/>
  <c r="A19" i="4"/>
  <c r="D34" i="4"/>
  <c r="A72" i="4"/>
  <c r="A82" i="4"/>
  <c r="D31" i="9"/>
  <c r="A77" i="9"/>
  <c r="D105" i="9"/>
  <c r="A184" i="9"/>
  <c r="D214" i="9"/>
  <c r="A14" i="9"/>
  <c r="D87" i="9"/>
  <c r="D24" i="4"/>
  <c r="A54" i="4"/>
  <c r="D87" i="4"/>
  <c r="A95" i="4"/>
  <c r="A100" i="4"/>
  <c r="D111" i="4"/>
  <c r="D118" i="4"/>
  <c r="A7" i="4"/>
  <c r="D22" i="4"/>
  <c r="A142" i="4"/>
  <c r="D179" i="4"/>
  <c r="A136" i="9"/>
  <c r="A69" i="12"/>
  <c r="A5" i="4"/>
  <c r="A12" i="4"/>
  <c r="A17" i="4"/>
  <c r="A24" i="4"/>
  <c r="A29" i="4"/>
  <c r="A36" i="4"/>
  <c r="A41" i="4"/>
  <c r="A48" i="4"/>
  <c r="A57" i="4"/>
  <c r="A73" i="4"/>
  <c r="A87" i="4"/>
  <c r="A105" i="4"/>
  <c r="A111" i="4"/>
  <c r="A118" i="4"/>
  <c r="A122" i="4"/>
  <c r="A145" i="4"/>
  <c r="D147" i="4"/>
  <c r="D149" i="4"/>
  <c r="A160" i="4"/>
  <c r="A162" i="4"/>
  <c r="D164" i="4"/>
  <c r="A5" i="9"/>
  <c r="A7" i="9"/>
  <c r="D29" i="9"/>
  <c r="D38" i="9"/>
  <c r="A51" i="9"/>
  <c r="D55" i="9"/>
  <c r="D60" i="9"/>
  <c r="A75" i="9"/>
  <c r="A101" i="9"/>
  <c r="A122" i="9"/>
  <c r="D126" i="9"/>
  <c r="D142" i="9"/>
  <c r="D163" i="9"/>
  <c r="A60" i="12"/>
  <c r="D7" i="4"/>
  <c r="D19" i="4"/>
  <c r="D31" i="4"/>
  <c r="D43" i="4"/>
  <c r="A50" i="4"/>
  <c r="A59" i="4"/>
  <c r="A68" i="4"/>
  <c r="D75" i="4"/>
  <c r="D82" i="4"/>
  <c r="D100" i="4"/>
  <c r="D120" i="4"/>
  <c r="D135" i="4"/>
  <c r="A137" i="4"/>
  <c r="A139" i="4"/>
  <c r="A154" i="4"/>
  <c r="A158" i="4"/>
  <c r="A182" i="4"/>
  <c r="A184" i="4"/>
  <c r="D186" i="4"/>
  <c r="A22" i="9"/>
  <c r="D30" i="9"/>
  <c r="D56" i="9"/>
  <c r="A81" i="9"/>
  <c r="D96" i="9"/>
  <c r="D106" i="9"/>
  <c r="A137" i="9"/>
  <c r="A143" i="9"/>
  <c r="D153" i="9"/>
  <c r="D174" i="9"/>
  <c r="A180" i="9"/>
  <c r="D192" i="9"/>
  <c r="D205" i="9"/>
  <c r="D219" i="9"/>
  <c r="A51" i="12"/>
  <c r="A123" i="12"/>
  <c r="A164" i="12"/>
  <c r="D160" i="4"/>
  <c r="D162" i="4"/>
  <c r="A166" i="4"/>
  <c r="A171" i="4"/>
  <c r="A186" i="4"/>
  <c r="D5" i="9"/>
  <c r="A43" i="9"/>
  <c r="D66" i="9"/>
  <c r="D71" i="9"/>
  <c r="A85" i="9"/>
  <c r="A96" i="9"/>
  <c r="D101" i="9"/>
  <c r="D122" i="9"/>
  <c r="A132" i="9"/>
  <c r="A147" i="9"/>
  <c r="A153" i="9"/>
  <c r="D222" i="9"/>
  <c r="A92" i="12"/>
  <c r="A9" i="4"/>
  <c r="A21" i="4"/>
  <c r="A26" i="4"/>
  <c r="A33" i="4"/>
  <c r="A38" i="4"/>
  <c r="A45" i="4"/>
  <c r="A70" i="4"/>
  <c r="A84" i="4"/>
  <c r="A127" i="4"/>
  <c r="D137" i="4"/>
  <c r="A156" i="4"/>
  <c r="D182" i="4"/>
  <c r="D184" i="4"/>
  <c r="D22" i="9"/>
  <c r="D26" i="9"/>
  <c r="A35" i="9"/>
  <c r="D48" i="9"/>
  <c r="D52" i="9"/>
  <c r="A76" i="9"/>
  <c r="A118" i="9"/>
  <c r="D143" i="9"/>
  <c r="A170" i="9"/>
  <c r="D180" i="9"/>
  <c r="D228" i="9"/>
  <c r="A42" i="12"/>
  <c r="D123" i="12"/>
  <c r="A14" i="4"/>
  <c r="A61" i="4"/>
  <c r="A93" i="4"/>
  <c r="A109" i="4"/>
  <c r="A133" i="4"/>
  <c r="D154" i="4"/>
  <c r="D158" i="4"/>
  <c r="D176" i="4"/>
  <c r="A4" i="4"/>
  <c r="D9" i="4"/>
  <c r="A16" i="4"/>
  <c r="D21" i="4"/>
  <c r="A28" i="4"/>
  <c r="D33" i="4"/>
  <c r="A40" i="4"/>
  <c r="D45" i="4"/>
  <c r="D61" i="4"/>
  <c r="D70" i="4"/>
  <c r="D84" i="4"/>
  <c r="D93" i="4"/>
  <c r="D109" i="4"/>
  <c r="D125" i="4"/>
  <c r="D127" i="4"/>
  <c r="A129" i="4"/>
  <c r="A131" i="4"/>
  <c r="D156" i="4"/>
  <c r="D174" i="4"/>
  <c r="A178" i="4"/>
  <c r="D180" i="4"/>
  <c r="D12" i="9"/>
  <c r="D20" i="9"/>
  <c r="D35" i="9"/>
  <c r="A40" i="9"/>
  <c r="A44" i="9"/>
  <c r="A72" i="9"/>
  <c r="D118" i="9"/>
  <c r="A123" i="9"/>
  <c r="A133" i="9"/>
  <c r="D160" i="9"/>
  <c r="D170" i="9"/>
  <c r="D175" i="9"/>
  <c r="D42" i="12"/>
  <c r="A114" i="12"/>
  <c r="D186" i="12"/>
  <c r="A6" i="4"/>
  <c r="A11" i="4"/>
  <c r="A18" i="4"/>
  <c r="A23" i="4"/>
  <c r="A30" i="4"/>
  <c r="A35" i="4"/>
  <c r="A42" i="4"/>
  <c r="A47" i="4"/>
  <c r="D54" i="4"/>
  <c r="A56" i="4"/>
  <c r="A65" i="4"/>
  <c r="A67" i="4"/>
  <c r="D72" i="4"/>
  <c r="D79" i="4"/>
  <c r="A81" i="4"/>
  <c r="A97" i="4"/>
  <c r="A106" i="4"/>
  <c r="A117" i="4"/>
  <c r="D142" i="4"/>
  <c r="D144" i="4"/>
  <c r="A146" i="4"/>
  <c r="A148" i="4"/>
  <c r="D161" i="4"/>
  <c r="D163" i="4"/>
  <c r="A165" i="4"/>
  <c r="A167" i="4"/>
  <c r="D6" i="9"/>
  <c r="D23" i="9"/>
  <c r="A45" i="9"/>
  <c r="A63" i="9"/>
  <c r="A68" i="9"/>
  <c r="D77" i="9"/>
  <c r="D82" i="9"/>
  <c r="D201" i="9"/>
  <c r="D223" i="9"/>
  <c r="D13" i="4"/>
  <c r="D25" i="4"/>
  <c r="D37" i="4"/>
  <c r="A58" i="4"/>
  <c r="D60" i="4"/>
  <c r="A90" i="4"/>
  <c r="A108" i="4"/>
  <c r="D115" i="4"/>
  <c r="D119" i="4"/>
  <c r="D134" i="4"/>
  <c r="D136" i="4"/>
  <c r="A138" i="4"/>
  <c r="A153" i="4"/>
  <c r="A183" i="4"/>
  <c r="A17" i="9"/>
  <c r="D24" i="9"/>
  <c r="A28" i="9"/>
  <c r="A32" i="9"/>
  <c r="D41" i="9"/>
  <c r="A46" i="9"/>
  <c r="A50" i="9"/>
  <c r="D88" i="9"/>
  <c r="A94" i="9"/>
  <c r="A99" i="9"/>
  <c r="A104" i="9"/>
  <c r="D120" i="9"/>
  <c r="A130" i="9"/>
  <c r="A140" i="9"/>
  <c r="D156" i="9"/>
  <c r="D167" i="9"/>
  <c r="D172" i="9"/>
  <c r="A177" i="9"/>
  <c r="A96" i="12"/>
  <c r="D6" i="4"/>
  <c r="A13" i="4"/>
  <c r="D18" i="4"/>
  <c r="A25" i="4"/>
  <c r="D30" i="4"/>
  <c r="A37" i="4"/>
  <c r="D42" i="4"/>
  <c r="D49" i="4"/>
  <c r="D67" i="4"/>
  <c r="D81" i="4"/>
  <c r="D97" i="4"/>
  <c r="D106" i="4"/>
  <c r="A115" i="4"/>
  <c r="D117" i="4"/>
  <c r="A119" i="4"/>
  <c r="A136" i="4"/>
  <c r="D140" i="4"/>
  <c r="D146" i="4"/>
  <c r="D165" i="4"/>
  <c r="D167" i="4"/>
  <c r="A8" i="9"/>
  <c r="A41" i="9"/>
  <c r="D63" i="9"/>
  <c r="A145" i="9"/>
  <c r="D150" i="9"/>
  <c r="A167" i="9"/>
  <c r="A188" i="9"/>
  <c r="D226" i="9"/>
  <c r="D87" i="12"/>
  <c r="A3" i="4"/>
  <c r="A8" i="4"/>
  <c r="A15" i="4"/>
  <c r="A20" i="4"/>
  <c r="A27" i="4"/>
  <c r="A32" i="4"/>
  <c r="A39" i="4"/>
  <c r="A44" i="4"/>
  <c r="A51" i="4"/>
  <c r="A69" i="4"/>
  <c r="A76" i="4"/>
  <c r="A78" i="4"/>
  <c r="A83" i="4"/>
  <c r="D90" i="4"/>
  <c r="A92" i="4"/>
  <c r="A101" i="4"/>
  <c r="A103" i="4"/>
  <c r="D108" i="4"/>
  <c r="A113" i="4"/>
  <c r="D138" i="4"/>
  <c r="A151" i="4"/>
  <c r="D153" i="4"/>
  <c r="A155" i="4"/>
  <c r="A175" i="4"/>
  <c r="A177" i="4"/>
  <c r="D183" i="4"/>
  <c r="A2" i="9"/>
  <c r="D17" i="9"/>
  <c r="D32" i="9"/>
  <c r="D46" i="9"/>
  <c r="D54" i="9"/>
  <c r="A69" i="9"/>
  <c r="A74" i="9"/>
  <c r="D99" i="9"/>
  <c r="D104" i="9"/>
  <c r="A115" i="9"/>
  <c r="A125" i="9"/>
  <c r="D130" i="9"/>
  <c r="D135" i="9"/>
  <c r="D140" i="9"/>
  <c r="D177" i="9"/>
  <c r="D216" i="9"/>
  <c r="D150" i="12"/>
  <c r="D3" i="4"/>
  <c r="A10" i="4"/>
  <c r="D15" i="4"/>
  <c r="A22" i="4"/>
  <c r="D27" i="4"/>
  <c r="A34" i="4"/>
  <c r="D39" i="4"/>
  <c r="A46" i="4"/>
  <c r="D51" i="4"/>
  <c r="A53" i="4"/>
  <c r="A62" i="4"/>
  <c r="A64" i="4"/>
  <c r="A71" i="4"/>
  <c r="D76" i="4"/>
  <c r="D78" i="4"/>
  <c r="D85" i="4"/>
  <c r="D103" i="4"/>
  <c r="D113" i="4"/>
  <c r="A124" i="4"/>
  <c r="A126" i="4"/>
  <c r="D128" i="4"/>
  <c r="D151" i="4"/>
  <c r="D155" i="4"/>
  <c r="A173" i="4"/>
  <c r="D175" i="4"/>
  <c r="D177" i="4"/>
  <c r="A179" i="4"/>
  <c r="A181" i="4"/>
  <c r="D188" i="4"/>
  <c r="A19" i="9"/>
  <c r="A65" i="9"/>
  <c r="D69" i="9"/>
  <c r="D74" i="9"/>
  <c r="A84" i="9"/>
  <c r="A89" i="9"/>
  <c r="D146" i="9"/>
  <c r="D190" i="9"/>
  <c r="A141" i="12"/>
  <c r="D9" i="9"/>
  <c r="D14" i="9"/>
  <c r="D51" i="9"/>
  <c r="A93" i="9"/>
  <c r="D100" i="9"/>
  <c r="D103" i="9"/>
  <c r="A107" i="9"/>
  <c r="D110" i="9"/>
  <c r="D124" i="9"/>
  <c r="A131" i="9"/>
  <c r="A134" i="9"/>
  <c r="D154" i="9"/>
  <c r="D161" i="9"/>
  <c r="D164" i="9"/>
  <c r="A168" i="9"/>
  <c r="A185" i="9"/>
  <c r="A189" i="9"/>
  <c r="D202" i="9"/>
  <c r="D189" i="12"/>
  <c r="A73" i="9"/>
  <c r="D79" i="9"/>
  <c r="A86" i="9"/>
  <c r="A103" i="9"/>
  <c r="A110" i="9"/>
  <c r="D137" i="9"/>
  <c r="A164" i="9"/>
  <c r="D193" i="9"/>
  <c r="A2" i="4"/>
  <c r="D5" i="4"/>
  <c r="D8" i="4"/>
  <c r="D11" i="4"/>
  <c r="D14" i="4"/>
  <c r="D17" i="4"/>
  <c r="D20" i="4"/>
  <c r="D23" i="4"/>
  <c r="D26" i="4"/>
  <c r="D29" i="4"/>
  <c r="D32" i="4"/>
  <c r="D35" i="4"/>
  <c r="D38" i="4"/>
  <c r="D41" i="4"/>
  <c r="D44" i="4"/>
  <c r="A55" i="4"/>
  <c r="D58" i="4"/>
  <c r="A66" i="4"/>
  <c r="D69" i="4"/>
  <c r="A80" i="4"/>
  <c r="A91" i="4"/>
  <c r="D94" i="4"/>
  <c r="A102" i="4"/>
  <c r="D105" i="4"/>
  <c r="A110" i="4"/>
  <c r="A112" i="4"/>
  <c r="A121" i="4"/>
  <c r="A123" i="4"/>
  <c r="D130" i="4"/>
  <c r="D139" i="4"/>
  <c r="A141" i="4"/>
  <c r="D148" i="4"/>
  <c r="A157" i="4"/>
  <c r="A159" i="4"/>
  <c r="D166" i="4"/>
  <c r="A185" i="4"/>
  <c r="D2" i="4"/>
  <c r="A52" i="4"/>
  <c r="D55" i="4"/>
  <c r="A63" i="4"/>
  <c r="D66" i="4"/>
  <c r="A77" i="4"/>
  <c r="A88" i="4"/>
  <c r="D91" i="4"/>
  <c r="A99" i="4"/>
  <c r="D102" i="4"/>
  <c r="D110" i="4"/>
  <c r="D112" i="4"/>
  <c r="A114" i="4"/>
  <c r="D123" i="4"/>
  <c r="A132" i="4"/>
  <c r="D141" i="4"/>
  <c r="A150" i="4"/>
  <c r="D159" i="4"/>
  <c r="A168" i="4"/>
  <c r="A170" i="4"/>
  <c r="A172" i="4"/>
  <c r="D185" i="4"/>
  <c r="A187" i="4"/>
  <c r="A189" i="4"/>
  <c r="D4" i="9"/>
  <c r="A11" i="9"/>
  <c r="A16" i="9"/>
  <c r="D21" i="9"/>
  <c r="A36" i="9"/>
  <c r="D42" i="9"/>
  <c r="A64" i="9"/>
  <c r="D67" i="9"/>
  <c r="D107" i="9"/>
  <c r="D114" i="9"/>
  <c r="A121" i="9"/>
  <c r="D131" i="9"/>
  <c r="D134" i="9"/>
  <c r="D141" i="9"/>
  <c r="A148" i="9"/>
  <c r="A151" i="9"/>
  <c r="A158" i="9"/>
  <c r="D178" i="9"/>
  <c r="A182" i="9"/>
  <c r="D70" i="9"/>
  <c r="D76" i="9"/>
  <c r="A100" i="9"/>
  <c r="A117" i="9"/>
  <c r="D127" i="9"/>
  <c r="D144" i="9"/>
  <c r="A161" i="9"/>
  <c r="D171" i="9"/>
  <c r="A49" i="4"/>
  <c r="D52" i="4"/>
  <c r="A60" i="4"/>
  <c r="D63" i="4"/>
  <c r="A74" i="4"/>
  <c r="A85" i="4"/>
  <c r="D88" i="4"/>
  <c r="A96" i="4"/>
  <c r="D99" i="4"/>
  <c r="D114" i="4"/>
  <c r="D116" i="4"/>
  <c r="A125" i="4"/>
  <c r="D132" i="4"/>
  <c r="A134" i="4"/>
  <c r="A143" i="4"/>
  <c r="D150" i="4"/>
  <c r="D152" i="4"/>
  <c r="A161" i="4"/>
  <c r="D168" i="4"/>
  <c r="D170" i="4"/>
  <c r="D172" i="4"/>
  <c r="A174" i="4"/>
  <c r="D187" i="4"/>
  <c r="D11" i="9"/>
  <c r="D16" i="9"/>
  <c r="A24" i="9"/>
  <c r="A27" i="9"/>
  <c r="A33" i="9"/>
  <c r="D36" i="9"/>
  <c r="A39" i="9"/>
  <c r="A58" i="9"/>
  <c r="A71" i="9"/>
  <c r="D90" i="9"/>
  <c r="A111" i="9"/>
  <c r="A128" i="9"/>
  <c r="D148" i="9"/>
  <c r="D155" i="9"/>
  <c r="A165" i="9"/>
  <c r="A172" i="9"/>
  <c r="A175" i="9"/>
  <c r="D198" i="9"/>
  <c r="D207" i="9"/>
  <c r="D225" i="9"/>
  <c r="A2" i="12"/>
  <c r="A54" i="12"/>
  <c r="A137" i="12"/>
  <c r="A47" i="12"/>
  <c r="A65" i="12"/>
  <c r="A83" i="12"/>
  <c r="D8" i="9"/>
  <c r="D40" i="9"/>
  <c r="D43" i="9"/>
  <c r="A59" i="9"/>
  <c r="A62" i="9"/>
  <c r="D65" i="9"/>
  <c r="D68" i="9"/>
  <c r="D81" i="9"/>
  <c r="D84" i="9"/>
  <c r="D98" i="9"/>
  <c r="A112" i="9"/>
  <c r="D115" i="9"/>
  <c r="A152" i="9"/>
  <c r="A159" i="9"/>
  <c r="A166" i="9"/>
  <c r="A183" i="9"/>
  <c r="A187" i="9"/>
  <c r="D208" i="9"/>
  <c r="D221" i="9"/>
  <c r="D192" i="12"/>
  <c r="D3" i="9"/>
  <c r="D15" i="9"/>
  <c r="A20" i="9"/>
  <c r="D34" i="9"/>
  <c r="A56" i="9"/>
  <c r="D59" i="9"/>
  <c r="D62" i="9"/>
  <c r="D78" i="9"/>
  <c r="D91" i="9"/>
  <c r="A95" i="9"/>
  <c r="D112" i="9"/>
  <c r="A129" i="9"/>
  <c r="D139" i="9"/>
  <c r="D149" i="9"/>
  <c r="A156" i="9"/>
  <c r="D159" i="9"/>
  <c r="A173" i="9"/>
  <c r="D176" i="9"/>
  <c r="D183" i="9"/>
  <c r="D187" i="9"/>
  <c r="A14" i="12"/>
  <c r="D16" i="12"/>
  <c r="D2" i="9"/>
  <c r="A10" i="9"/>
  <c r="D13" i="9"/>
  <c r="A23" i="9"/>
  <c r="D28" i="9"/>
  <c r="A31" i="9"/>
  <c r="D50" i="9"/>
  <c r="D58" i="9"/>
  <c r="A61" i="9"/>
  <c r="D72" i="9"/>
  <c r="A80" i="9"/>
  <c r="D83" i="9"/>
  <c r="A91" i="9"/>
  <c r="D102" i="9"/>
  <c r="A105" i="9"/>
  <c r="A113" i="9"/>
  <c r="D132" i="9"/>
  <c r="A135" i="9"/>
  <c r="A146" i="9"/>
  <c r="D151" i="9"/>
  <c r="A154" i="9"/>
  <c r="D162" i="9"/>
  <c r="D173" i="9"/>
  <c r="A176" i="9"/>
  <c r="A179" i="9"/>
  <c r="D182" i="9"/>
  <c r="D213" i="9"/>
  <c r="D220" i="9"/>
  <c r="D229" i="9"/>
  <c r="D10" i="12"/>
  <c r="A90" i="12"/>
  <c r="D22" i="12"/>
  <c r="A27" i="12"/>
  <c r="A56" i="12"/>
  <c r="A78" i="12"/>
  <c r="A105" i="12"/>
  <c r="A159" i="12"/>
  <c r="A173" i="12"/>
  <c r="D217" i="12"/>
  <c r="D171" i="4"/>
  <c r="A180" i="4"/>
  <c r="D189" i="4"/>
  <c r="A4" i="9"/>
  <c r="D7" i="9"/>
  <c r="D18" i="9"/>
  <c r="A26" i="9"/>
  <c r="A37" i="9"/>
  <c r="D45" i="9"/>
  <c r="A48" i="9"/>
  <c r="D53" i="9"/>
  <c r="D64" i="9"/>
  <c r="A67" i="9"/>
  <c r="D86" i="9"/>
  <c r="D94" i="9"/>
  <c r="A97" i="9"/>
  <c r="D108" i="9"/>
  <c r="A116" i="9"/>
  <c r="D119" i="9"/>
  <c r="A127" i="9"/>
  <c r="D138" i="9"/>
  <c r="A141" i="9"/>
  <c r="A149" i="9"/>
  <c r="D168" i="9"/>
  <c r="A171" i="9"/>
  <c r="D185" i="9"/>
  <c r="D188" i="9"/>
  <c r="D195" i="9"/>
  <c r="D217" i="9"/>
  <c r="D227" i="9"/>
  <c r="D78" i="12"/>
  <c r="A119" i="12"/>
  <c r="A132" i="12"/>
  <c r="D159" i="12"/>
  <c r="A17" i="12"/>
  <c r="A126" i="12"/>
  <c r="A189" i="12"/>
  <c r="D222" i="12"/>
  <c r="A9" i="12"/>
  <c r="D51" i="12"/>
  <c r="D114" i="12"/>
  <c r="A155" i="12"/>
  <c r="A168" i="12"/>
  <c r="D205" i="12"/>
  <c r="A87" i="9"/>
  <c r="D92" i="9"/>
  <c r="D95" i="9"/>
  <c r="A98" i="9"/>
  <c r="A109" i="9"/>
  <c r="D117" i="9"/>
  <c r="A120" i="9"/>
  <c r="D125" i="9"/>
  <c r="D136" i="9"/>
  <c r="A139" i="9"/>
  <c r="D158" i="9"/>
  <c r="D166" i="9"/>
  <c r="A169" i="9"/>
  <c r="D186" i="9"/>
  <c r="D204" i="9"/>
  <c r="D211" i="9"/>
  <c r="D7" i="12"/>
  <c r="A162" i="12"/>
  <c r="D213" i="12"/>
  <c r="D31" i="12"/>
  <c r="A33" i="12"/>
  <c r="A87" i="12"/>
  <c r="A101" i="12"/>
  <c r="A128" i="12"/>
  <c r="A150" i="12"/>
  <c r="A177" i="12"/>
  <c r="D4" i="12"/>
  <c r="D19" i="12"/>
  <c r="A21" i="12"/>
  <c r="A29" i="12"/>
  <c r="A66" i="12"/>
  <c r="A102" i="12"/>
  <c r="A138" i="12"/>
  <c r="A174" i="12"/>
  <c r="A188" i="12"/>
  <c r="A39" i="12"/>
  <c r="A57" i="12"/>
  <c r="D66" i="12"/>
  <c r="A75" i="12"/>
  <c r="A93" i="12"/>
  <c r="D102" i="12"/>
  <c r="A111" i="12"/>
  <c r="A129" i="12"/>
  <c r="D138" i="12"/>
  <c r="A147" i="12"/>
  <c r="A165" i="12"/>
  <c r="D174" i="12"/>
  <c r="A183" i="12"/>
  <c r="D188" i="12"/>
  <c r="D199" i="12"/>
  <c r="A15" i="12"/>
  <c r="A35" i="12"/>
  <c r="D39" i="12"/>
  <c r="A44" i="12"/>
  <c r="A48" i="12"/>
  <c r="A53" i="12"/>
  <c r="A71" i="12"/>
  <c r="D75" i="12"/>
  <c r="A80" i="12"/>
  <c r="A84" i="12"/>
  <c r="A89" i="12"/>
  <c r="A107" i="12"/>
  <c r="D111" i="12"/>
  <c r="A116" i="12"/>
  <c r="A120" i="12"/>
  <c r="A125" i="12"/>
  <c r="A143" i="12"/>
  <c r="D147" i="12"/>
  <c r="A152" i="12"/>
  <c r="A156" i="12"/>
  <c r="A161" i="12"/>
  <c r="A179" i="12"/>
  <c r="D183" i="12"/>
  <c r="D193" i="12"/>
  <c r="D220" i="12"/>
  <c r="D226" i="12"/>
  <c r="A34" i="9"/>
  <c r="D39" i="9"/>
  <c r="D44" i="9"/>
  <c r="A47" i="9"/>
  <c r="A52" i="9"/>
  <c r="D57" i="9"/>
  <c r="A70" i="9"/>
  <c r="D75" i="9"/>
  <c r="D80" i="9"/>
  <c r="A83" i="9"/>
  <c r="A88" i="9"/>
  <c r="D93" i="9"/>
  <c r="A106" i="9"/>
  <c r="D111" i="9"/>
  <c r="D116" i="9"/>
  <c r="A119" i="9"/>
  <c r="A124" i="9"/>
  <c r="D129" i="9"/>
  <c r="A142" i="9"/>
  <c r="D147" i="9"/>
  <c r="D152" i="9"/>
  <c r="A155" i="9"/>
  <c r="A160" i="9"/>
  <c r="D165" i="9"/>
  <c r="A178" i="9"/>
  <c r="D189" i="9"/>
  <c r="D196" i="9"/>
  <c r="D210" i="9"/>
  <c r="A3" i="12"/>
  <c r="A26" i="12"/>
  <c r="A45" i="12"/>
  <c r="D54" i="12"/>
  <c r="A63" i="12"/>
  <c r="A81" i="12"/>
  <c r="D90" i="12"/>
  <c r="A99" i="12"/>
  <c r="A117" i="12"/>
  <c r="D126" i="12"/>
  <c r="A135" i="12"/>
  <c r="A153" i="12"/>
  <c r="D162" i="12"/>
  <c r="A171" i="12"/>
  <c r="D195" i="12"/>
  <c r="D224" i="12"/>
  <c r="A5" i="12"/>
  <c r="D28" i="12"/>
  <c r="A36" i="12"/>
  <c r="A41" i="12"/>
  <c r="A59" i="12"/>
  <c r="D63" i="12"/>
  <c r="A68" i="12"/>
  <c r="A72" i="12"/>
  <c r="A77" i="12"/>
  <c r="A95" i="12"/>
  <c r="D99" i="12"/>
  <c r="A104" i="12"/>
  <c r="A108" i="12"/>
  <c r="A113" i="12"/>
  <c r="A131" i="12"/>
  <c r="D135" i="12"/>
  <c r="A140" i="12"/>
  <c r="A144" i="12"/>
  <c r="A149" i="12"/>
  <c r="A167" i="12"/>
  <c r="D171" i="12"/>
  <c r="A176" i="12"/>
  <c r="A180" i="12"/>
  <c r="A185" i="12"/>
  <c r="D201" i="12"/>
  <c r="A11" i="12"/>
  <c r="A23" i="12"/>
  <c r="D36" i="12"/>
  <c r="D48" i="12"/>
  <c r="D60" i="12"/>
  <c r="D72" i="12"/>
  <c r="D84" i="12"/>
  <c r="D96" i="12"/>
  <c r="D108" i="12"/>
  <c r="D120" i="12"/>
  <c r="D132" i="12"/>
  <c r="D144" i="12"/>
  <c r="D156" i="12"/>
  <c r="D168" i="12"/>
  <c r="D180" i="12"/>
  <c r="A6" i="12"/>
  <c r="A18" i="12"/>
  <c r="A30" i="12"/>
  <c r="A43" i="12"/>
  <c r="A55" i="12"/>
  <c r="A67" i="12"/>
  <c r="A79" i="12"/>
  <c r="A91" i="12"/>
  <c r="A103" i="12"/>
  <c r="A115" i="12"/>
  <c r="A127" i="12"/>
  <c r="A139" i="12"/>
  <c r="A151" i="12"/>
  <c r="A163" i="12"/>
  <c r="A175" i="12"/>
  <c r="D187" i="12"/>
  <c r="D190" i="12"/>
  <c r="D202" i="12"/>
  <c r="D210" i="12"/>
  <c r="D13" i="12"/>
  <c r="D25" i="12"/>
  <c r="D34" i="12"/>
  <c r="A40" i="12"/>
  <c r="D43" i="12"/>
  <c r="D46" i="12"/>
  <c r="A52" i="12"/>
  <c r="D55" i="12"/>
  <c r="D58" i="12"/>
  <c r="A64" i="12"/>
  <c r="D67" i="12"/>
  <c r="D70" i="12"/>
  <c r="A76" i="12"/>
  <c r="D79" i="12"/>
  <c r="D82" i="12"/>
  <c r="A88" i="12"/>
  <c r="D91" i="12"/>
  <c r="D94" i="12"/>
  <c r="A100" i="12"/>
  <c r="D103" i="12"/>
  <c r="D106" i="12"/>
  <c r="A112" i="12"/>
  <c r="D115" i="12"/>
  <c r="D118" i="12"/>
  <c r="A124" i="12"/>
  <c r="D127" i="12"/>
  <c r="D130" i="12"/>
  <c r="A136" i="12"/>
  <c r="D139" i="12"/>
  <c r="D142" i="12"/>
  <c r="A148" i="12"/>
  <c r="D151" i="12"/>
  <c r="D154" i="12"/>
  <c r="A160" i="12"/>
  <c r="D163" i="12"/>
  <c r="D166" i="12"/>
  <c r="A172" i="12"/>
  <c r="D175" i="12"/>
  <c r="D178" i="12"/>
  <c r="A184" i="12"/>
  <c r="D214" i="12"/>
  <c r="D228" i="12"/>
  <c r="D47" i="4"/>
  <c r="D50" i="4"/>
  <c r="D53" i="4"/>
  <c r="D56" i="4"/>
  <c r="D59" i="4"/>
  <c r="D62" i="4"/>
  <c r="D65" i="4"/>
  <c r="D68" i="4"/>
  <c r="D71" i="4"/>
  <c r="D74" i="4"/>
  <c r="D77" i="4"/>
  <c r="D80" i="4"/>
  <c r="D83" i="4"/>
  <c r="D86" i="4"/>
  <c r="D89" i="4"/>
  <c r="D92" i="4"/>
  <c r="D95" i="4"/>
  <c r="D98" i="4"/>
  <c r="D101" i="4"/>
  <c r="D104" i="4"/>
  <c r="D107" i="4"/>
  <c r="A116" i="4"/>
  <c r="D121" i="4"/>
  <c r="A128" i="4"/>
  <c r="D133" i="4"/>
  <c r="A140" i="4"/>
  <c r="D145" i="4"/>
  <c r="A152" i="4"/>
  <c r="D157" i="4"/>
  <c r="A164" i="4"/>
  <c r="D169" i="4"/>
  <c r="A176" i="4"/>
  <c r="D181" i="4"/>
  <c r="A188" i="4"/>
  <c r="A3" i="9"/>
  <c r="A6" i="9"/>
  <c r="A9" i="9"/>
  <c r="A12" i="9"/>
  <c r="A15" i="9"/>
  <c r="A18" i="9"/>
  <c r="A21" i="9"/>
  <c r="D25" i="9"/>
  <c r="A30" i="9"/>
  <c r="D37" i="9"/>
  <c r="A42" i="9"/>
  <c r="D49" i="9"/>
  <c r="A54" i="9"/>
  <c r="D61" i="9"/>
  <c r="A66" i="9"/>
  <c r="D73" i="9"/>
  <c r="A78" i="9"/>
  <c r="D85" i="9"/>
  <c r="A90" i="9"/>
  <c r="D97" i="9"/>
  <c r="A102" i="9"/>
  <c r="D109" i="9"/>
  <c r="A114" i="9"/>
  <c r="D121" i="9"/>
  <c r="A126" i="9"/>
  <c r="D133" i="9"/>
  <c r="A138" i="9"/>
  <c r="D145" i="9"/>
  <c r="A150" i="9"/>
  <c r="D157" i="9"/>
  <c r="A162" i="9"/>
  <c r="D169" i="9"/>
  <c r="A174" i="9"/>
  <c r="D179" i="9"/>
  <c r="D184" i="9"/>
  <c r="D199" i="9"/>
  <c r="A8" i="12"/>
  <c r="A20" i="12"/>
  <c r="A32" i="12"/>
  <c r="D37" i="12"/>
  <c r="D40" i="12"/>
  <c r="D49" i="12"/>
  <c r="D52" i="12"/>
  <c r="D61" i="12"/>
  <c r="D64" i="12"/>
  <c r="D73" i="12"/>
  <c r="D76" i="12"/>
  <c r="D85" i="12"/>
  <c r="D88" i="12"/>
  <c r="D97" i="12"/>
  <c r="D100" i="12"/>
  <c r="D109" i="12"/>
  <c r="D112" i="12"/>
  <c r="D121" i="12"/>
  <c r="D124" i="12"/>
  <c r="D133" i="12"/>
  <c r="D136" i="12"/>
  <c r="D145" i="12"/>
  <c r="D148" i="12"/>
  <c r="D157" i="12"/>
  <c r="D160" i="12"/>
  <c r="D169" i="12"/>
  <c r="D172" i="12"/>
  <c r="D181" i="12"/>
  <c r="D184" i="12"/>
  <c r="A12" i="12"/>
  <c r="A24" i="12"/>
  <c r="D35" i="12"/>
  <c r="D38" i="12"/>
  <c r="D47" i="12"/>
  <c r="D50" i="12"/>
  <c r="D59" i="12"/>
  <c r="D62" i="12"/>
  <c r="D71" i="12"/>
  <c r="D74" i="12"/>
  <c r="D83" i="12"/>
  <c r="D86" i="12"/>
  <c r="D95" i="12"/>
  <c r="D98" i="12"/>
  <c r="D107" i="12"/>
  <c r="D110" i="12"/>
  <c r="D119" i="12"/>
  <c r="D122" i="12"/>
  <c r="D131" i="12"/>
  <c r="D134" i="12"/>
  <c r="D143" i="12"/>
  <c r="D146" i="12"/>
  <c r="D155" i="12"/>
  <c r="D158" i="12"/>
  <c r="D167" i="12"/>
  <c r="D170" i="12"/>
  <c r="D179" i="12"/>
  <c r="D182" i="12"/>
  <c r="D204" i="12"/>
  <c r="D208" i="12"/>
  <c r="D216" i="12"/>
  <c r="D3" i="12"/>
  <c r="D6" i="12"/>
  <c r="D9" i="12"/>
  <c r="D12" i="12"/>
  <c r="D15" i="12"/>
  <c r="D18" i="12"/>
  <c r="D21" i="12"/>
  <c r="D24" i="12"/>
  <c r="D27" i="12"/>
  <c r="D30" i="12"/>
  <c r="D33" i="12"/>
  <c r="A38" i="12"/>
  <c r="D45" i="12"/>
  <c r="A50" i="12"/>
  <c r="D57" i="12"/>
  <c r="A62" i="12"/>
  <c r="D69" i="12"/>
  <c r="A74" i="12"/>
  <c r="D81" i="12"/>
  <c r="A86" i="12"/>
  <c r="D93" i="12"/>
  <c r="A98" i="12"/>
  <c r="D105" i="12"/>
  <c r="A110" i="12"/>
  <c r="D117" i="12"/>
  <c r="A122" i="12"/>
  <c r="D129" i="12"/>
  <c r="A134" i="12"/>
  <c r="D141" i="12"/>
  <c r="A146" i="12"/>
  <c r="D153" i="12"/>
  <c r="A158" i="12"/>
  <c r="D165" i="12"/>
  <c r="A170" i="12"/>
  <c r="D177" i="12"/>
  <c r="A182" i="12"/>
  <c r="A187" i="12"/>
  <c r="D196" i="12"/>
  <c r="D219" i="12"/>
  <c r="D221" i="12"/>
  <c r="D223" i="12"/>
  <c r="D225" i="12"/>
  <c r="D227" i="12"/>
  <c r="D229" i="12"/>
  <c r="D2" i="12"/>
  <c r="D5" i="12"/>
  <c r="D8" i="12"/>
  <c r="D11" i="12"/>
  <c r="D14" i="12"/>
  <c r="D17" i="12"/>
  <c r="D20" i="12"/>
  <c r="D23" i="12"/>
  <c r="D26" i="12"/>
  <c r="D29" i="12"/>
  <c r="D32" i="12"/>
  <c r="A34" i="12"/>
  <c r="D41" i="12"/>
  <c r="A46" i="12"/>
  <c r="D53" i="12"/>
  <c r="A58" i="12"/>
  <c r="D65" i="12"/>
  <c r="A70" i="12"/>
  <c r="D77" i="12"/>
  <c r="A82" i="12"/>
  <c r="D89" i="12"/>
  <c r="A94" i="12"/>
  <c r="D101" i="12"/>
  <c r="A106" i="12"/>
  <c r="D113" i="12"/>
  <c r="A118" i="12"/>
  <c r="D125" i="12"/>
  <c r="A130" i="12"/>
  <c r="D137" i="12"/>
  <c r="A142" i="12"/>
  <c r="D149" i="12"/>
  <c r="A154" i="12"/>
  <c r="D161" i="12"/>
  <c r="A166" i="12"/>
  <c r="D173" i="12"/>
  <c r="A178" i="12"/>
  <c r="D185" i="12"/>
  <c r="D207" i="12"/>
  <c r="D181" i="9"/>
  <c r="A186" i="9"/>
  <c r="D191" i="9"/>
  <c r="D194" i="9"/>
  <c r="D197" i="9"/>
  <c r="D200" i="9"/>
  <c r="D203" i="9"/>
  <c r="D206" i="9"/>
  <c r="D209" i="9"/>
  <c r="D212" i="9"/>
  <c r="D215" i="9"/>
  <c r="D218" i="9"/>
  <c r="A4" i="12"/>
  <c r="A7" i="12"/>
  <c r="A10" i="12"/>
  <c r="A13" i="12"/>
  <c r="A16" i="12"/>
  <c r="A19" i="12"/>
  <c r="A22" i="12"/>
  <c r="A25" i="12"/>
  <c r="A28" i="12"/>
  <c r="A31" i="12"/>
  <c r="A37" i="12"/>
  <c r="D44" i="12"/>
  <c r="A49" i="12"/>
  <c r="D56" i="12"/>
  <c r="A61" i="12"/>
  <c r="D68" i="12"/>
  <c r="A73" i="12"/>
  <c r="D80" i="12"/>
  <c r="A85" i="12"/>
  <c r="D92" i="12"/>
  <c r="A97" i="12"/>
  <c r="D104" i="12"/>
  <c r="A109" i="12"/>
  <c r="D116" i="12"/>
  <c r="A121" i="12"/>
  <c r="D128" i="12"/>
  <c r="A133" i="12"/>
  <c r="D140" i="12"/>
  <c r="A145" i="12"/>
  <c r="D152" i="12"/>
  <c r="A157" i="12"/>
  <c r="D164" i="12"/>
  <c r="A169" i="12"/>
  <c r="D176" i="12"/>
  <c r="A181" i="12"/>
  <c r="D198" i="12"/>
  <c r="D211" i="12"/>
  <c r="D32" i="16"/>
  <c r="A37" i="16"/>
  <c r="D44" i="16"/>
  <c r="A49" i="16"/>
  <c r="D56" i="16"/>
  <c r="A61" i="16"/>
  <c r="D68" i="16"/>
  <c r="A73" i="16"/>
  <c r="D80" i="16"/>
  <c r="A85" i="16"/>
  <c r="D92" i="16"/>
  <c r="A97" i="16"/>
  <c r="D104" i="16"/>
  <c r="A109" i="16"/>
  <c r="D116" i="16"/>
  <c r="A121" i="16"/>
  <c r="D128" i="16"/>
  <c r="A133" i="16"/>
  <c r="D140" i="16"/>
  <c r="A145" i="16"/>
  <c r="D152" i="16"/>
  <c r="A157" i="16"/>
  <c r="D164" i="16"/>
  <c r="A169" i="16"/>
  <c r="D176" i="16"/>
  <c r="A181" i="16"/>
  <c r="D188" i="16"/>
  <c r="A3" i="16"/>
  <c r="A6" i="16"/>
  <c r="A9" i="16"/>
  <c r="A12" i="16"/>
  <c r="A15" i="16"/>
  <c r="A18" i="16"/>
  <c r="A21" i="16"/>
  <c r="A24" i="16"/>
  <c r="A27" i="16"/>
  <c r="A30" i="16"/>
  <c r="D37" i="16"/>
  <c r="A42" i="16"/>
  <c r="D49" i="16"/>
  <c r="A54" i="16"/>
  <c r="D61" i="16"/>
  <c r="A66" i="16"/>
  <c r="D73" i="16"/>
  <c r="A78" i="16"/>
  <c r="D85" i="16"/>
  <c r="A90" i="16"/>
  <c r="D97" i="16"/>
  <c r="A102" i="16"/>
  <c r="D109" i="16"/>
  <c r="A114" i="16"/>
  <c r="D121" i="16"/>
  <c r="A126" i="16"/>
  <c r="D133" i="16"/>
  <c r="A138" i="16"/>
  <c r="D145" i="16"/>
  <c r="A150" i="16"/>
  <c r="D157" i="16"/>
  <c r="A162" i="16"/>
  <c r="D169" i="16"/>
  <c r="A174" i="16"/>
  <c r="D181" i="16"/>
  <c r="A186" i="16"/>
  <c r="D191" i="16"/>
  <c r="D194" i="16"/>
  <c r="D197" i="16"/>
  <c r="D200" i="16"/>
  <c r="D203" i="16"/>
  <c r="D206" i="16"/>
  <c r="D209" i="16"/>
  <c r="D212" i="16"/>
  <c r="D215" i="16"/>
  <c r="D218" i="16"/>
  <c r="D221" i="16"/>
  <c r="D224" i="16"/>
  <c r="D227" i="16"/>
  <c r="D229" i="16"/>
  <c r="D3" i="16"/>
  <c r="D6" i="16"/>
  <c r="D9" i="16"/>
  <c r="D12" i="16"/>
  <c r="D15" i="16"/>
  <c r="D18" i="16"/>
  <c r="D21" i="16"/>
  <c r="D24" i="16"/>
  <c r="D27" i="16"/>
  <c r="D30" i="16"/>
  <c r="A35" i="16"/>
  <c r="D42" i="16"/>
  <c r="A47" i="16"/>
  <c r="D54" i="16"/>
  <c r="A59" i="16"/>
  <c r="D66" i="16"/>
  <c r="A71" i="16"/>
  <c r="D78" i="16"/>
  <c r="A83" i="16"/>
  <c r="D90" i="16"/>
  <c r="A95" i="16"/>
  <c r="D102" i="16"/>
  <c r="A107" i="16"/>
  <c r="D114" i="16"/>
  <c r="A119" i="16"/>
  <c r="D126" i="16"/>
  <c r="A131" i="16"/>
  <c r="D138" i="16"/>
  <c r="A143" i="16"/>
  <c r="D150" i="16"/>
  <c r="A155" i="16"/>
  <c r="D162" i="16"/>
  <c r="A167" i="16"/>
  <c r="D174" i="16"/>
  <c r="A179" i="16"/>
  <c r="D186" i="16"/>
  <c r="D35" i="16"/>
  <c r="A40" i="16"/>
  <c r="D47" i="16"/>
  <c r="A52" i="16"/>
  <c r="D59" i="16"/>
  <c r="A64" i="16"/>
  <c r="D71" i="16"/>
  <c r="A76" i="16"/>
  <c r="D83" i="16"/>
  <c r="A88" i="16"/>
  <c r="D95" i="16"/>
  <c r="A100" i="16"/>
  <c r="D107" i="16"/>
  <c r="A112" i="16"/>
  <c r="D119" i="16"/>
  <c r="A124" i="16"/>
  <c r="D131" i="16"/>
  <c r="A136" i="16"/>
  <c r="D143" i="16"/>
  <c r="A148" i="16"/>
  <c r="D155" i="16"/>
  <c r="A160" i="16"/>
  <c r="D167" i="16"/>
  <c r="A172" i="16"/>
  <c r="D179" i="16"/>
  <c r="A184" i="16"/>
  <c r="A33" i="16"/>
  <c r="D40" i="16"/>
  <c r="A45" i="16"/>
  <c r="D52" i="16"/>
  <c r="A57" i="16"/>
  <c r="D64" i="16"/>
  <c r="A69" i="16"/>
  <c r="D76" i="16"/>
  <c r="A81" i="16"/>
  <c r="D88" i="16"/>
  <c r="A93" i="16"/>
  <c r="D100" i="16"/>
  <c r="A105" i="16"/>
  <c r="D112" i="16"/>
  <c r="A117" i="16"/>
  <c r="D124" i="16"/>
  <c r="A129" i="16"/>
  <c r="D136" i="16"/>
  <c r="A141" i="16"/>
  <c r="D148" i="16"/>
  <c r="A153" i="16"/>
  <c r="D160" i="16"/>
  <c r="A165" i="16"/>
  <c r="D172" i="16"/>
  <c r="A177" i="16"/>
  <c r="D184" i="16"/>
  <c r="A189" i="16"/>
  <c r="A186" i="12"/>
  <c r="D191" i="12"/>
  <c r="D194" i="12"/>
  <c r="D197" i="12"/>
  <c r="D200" i="12"/>
  <c r="D203" i="12"/>
  <c r="D206" i="12"/>
  <c r="D209" i="12"/>
  <c r="D212" i="12"/>
  <c r="D215" i="12"/>
  <c r="D218" i="12"/>
  <c r="A2" i="16"/>
  <c r="A5" i="16"/>
  <c r="A8" i="16"/>
  <c r="A11" i="16"/>
  <c r="A14" i="16"/>
  <c r="A17" i="16"/>
  <c r="A20" i="16"/>
  <c r="A23" i="16"/>
  <c r="A26" i="16"/>
  <c r="A29" i="16"/>
  <c r="D33" i="16"/>
  <c r="A38" i="16"/>
  <c r="D45" i="16"/>
  <c r="A50" i="16"/>
  <c r="D57" i="16"/>
  <c r="A62" i="16"/>
  <c r="D69" i="16"/>
  <c r="A74" i="16"/>
  <c r="D81" i="16"/>
  <c r="A86" i="16"/>
  <c r="D93" i="16"/>
  <c r="A98" i="16"/>
  <c r="D105" i="16"/>
  <c r="A110" i="16"/>
  <c r="D117" i="16"/>
  <c r="A122" i="16"/>
  <c r="D129" i="16"/>
  <c r="A134" i="16"/>
  <c r="D141" i="16"/>
  <c r="A146" i="16"/>
  <c r="D153" i="16"/>
  <c r="A158" i="16"/>
  <c r="D165" i="16"/>
  <c r="A170" i="16"/>
  <c r="D177" i="16"/>
  <c r="A182" i="16"/>
  <c r="D189" i="16"/>
  <c r="D192" i="16"/>
  <c r="D195" i="16"/>
  <c r="D198" i="16"/>
  <c r="D201" i="16"/>
  <c r="D204" i="16"/>
  <c r="D207" i="16"/>
  <c r="D210" i="16"/>
  <c r="D213" i="16"/>
  <c r="D216" i="16"/>
  <c r="D219" i="16"/>
  <c r="D222" i="16"/>
  <c r="D225" i="16"/>
  <c r="D2" i="16"/>
  <c r="D5" i="16"/>
  <c r="D8" i="16"/>
  <c r="D11" i="16"/>
  <c r="D14" i="16"/>
  <c r="D17" i="16"/>
  <c r="D20" i="16"/>
  <c r="D23" i="16"/>
  <c r="D26" i="16"/>
  <c r="D29" i="16"/>
  <c r="A31" i="16"/>
  <c r="D38" i="16"/>
  <c r="A43" i="16"/>
  <c r="D50" i="16"/>
  <c r="A55" i="16"/>
  <c r="D62" i="16"/>
  <c r="A67" i="16"/>
  <c r="D74" i="16"/>
  <c r="A79" i="16"/>
  <c r="D86" i="16"/>
  <c r="A91" i="16"/>
  <c r="D98" i="16"/>
  <c r="A103" i="16"/>
  <c r="D110" i="16"/>
  <c r="A115" i="16"/>
  <c r="D122" i="16"/>
  <c r="A127" i="16"/>
  <c r="D134" i="16"/>
  <c r="A139" i="16"/>
  <c r="D146" i="16"/>
  <c r="A151" i="16"/>
  <c r="D158" i="16"/>
  <c r="A163" i="16"/>
  <c r="D170" i="16"/>
  <c r="A175" i="16"/>
  <c r="D182" i="16"/>
  <c r="A187" i="16"/>
  <c r="D31" i="16"/>
  <c r="A36" i="16"/>
  <c r="D43" i="16"/>
  <c r="A48" i="16"/>
  <c r="D55" i="16"/>
  <c r="A60" i="16"/>
  <c r="D67" i="16"/>
  <c r="A72" i="16"/>
  <c r="D79" i="16"/>
  <c r="A84" i="16"/>
  <c r="D91" i="16"/>
  <c r="A96" i="16"/>
  <c r="D103" i="16"/>
  <c r="A108" i="16"/>
  <c r="D115" i="16"/>
  <c r="A120" i="16"/>
  <c r="D127" i="16"/>
  <c r="A132" i="16"/>
  <c r="D139" i="16"/>
  <c r="A144" i="16"/>
  <c r="D151" i="16"/>
  <c r="A156" i="16"/>
  <c r="D163" i="16"/>
  <c r="A168" i="16"/>
  <c r="D175" i="16"/>
  <c r="A180" i="16"/>
  <c r="D187" i="16"/>
  <c r="D228" i="16"/>
  <c r="D36" i="16"/>
  <c r="A41" i="16"/>
  <c r="D48" i="16"/>
  <c r="A53" i="16"/>
  <c r="D60" i="16"/>
  <c r="A65" i="16"/>
  <c r="D72" i="16"/>
  <c r="A77" i="16"/>
  <c r="D84" i="16"/>
  <c r="A89" i="16"/>
  <c r="D96" i="16"/>
  <c r="A101" i="16"/>
  <c r="D108" i="16"/>
  <c r="A113" i="16"/>
  <c r="D120" i="16"/>
  <c r="A125" i="16"/>
  <c r="D132" i="16"/>
  <c r="A137" i="16"/>
  <c r="D144" i="16"/>
  <c r="A149" i="16"/>
  <c r="D156" i="16"/>
  <c r="A161" i="16"/>
  <c r="D168" i="16"/>
  <c r="A173" i="16"/>
  <c r="D180" i="16"/>
  <c r="A185" i="16"/>
  <c r="A4" i="16"/>
  <c r="A7" i="16"/>
  <c r="A10" i="16"/>
  <c r="A13" i="16"/>
  <c r="A16" i="16"/>
  <c r="A19" i="16"/>
  <c r="A22" i="16"/>
  <c r="A25" i="16"/>
  <c r="A28" i="16"/>
  <c r="A34" i="16"/>
  <c r="D41" i="16"/>
  <c r="A46" i="16"/>
  <c r="D53" i="16"/>
  <c r="A58" i="16"/>
  <c r="D65" i="16"/>
  <c r="A70" i="16"/>
  <c r="D77" i="16"/>
  <c r="A82" i="16"/>
  <c r="D89" i="16"/>
  <c r="A94" i="16"/>
  <c r="D101" i="16"/>
  <c r="A106" i="16"/>
  <c r="D113" i="16"/>
  <c r="A118" i="16"/>
  <c r="D125" i="16"/>
  <c r="A130" i="16"/>
  <c r="D137" i="16"/>
  <c r="A142" i="16"/>
  <c r="D149" i="16"/>
  <c r="A154" i="16"/>
  <c r="D161" i="16"/>
  <c r="A166" i="16"/>
  <c r="D173" i="16"/>
  <c r="A178" i="16"/>
  <c r="D185" i="16"/>
  <c r="D190" i="16"/>
  <c r="D193" i="16"/>
  <c r="D196" i="16"/>
  <c r="D199" i="16"/>
  <c r="D202" i="16"/>
  <c r="D205" i="16"/>
  <c r="D208" i="16"/>
  <c r="D211" i="16"/>
  <c r="D214" i="16"/>
  <c r="D217" i="16"/>
  <c r="D220" i="16"/>
  <c r="D223" i="16"/>
  <c r="D226" i="16"/>
  <c r="D4" i="16"/>
  <c r="D7" i="16"/>
  <c r="D10" i="16"/>
  <c r="D13" i="16"/>
  <c r="D16" i="16"/>
  <c r="D19" i="16"/>
  <c r="D22" i="16"/>
  <c r="D25" i="16"/>
  <c r="D28" i="16"/>
  <c r="D34" i="16"/>
  <c r="A39" i="16"/>
  <c r="D46" i="16"/>
  <c r="A51" i="16"/>
  <c r="D58" i="16"/>
  <c r="A63" i="16"/>
  <c r="D70" i="16"/>
  <c r="A75" i="16"/>
  <c r="D82" i="16"/>
  <c r="A87" i="16"/>
  <c r="D94" i="16"/>
  <c r="A99" i="16"/>
  <c r="D106" i="16"/>
  <c r="A111" i="16"/>
  <c r="D118" i="16"/>
  <c r="A123" i="16"/>
  <c r="D130" i="16"/>
  <c r="A135" i="16"/>
  <c r="D142" i="16"/>
  <c r="A147" i="16"/>
  <c r="D154" i="16"/>
  <c r="A159" i="16"/>
  <c r="D166" i="16"/>
  <c r="A171" i="16"/>
  <c r="D178" i="16"/>
  <c r="A183" i="16"/>
  <c r="A32" i="16"/>
  <c r="D39" i="16"/>
  <c r="A44" i="16"/>
  <c r="D51" i="16"/>
  <c r="A56" i="16"/>
  <c r="D63" i="16"/>
  <c r="A68" i="16"/>
  <c r="D75" i="16"/>
  <c r="A80" i="16"/>
  <c r="D87" i="16"/>
  <c r="A92" i="16"/>
  <c r="D99" i="16"/>
  <c r="A104" i="16"/>
  <c r="D111" i="16"/>
  <c r="A116" i="16"/>
  <c r="D123" i="16"/>
  <c r="A128" i="16"/>
  <c r="D135" i="16"/>
  <c r="A140" i="16"/>
  <c r="D147" i="16"/>
  <c r="A152" i="16"/>
  <c r="D159" i="16"/>
  <c r="A164" i="16"/>
  <c r="D171" i="16"/>
  <c r="A176" i="16"/>
  <c r="D183" i="16"/>
  <c r="A188" i="16"/>
</calcChain>
</file>

<file path=xl/sharedStrings.xml><?xml version="1.0" encoding="utf-8"?>
<sst xmlns="http://schemas.openxmlformats.org/spreadsheetml/2006/main" count="3071" uniqueCount="1014">
  <si>
    <r>
      <rPr>
        <b/>
        <sz val="11"/>
        <color rgb="FF000000"/>
        <rFont val="Roboto"/>
      </rPr>
      <t>Colorado Boulder Online MSCS Curriculum Guide
Share it via (</t>
    </r>
    <r>
      <rPr>
        <b/>
        <u/>
        <sz val="11"/>
        <color rgb="FF1155CC"/>
        <rFont val="Roboto"/>
      </rPr>
      <t>https://tinyurl.com/cu-boulder-mscs</t>
    </r>
    <r>
      <rPr>
        <b/>
        <sz val="11"/>
        <color rgb="FF000000"/>
        <rFont val="Roboto"/>
      </rPr>
      <t xml:space="preserve">)
</t>
    </r>
    <r>
      <rPr>
        <b/>
        <sz val="10"/>
        <color rgb="FF000000"/>
        <rFont val="Roboto"/>
      </rPr>
      <t xml:space="preserve">Contribute to the MSCS course reviews </t>
    </r>
    <r>
      <rPr>
        <b/>
        <u/>
        <sz val="10"/>
        <color rgb="FF1155CC"/>
        <rFont val="Roboto"/>
      </rPr>
      <t>here</t>
    </r>
    <r>
      <rPr>
        <b/>
        <sz val="11"/>
        <color rgb="FF000000"/>
        <rFont val="Roboto"/>
      </rPr>
      <t xml:space="preserve">   </t>
    </r>
    <r>
      <rPr>
        <b/>
        <sz val="10"/>
        <color rgb="FF000000"/>
        <rFont val="Roboto"/>
      </rPr>
      <t xml:space="preserve">
</t>
    </r>
    <r>
      <rPr>
        <b/>
        <sz val="10"/>
        <color rgb="FF1155CC"/>
        <rFont val="Roboto"/>
      </rPr>
      <t>Unofficial MSCS Discord</t>
    </r>
    <r>
      <rPr>
        <b/>
        <sz val="11"/>
        <color rgb="FF000000"/>
        <rFont val="Roboto"/>
      </rPr>
      <t xml:space="preserve"> / </t>
    </r>
    <r>
      <rPr>
        <b/>
        <u/>
        <sz val="10"/>
        <color rgb="FF1155CC"/>
        <rFont val="Roboto"/>
      </rPr>
      <t xml:space="preserve">Unofficial MSCS Reddit
</t>
    </r>
    <r>
      <rPr>
        <b/>
        <sz val="10"/>
        <color rgb="FF45818E"/>
        <rFont val="Roboto"/>
      </rPr>
      <t>Got a question? Contact Razuki on Discord</t>
    </r>
  </si>
  <si>
    <t>Degree
Pathway, Breadth, Elective</t>
  </si>
  <si>
    <t>Graduate Certifications
AI : AI certification
DS : Data Science</t>
  </si>
  <si>
    <t>Coursera
Published
Hours</t>
  </si>
  <si>
    <t>Programming 
Language
Required</t>
  </si>
  <si>
    <t>For-Credit
Finals Format</t>
  </si>
  <si>
    <t>Weightage of Finals</t>
  </si>
  <si>
    <t>Additional information on Finals</t>
  </si>
  <si>
    <t>Additional information on Assignments</t>
  </si>
  <si>
    <t>Code</t>
  </si>
  <si>
    <t>Course Title</t>
  </si>
  <si>
    <t>Degree Course Type</t>
  </si>
  <si>
    <t>Certification Type</t>
  </si>
  <si>
    <t>Hours</t>
  </si>
  <si>
    <t>Language</t>
  </si>
  <si>
    <t>Finals</t>
  </si>
  <si>
    <t>Finals Weightage</t>
  </si>
  <si>
    <t>Finals Details</t>
  </si>
  <si>
    <t>Assignment Details</t>
  </si>
  <si>
    <t>CSCA 5414</t>
  </si>
  <si>
    <t>Dynamic Programming, Greedy Algorithms</t>
  </si>
  <si>
    <t>Pathway - DSA</t>
  </si>
  <si>
    <t>Python</t>
  </si>
  <si>
    <t>Assignment</t>
  </si>
  <si>
    <t>Prog assignment (24 hour time limit)</t>
  </si>
  <si>
    <t>Programming assignments that are test-based, involves adapting algorithms from lectures</t>
  </si>
  <si>
    <t>CSCA 5424</t>
  </si>
  <si>
    <t>Approximation Algorithms and Linear Programming</t>
  </si>
  <si>
    <t>Prog assignment (30 hour time limit)</t>
  </si>
  <si>
    <t>CSCA 5454</t>
  </si>
  <si>
    <t>Advanced Data Structures, RSA and Quantum Algorithms</t>
  </si>
  <si>
    <t>Prog assignment (36 hour time limit; 2 attempts)</t>
  </si>
  <si>
    <t>CSCA 5063</t>
  </si>
  <si>
    <t>Network Systems Foundation</t>
  </si>
  <si>
    <t>Pathway - NWS</t>
  </si>
  <si>
    <t>Exam (Non-
Proctored)</t>
  </si>
  <si>
    <t>34 qns (mostly MCQs), 1 attempt</t>
  </si>
  <si>
    <t>CSCA 5073</t>
  </si>
  <si>
    <t>Network Principles in Practice: Linux Networking</t>
  </si>
  <si>
    <t>Bash</t>
  </si>
  <si>
    <t>22 questions (mostly MCQ, also short-answer), 1 attempt</t>
  </si>
  <si>
    <t>CSCA 5083</t>
  </si>
  <si>
    <t>Network Principles in Practice: Cloud Networking</t>
  </si>
  <si>
    <t>Terraform</t>
  </si>
  <si>
    <t>34 MCQs, 2 attempts, 90 minutes each (not strictly timed)</t>
  </si>
  <si>
    <t>Null</t>
  </si>
  <si>
    <t>CSCA 5622</t>
  </si>
  <si>
    <t>Introduction to Machine Learning: Supervised Learning</t>
  </si>
  <si>
    <t>Breadth - ML</t>
  </si>
  <si>
    <t>AI,DS</t>
  </si>
  <si>
    <t>Project</t>
  </si>
  <si>
    <t>Peer review project</t>
  </si>
  <si>
    <t>Assignments are largely test-based and require you to build out the algorithms in supervised learning</t>
  </si>
  <si>
    <t>CSCA 5632</t>
  </si>
  <si>
    <t>Unsupervised Algorithms in Machine Learning</t>
  </si>
  <si>
    <t>Assignments include both test-based that require you to build out the algorithms and kaggle-style competition peer-review assignments</t>
  </si>
  <si>
    <t>CSCA 5642</t>
  </si>
  <si>
    <t>Introduction to Deep Learning</t>
  </si>
  <si>
    <t>Assignments include a few test-based that require you to build out the algorithms and mostly kaggle-style competition peer-review assignments</t>
  </si>
  <si>
    <t>CSCA 5834</t>
  </si>
  <si>
    <t>Modeling of Autonomous Systems</t>
  </si>
  <si>
    <t>Breadth - AS</t>
  </si>
  <si>
    <t>AI</t>
  </si>
  <si>
    <t>Exam (Non-proctored)</t>
  </si>
  <si>
    <t>MCQ exam (12 hours time limit; 1 attempt)</t>
  </si>
  <si>
    <t>Math-heavy; reviewing linear algebra, calculus and differential equations will help. MCQ assignments</t>
  </si>
  <si>
    <t>CSCA 5844</t>
  </si>
  <si>
    <t>Requirement Specifications for Autonomous Systems</t>
  </si>
  <si>
    <t>CSCA 5854</t>
  </si>
  <si>
    <t>Verification and Synthesis of Autonomous Systems</t>
  </si>
  <si>
    <t>CSCA 5214</t>
  </si>
  <si>
    <t>Computing, Ethics, and Society Foundations</t>
  </si>
  <si>
    <t>Breadth - Ethics</t>
  </si>
  <si>
    <t>No</t>
  </si>
  <si>
    <t>Selected discussion questions (300 to 500 words each)
Exclude Facebook and Data Breaches discussions</t>
  </si>
  <si>
    <t>Essay-based peer review assignments</t>
  </si>
  <si>
    <t>CSCA 5224</t>
  </si>
  <si>
    <t>Ethical Issues in AI and Professional Ethics</t>
  </si>
  <si>
    <t>Selected discussion questions (300 to 500 words each), 1 attempt</t>
  </si>
  <si>
    <t>CSCA 5234</t>
  </si>
  <si>
    <t>Ethical Issues in Computing Applications </t>
  </si>
  <si>
    <t>Big Data Challenges and NoSQL Solutions (Not released)</t>
  </si>
  <si>
    <t>Elective - Big Data</t>
  </si>
  <si>
    <t>CSCA 5502</t>
  </si>
  <si>
    <t>Data Mining Pipeline</t>
  </si>
  <si>
    <t>Elective - DM</t>
  </si>
  <si>
    <t>DS</t>
  </si>
  <si>
    <t>Exam (Proctor)</t>
  </si>
  <si>
    <t>20 qns (MCQ) exam</t>
  </si>
  <si>
    <t>Test-based peer-review assignments and quizzes</t>
  </si>
  <si>
    <t>CSCA 5512</t>
  </si>
  <si>
    <t>Data Mining Methods</t>
  </si>
  <si>
    <t>CSCA 5522</t>
  </si>
  <si>
    <t>Data Mining Project</t>
  </si>
  <si>
    <t>Peer review project (No restriction to topic)</t>
  </si>
  <si>
    <t>Peer-review assignments following the steps towards building up the project</t>
  </si>
  <si>
    <t>CSCA 5008</t>
  </si>
  <si>
    <t>Fundamentals of Software Architecture for Big Data</t>
  </si>
  <si>
    <t>Elective - SWA</t>
  </si>
  <si>
    <t>Java/Kotlin</t>
  </si>
  <si>
    <t>Peer review assignment</t>
  </si>
  <si>
    <t>Test-based peer-review assignments and quizzes; students may face some interface issues using Windows</t>
  </si>
  <si>
    <t>CSCA 5018</t>
  </si>
  <si>
    <t>Software Architecture Patterns for Big Data</t>
  </si>
  <si>
    <t>Java/Kotlin/Python</t>
  </si>
  <si>
    <t>CSCA 5028</t>
  </si>
  <si>
    <t>Applications of Software Architecture for Big Data</t>
  </si>
  <si>
    <t>Peer review project (No restriction to topic; follow rubric requirements)</t>
  </si>
  <si>
    <t>CSCA 5112</t>
  </si>
  <si>
    <t>Introduction to Generative AI</t>
  </si>
  <si>
    <t>Elective - Gen AI</t>
  </si>
  <si>
    <t>Not required</t>
  </si>
  <si>
    <t>Exam
(Non-proctor)</t>
  </si>
  <si>
    <t>43 qns (MCQ ; 2 hour time limit) 1 attempt</t>
  </si>
  <si>
    <t>MCQ quizzes</t>
  </si>
  <si>
    <t>CSCA 5122</t>
  </si>
  <si>
    <t>Modern Applications of Generative AI (Not released)</t>
  </si>
  <si>
    <t>CSCA 5132</t>
  </si>
  <si>
    <t>Advances in Generative AI (Not released)</t>
  </si>
  <si>
    <t>CSCA 5859</t>
  </si>
  <si>
    <t>Ideating and Prototyping Interfaces (Not released)</t>
  </si>
  <si>
    <t>Elective - HCI</t>
  </si>
  <si>
    <t>CSCA 5869</t>
  </si>
  <si>
    <t>User Interface Testing and Usability (Not released)</t>
  </si>
  <si>
    <t>CSCA 5879</t>
  </si>
  <si>
    <t>Emerging Topics in HCI: Designing for VR, AR, AI (Not released)</t>
  </si>
  <si>
    <t>CSCA 5312</t>
  </si>
  <si>
    <t>Basic Robotic Behaviors and Odometry</t>
  </si>
  <si>
    <t>Elective - Robotic</t>
  </si>
  <si>
    <t>45 mins MCQ (3 attempts every 8 hours)</t>
  </si>
  <si>
    <t>CSCA 5332</t>
  </si>
  <si>
    <t>Robotic Mapping and Trajectory Generation</t>
  </si>
  <si>
    <t>45 mins (3 attempts every 8 hours)</t>
  </si>
  <si>
    <t>CSCA 5342</t>
  </si>
  <si>
    <t>Robotic Path Planning and Task Execution</t>
  </si>
  <si>
    <t>30 mins (3 attempts every 8 hours)</t>
  </si>
  <si>
    <t>CSCA 5832</t>
  </si>
  <si>
    <t>Fundamentals of Natural Language Processing (Not released)</t>
  </si>
  <si>
    <t>Elective - NLP</t>
  </si>
  <si>
    <t>CSCA 5842</t>
  </si>
  <si>
    <t>Deep Learning for Natural Language Processing (Not released)</t>
  </si>
  <si>
    <t>CSCA 5852</t>
  </si>
  <si>
    <t>Model and Error Analysis for Natural Language Processing (Not released)</t>
  </si>
  <si>
    <t>CSCA 5433</t>
  </si>
  <si>
    <t>When to Regulate? The Digital Divide and Net Neutrality</t>
  </si>
  <si>
    <t>Elective - Internet Policy</t>
  </si>
  <si>
    <t>MCQ</t>
  </si>
  <si>
    <t>CSCA 5443</t>
  </si>
  <si>
    <t>Protecting Individual Privacy on the Internet</t>
  </si>
  <si>
    <t>CSCA 5453</t>
  </si>
  <si>
    <t>Cybersecurity in Crisis: Information and Internet Security</t>
  </si>
  <si>
    <t>CSCA 5222</t>
  </si>
  <si>
    <t>Introduction to Computer Vision</t>
  </si>
  <si>
    <t>Elective - Computer Vision</t>
  </si>
  <si>
    <t>MCQ exam (20 questions)</t>
  </si>
  <si>
    <t>CSCA 5322</t>
  </si>
  <si>
    <t>Deep Learning for Computer Vision</t>
  </si>
  <si>
    <t>CSCA 5422</t>
  </si>
  <si>
    <t>Computer Vision for Generative AI</t>
  </si>
  <si>
    <t>CSCA 5428</t>
  </si>
  <si>
    <t>Object-Oriented Analysis and Design: Foundations and Concepts</t>
  </si>
  <si>
    <t>Elective - OOAD</t>
  </si>
  <si>
    <t>Java</t>
  </si>
  <si>
    <t>Capstone project + Final Exam</t>
  </si>
  <si>
    <t>22% For Capstone + 22% for Final Exam</t>
  </si>
  <si>
    <t>CSCA 5438</t>
  </si>
  <si>
    <t>Object-Oriented Analysis and Design: Patterns and Principles (Not released)</t>
  </si>
  <si>
    <t>CSCA 5448</t>
  </si>
  <si>
    <t>Object-Oriented Analysis and Design: Practice and Architecture (Not released)</t>
  </si>
  <si>
    <t>CSCA 5702</t>
  </si>
  <si>
    <t>Fundamentals of Data Visualization</t>
  </si>
  <si>
    <t>Standalone</t>
  </si>
  <si>
    <t>Final visualization with write-up</t>
  </si>
  <si>
    <t>CSCA 5812</t>
  </si>
  <si>
    <t>Deep Learning Applications for Computer Vision
(The exclusion of this course will take effect in AY 24-25. If you were admitted in AY 23-24, this course was still part of your catalog year and accepted toward electives in the MS-CS degree.)</t>
  </si>
  <si>
    <t>Final essay</t>
  </si>
  <si>
    <r>
      <rPr>
        <b/>
        <sz val="9"/>
        <color theme="1"/>
        <rFont val="Roboto"/>
      </rPr>
      <t xml:space="preserve">1) You can apply up to six graduate-level credit hours of courses offered by other CU degrees on Coursera toward the MS-CS on Coursera degree. 
2) You cannot apply credit from the following courses toward MS-CS on Coursera requirements:
-DTSA 5302 Cybersecurity for Data Science
-DTSA 5303 Ethical Issues in Data Science
-DTSA 5501 Algorithms for Searching, Sorting, and Indexing
-DTSA 5502 Trees and Graphs: Basics
Links:
MSDS: </t>
    </r>
    <r>
      <rPr>
        <b/>
        <u/>
        <sz val="9"/>
        <color rgb="FF1155CC"/>
        <rFont val="Roboto"/>
      </rPr>
      <t>https://docs.google.com/spreadsheets/u/0/d/1q-ThRG-mxo1okBKqPewK8sEgGUQmyOcMDxdKX0S0sTk/htmlview#gid=0</t>
    </r>
  </si>
  <si>
    <t>Module Description</t>
  </si>
  <si>
    <t>This course covers basic algorithm design techniques such as divide and conquer, dynamic programming, and greedy algorithms. It concludes with a brief introduction to intractability (NP-completeness) and using linear/integer programming solvers for solving optimization problems.</t>
  </si>
  <si>
    <t>Covers ideas surrounding approximation algorithms including a rigorous mathematical analysis of the approximation guarantees provided by these algorithms. Teaches the use of linear/integer programming formulations for common algorithmic problems and the relation between integer optimization problems and their linear programming relaxations. Introduces key mathematical concepts needed to analyze these algorithms and explores the application of algorithmic concepts to real-world problems.</t>
  </si>
  <si>
    <t>Advanced Data Structures, RSA and Quantum Algorithms (Not released)</t>
  </si>
  <si>
    <t>Covers advanced ideas in data structures such as B-Trees and Fibonacci heaps while presenting further applications of amortized analyses. Introduces number theoretic algorithms that form the basis of RSA public-key cryptography. Provides a brief introduction to quantum computing/algorithms by teaching the basics of quantum computation and two important examples of efficient quantum algorithms. Introduces key mathematical concepts needed to analyze these algorithms and explores the application of algorithmic concepts to real-world problems.</t>
  </si>
  <si>
    <t>Intended for individuals looking to understand the basics of software engineering as they relate to building large software systems that leverage big data. Students will be introduced to software engineering concepts necessary to build and scale large, data intensive, distributed systems. Starting with software engineering best practices and loosely coupled, highly cohesive data microservices, the course takes students through the evolution of a distributed system over time. Formerly offered as a special topics course.</t>
  </si>
  <si>
    <t>Intended for individuals looking to understand the architecture patterns necessary to take large software systems that leverage big data to production. Students will transform big data prototypes into high quality tested production software. After measuring the performance characteristics of distributed systems, they will identify trouble areas and implement scalable solutions to improve performance. Upon completion of the course they will know how to scale production datastores to perform under load, designing load tests to ensure applications meet performance requirements. Formerly offered as a special topics course.</t>
  </si>
  <si>
    <t>Intended for individuals who want to build a production-quality software system that leverages big data. Students will apply the basics of software engineering and architecture to create a production-ready distributed system that handles big data. Students will build and scale a large, data intensive, distributed system, composed of loosely coupled, highly cohesive data microservices.</t>
  </si>
  <si>
    <t>This course introduces various supervised ML algorithms and prediction tasks applied to different data. Specific topics include linear and logistic regression, KNN, Decision trees, ensemble methods such as Random Forest and Boosting, and kernel methods such as SVM. Formerly offered as a special topics course.</t>
  </si>
  <si>
    <t>Students will learn selected unsupervised learning methods for dimensionality reduction, clustering, finding latent features, and application cases such as recommender systems with hands-on examples of product recommendation algorithms. Formerly offered as a special topics course.</t>
  </si>
  <si>
    <t>Course will cover the basics of deep learning, such as multilayer perceptron, convolutional neural network, recurrent neural network, how to build and train neural network models, optimization methods, and application examples. Formerly offered as a special topics course.</t>
  </si>
  <si>
    <t>Computing systems and technologies fundamentally impact the lives of most people in the world, including how we communicate, get information, socialize, and receive healthcare. This course is the first of a three course sequence that examines ethical issues in the design and implementation of computing systems and technologies, and reflects upon the broad implication of computing on our society. It covers ethical theories, privacy, security, social media, and misinformation.</t>
  </si>
  <si>
    <t>Computing systems and technologies fundamentally impact the lives of most people in the world, including how we communicate, get information, socialize, and receive healthcare. This course is the second of a three course sequence that examines ethical issues in the design and implementation of computing systems and technologies, and reflects upon the broad implication of computing on our society. It covers algorithmic bias in machine learning methods, professional ethics, and issues in the tech workplace.</t>
  </si>
  <si>
    <t>Computing systems and technologies fundamentally impact the lives of most people in the world, including how we communicate, get information, socialize, and receive healthcare. This course is the third of a three course sequence that examines ethical issues in the design and implementation of computing systems and technologies, and reflects upon the broad implication of computing on our society. It covers medical applications, uses of robotics, autonomous vehicles, and the future of work.</t>
  </si>
  <si>
    <t>Throughout this course, Network Systems Foundations, you will delve into the fundamental layers of network communication. You will start with a thorough discussion of the Link Layer and its crucial role, moving on to the intricacies of Internet Protocol (IP) and router data planes, and then navigate through the complexities of the transport layer, application layer, and network security. With a practical focus, you'll write Python code to manage routing tables, analyze network traffic, simulate router functionalities, and create digital certificates for web servers. By the end of this course, you will have a well-rounded understanding of networking principles, from data transmission and routing to application protocols and security, and will be equipped with practical skills to navigate the ever-evolving landscape of network technology.</t>
  </si>
  <si>
    <t>Network Principles in Practice: Linux Networking (Not released)</t>
  </si>
  <si>
    <t>Network Principles in Practice: Cloud Networking (Not released)</t>
  </si>
  <si>
    <t>This course introduces the key steps involved in the data mining pipeline, including data understanding, data preprocessing, data warehouse, data modeling, interpretation and evaluation, and real-world applications.</t>
  </si>
  <si>
    <t>This course covers core techniques used in data mining, including frequent pattern analysis, classification, clustering, outlier detection, as well as time-series mining and graph mining.</t>
  </si>
  <si>
    <t>This course offers step-by-step guidance and hands-on experience of designing and implementing a real-world data mining project, including problem formulation, literature survey, proposed work, evaluation, discussion and future work.</t>
  </si>
  <si>
    <t>This course will explain the core structure in any autonomous system which includes sensors, actuators, and potentially communication networks. Then, it will cover different formal modeling frameworks used for autonomous systems including state-space representations (difference or differential equations), timed automata, hybrid automata, and in general transition systems. It will describe solutions and behaviors of systems and different interconnections between systems.</t>
  </si>
  <si>
    <t>This course will discuss different ways of formally modeling requirements of interest for autonomous systems. Examples of such requirements include stability, invariance, reachability, regular languages, omega-regular languages, and linear temporal logic properties. In addition, it will introduce non-deterministic finite and büchi automata for recognizing, respectively, regular languages and omega-regular languages.</t>
  </si>
  <si>
    <t>This course will provide different techniques on the verification of autonomous systems against stability, regular, or omega-regular properties. Such techniques include Lyapunov theories, reachability analysis, barrier certificates, and model checking. Finally, it will introduce several techniques on designing controllers enforcing properties of interest over the original autonomous systems.</t>
  </si>
  <si>
    <t>Students will learn about several topics related to Generative AI, including deep learning and machine learning algorithms that enable machines to generate text, images, and music. Additionally, they will also learn about the diffusion model and transformer model, which are important techniques used in Generative AI. The course will guide students on how to apply these techniques to design and build their own generative models and apply those models to new problems.</t>
  </si>
  <si>
    <t>Deep learning has revolutionized the field of natural language processing and led to many state-of-the-art results. This course introduces students to neural network models and training algorithms frequently used in natural language processing. At the end of this course, learners will be able to explain and implement feedforward networks, recurrent neural networks, convolutional neural networks, and transformers. They will also have an understanding of transfer learning, the paradigm behind popular models such as BERT and GPT-3.</t>
  </si>
  <si>
    <t>Understanding the performance of natural language processing models goes beyond simply computing measures like accuracy. In this course we will learn methods for analyzing the strengths and weaknesses of NLP systems, both neural and non-neural. We will also learn about problematic biases in NLP data and systems. Methods covered include standard benchmarks, qualitative error analysis, confusion matrices, contrastive and diagnostic evaluation, and probing experiments.</t>
  </si>
  <si>
    <t>User interfaces are a core part of everyday work, learning, and entertainment. To learn how to create a successful user interface is key behind the most successful products we use on our phones and the web. This course is the first in a series of three in this specialization on Human-Computer Interaction (HCI). It covers the fundamental methods in conducting HCI research and practice. During this course, you will practice core skills related to HCI work, such as brainstorming, sketching, prototyping. By examining prominent examples of past HCI successes and failures, you will identify design practices that help you create great user experiences. By the end of the course, you will know how to ideate, design and create user interfaces through practical examples and have started a portfolio of example designs for your future practice. Please note, to complete this course, you will need access to a computer or laptop, a camera or similar device (such as a webcam), and paper and pen/pencils.</t>
  </si>
  <si>
    <t>This course is the second in a series of three in this specialization on Human-Computer Interaction (HCI). This course focuses on evaluating user interfaces to develop new user interface ideas or improve existing ones. You will learn how to understand the users¿ needs, their abilities, the context that they operate in and their unique challenges through theory and practical methods. You will practice how to evaluate a user interface through standard industry practices and how to communicate the outcome to your peers. You will also compare between different low-cost methods to rapidly evaluate alternative user interface ideas as you iterate on your interface ideas. By the end of this course, you will be able to successfully assess a user interface and generate actionable insights through user testing. Please note, to complete this course, you will need access to a computer or laptop, a camera or similar device (such as a webcam), and paper and pen/pencils.</t>
  </si>
  <si>
    <t>Human-Computer Interaction (HCI) is rapidly moving beyond the standard graphical user interface that has long dominated how we engage with computers. In this final course in the specialization on Human-Computer Interaction (HCI), you will be introduced to emerging HCI topics like voice assistants, virtual and augmented reality, and embodied computing interfaces. Throughout the course, you will learn how to prototype and user test these emerging interfaces. Please note, to complete this course, you will need access to a computer or laptop, a camera or similar device (such as a webcam), and paper and pen/pencils.</t>
  </si>
  <si>
    <t>Introduction to autonomous mobile robots, including forward kinematics (¿odometry¿), basic sensors and actuator, and simple reactive behavior. The course is centered around two laboratory exercises in the realistic, physics-based simulator ¿Webots¿ in which students will experiment with simple reactive behaviors for collision avoidance and line following, state machines, and basic forward kinematics of non-holonomic systems. An overarching objective of this course is to understand the role of the physical system on algorithm design and its role as source of uncertainty that makes robots non-deterministic.</t>
  </si>
  <si>
    <t>Building upon the course ¿Basic Robotic Behaviors and Odometry¿, students will learn how to perform basic inverse kinematics of (non-)holonomic systems using a feedback control approach and how to process multi-dimensional sensor signals such as laser range scanners to create discrete representations of the environment (mapping). Also in this course, the overarching focus is mechanisms and sensors as sources of uncertainty and techniques to model and control for them.</t>
  </si>
  <si>
    <t>Building upon the courses ¿Basic Robotic Behaviors and Odometry¿ and ¿Robotic Mapping and Trajectory Generation¿, students will learn how implement high-level reasoning for generating trajectories (path planning) and sequencing tasks under uncertainty of sensing and actuation. As a first cap stone in the robotics specialization, this course will also lead toward the implementation of a complex mobile manipulation system, combining behaviors, sensing, control and planning developed in previous modules.</t>
  </si>
  <si>
    <t xml:space="preserve">CSCA 5832: </t>
  </si>
  <si>
    <t>The field of natural language processing aims at getting computers to perform useful and interesting tasks with human language. This course introduces students to the fundamental problems in NLP, the fundamental techniques that are used to solve those problems and lays the foundation for understanding state-of-art methods. At the end of the course, students will be able to implement and analyze text classifiers, sequence labelers, discrete probabilistic models, and vector-based approaches to word meaning.</t>
  </si>
  <si>
    <t xml:space="preserve">CSCA 5842: </t>
  </si>
  <si>
    <t>CSCA 5852:</t>
  </si>
  <si>
    <t>Object-Oriented Analysis &amp; Design (Not released)</t>
  </si>
  <si>
    <t>Explores the design, development, and evaluation of information visualizations. Combine aspects of design, computer graphics, HCI, and data science, to gain hands-on experience with creating visualizations, using exploratory tools, and architecting data narratives. Topics include user-centered design, web-based visualization, data cognition and perception, and design evaluation.</t>
  </si>
  <si>
    <t>Deep Learning Applications for Computer Vision</t>
  </si>
  <si>
    <t>Students will learn about Computer Vision as a field of study and research. They explore several Computer Vision tasks and suggested approaches, from the classic Computer Vision perspective. They'll be introduced to Deep Learning methods and apply them to some of the same problems. They will analyze the results and discuss advantages and drawbacks of both types of methods. Examples of Computer Vision tasks where Deep Learning can be applied include: image classification, image classification with localization, object detection, object segmentation, facial recognition, and activity or pose estimation.</t>
  </si>
  <si>
    <r>
      <rPr>
        <b/>
        <sz val="11"/>
        <color theme="1"/>
        <rFont val="Roboto"/>
      </rPr>
      <t xml:space="preserve">1) You can apply up to six graduate-level credit hours of courses offered by other CU degrees on Coursera toward the MS-CS on Coursera degree. 
2) You cannot apply credit from the following courses toward MS-CS on Coursera requirements:
-DTSA 5302 Cybersecurity for Data Science
-DTSA 5303 Ethical Issues in Data Science
-DTSA 5501 Algorithms for Searching, Sorting, and Indexing
-DTSA 5502 Trees and Graphs: Basics
Links:
MSDS: </t>
    </r>
    <r>
      <rPr>
        <b/>
        <u/>
        <sz val="11"/>
        <color rgb="FF1155CC"/>
        <rFont val="Roboto"/>
      </rPr>
      <t>https://docs.google.com/spreadsheets/d/1Y6FbIctyKuEf8nlmA1L0D49cEwuNa1NLcwKTzET27Lw/edit?usp=sharing</t>
    </r>
  </si>
  <si>
    <r>
      <rPr>
        <b/>
        <sz val="11"/>
        <color rgb="FF000000"/>
        <rFont val="Roboto"/>
      </rPr>
      <t xml:space="preserve">Colorado Boulder Master of Science in Computer Science on Coursera
</t>
    </r>
    <r>
      <rPr>
        <sz val="11"/>
        <color rgb="FF000000"/>
        <rFont val="Roboto"/>
      </rPr>
      <t>Find this helpful? Contribute to the MSCS course reviews on</t>
    </r>
    <r>
      <rPr>
        <b/>
        <sz val="11"/>
        <color rgb="FF000000"/>
        <rFont val="Roboto"/>
      </rPr>
      <t xml:space="preserve"> (</t>
    </r>
    <r>
      <rPr>
        <b/>
        <u/>
        <sz val="11"/>
        <color rgb="FF1155CC"/>
        <rFont val="Roboto"/>
      </rPr>
      <t>http://tinyurl.com/cu-mscs-review</t>
    </r>
    <r>
      <rPr>
        <b/>
        <sz val="11"/>
        <color rgb="FF000000"/>
        <rFont val="Roboto"/>
      </rPr>
      <t>)</t>
    </r>
  </si>
  <si>
    <t>Pathway, Breadth, Elective</t>
  </si>
  <si>
    <t>Number of 
Course Reviews</t>
  </si>
  <si>
    <t>Overall Experience
1 - Very Poor
5 - Very Good</t>
  </si>
  <si>
    <t>Content Difficulty
1 - Very Easy
5 - Very Difficult</t>
  </si>
  <si>
    <t>Instructor Effectiveness
1 - Very Ineffective
5 - Very Effective</t>
  </si>
  <si>
    <t>Students' Estimated Time Commitment (hours)</t>
  </si>
  <si>
    <t>CSCA 5414 - Dynamic Programming, Greedy Algorithms</t>
  </si>
  <si>
    <t>CSCA 5424 - Approximation Algorithms and Linear Programming</t>
  </si>
  <si>
    <t>CSCA 5454 - Advanced Data Structures, RSA and Quantum Algorithms</t>
  </si>
  <si>
    <t>CSCA 5063 - Network Systems Foundation</t>
  </si>
  <si>
    <t>CSCA 5073 - Network Principles in Practice: Linux Networking</t>
  </si>
  <si>
    <t>CSCA 5083 - Network Principles in Practice: Cloud Networking</t>
  </si>
  <si>
    <t>CSCA 5622 - Introduction to Machine Learning: Supervised Learning</t>
  </si>
  <si>
    <t>CSCA 5632 - Unsupervised Algorithms in Machine Learning</t>
  </si>
  <si>
    <t>CSCA 5642 - Introduction to Deep Learning</t>
  </si>
  <si>
    <t>CSCA 5214 - Computing, Ethics, and Society Foundations</t>
  </si>
  <si>
    <t>CSCA 5224 - Ethical Issues in AI and Professional Ethics</t>
  </si>
  <si>
    <t>CSCA 5234 - Ethical Issues in Computing Applications</t>
  </si>
  <si>
    <t>CSCA 5834 - Modeling of Autonomous Systems</t>
  </si>
  <si>
    <t>CSCA 5844 - Requirement Specifications for Autonomous Systems</t>
  </si>
  <si>
    <t>CSCA 5854 - Verification and Synthesis of Autonomous Systems</t>
  </si>
  <si>
    <t>Null - Big Data Challenges and NoSQL Solutions (Not released)</t>
  </si>
  <si>
    <t>CSCA 5502 - Data Mining Pipeline</t>
  </si>
  <si>
    <t>CSCA 5512 - Data Mining Methods</t>
  </si>
  <si>
    <t>CSCA 5522 - Data Mining Project</t>
  </si>
  <si>
    <t>CSCA 5008 - Fundamentals of Software Architecture for Big Data</t>
  </si>
  <si>
    <t>CSCA 5018 - Software Architecture Patterns for Big Data</t>
  </si>
  <si>
    <t>CSCA 5028 - Applications of Software Architecture for Big Data</t>
  </si>
  <si>
    <t>CSCA 5112 - Introduction to Generative AI</t>
  </si>
  <si>
    <t>CSCA 5122 - Modern Applications of Generative AI (Not released)</t>
  </si>
  <si>
    <t>CSCA 5132 - Advances in Generative AI (Not released)</t>
  </si>
  <si>
    <t>CSCA 5859 - Ideating and Prototyping Interfaces (Not released)</t>
  </si>
  <si>
    <t>CSCA 5869 - User Interface Testing and Usability (Not released)</t>
  </si>
  <si>
    <t>CSCA 5879 - Emerging Topics in HCI: Designing for VR, AR, AI (Not released)</t>
  </si>
  <si>
    <t>CSCA 5312 - Basic Robotic Behaviors and Odometry</t>
  </si>
  <si>
    <t>CSCA 5332 - Robotic Mapping and Trajectory Generation</t>
  </si>
  <si>
    <t>CSCA 5342 - Robotic Path Planning and Task Execution</t>
  </si>
  <si>
    <t>CSCA 5832: - Fundamentals of Natural Language Processing (Not released)</t>
  </si>
  <si>
    <t>CSCA 5842: - Deep Learning for Natural Language Processing (Not released)</t>
  </si>
  <si>
    <t>CSCA 5852: - Model and Error Analysis for Natural Language Processing (Not released)</t>
  </si>
  <si>
    <t>CSCA 5433 - When to Regulate? The Digital Divide and Net Neutrality</t>
  </si>
  <si>
    <t>CSCA 5443 - Protecting Individual Privacy on the Internet (Not released)</t>
  </si>
  <si>
    <t>CSCA 5453 - Cybersecurity in Crisis: Information and Internet Security (Not released)</t>
  </si>
  <si>
    <t>CSCA 5222 - Introduction to Computer Vision</t>
  </si>
  <si>
    <t>CSCA 5322 - Deep Learning for Computer Vision (Not released)</t>
  </si>
  <si>
    <t>CSCA 5422 - Computer Vision for Generative AI (Not released)</t>
  </si>
  <si>
    <t>CSCA 5428: Object-Oriented Analysis and Design: Foundations and Concepts</t>
  </si>
  <si>
    <t>CSCA 5438: Object-Oriented Analysis and Design: Patterns and Principles (Not released)</t>
  </si>
  <si>
    <t>NA</t>
  </si>
  <si>
    <t>CSCA 5448: Object-Oriented Analysis and Design: Practice and Architecture (Not released)</t>
  </si>
  <si>
    <t>CSCA 5702 - Fundamentals of Data Visualization</t>
  </si>
  <si>
    <t>CSCA 5812 - Deep Learning Applications for Computer Vision</t>
  </si>
  <si>
    <t>Course Name</t>
  </si>
  <si>
    <t>Feedback on the Course</t>
  </si>
  <si>
    <t>Filters</t>
  </si>
  <si>
    <t>Timestamp</t>
  </si>
  <si>
    <t>Overall Experience: How would you rate your overall experience in the course?</t>
  </si>
  <si>
    <t>Course Content Difficulty: How would you rate the difficulty of the course content?</t>
  </si>
  <si>
    <t>Instructor Effectiveness: How effective was the instructor in teaching the course?</t>
  </si>
  <si>
    <t>Time Commitment: Approximately how many hours did you spend on this course?</t>
  </si>
  <si>
    <t>Feedback on the course</t>
  </si>
  <si>
    <t>The course is very well structured and you honestly just have to listen carefully to the Prof and do the assignments that helped to reinforce the learning. Its good to do the first 2 series of the DSA courses as they are the building foundation for the rest of the specialisation although they are non credited.</t>
  </si>
  <si>
    <t/>
  </si>
  <si>
    <t>CSCA 5622 - Introduction to Machine Learning: Supervised Learning</t>
  </si>
  <si>
    <t>Python, heaps, graphs. A couple of exercises are hard. I read the book chapters before the videos.</t>
  </si>
  <si>
    <t>Reviewing the first two non credit courses helped with data structures used in the course</t>
  </si>
  <si>
    <t>The course was just released when I took it and had a lot of mistakes in quizzes.  Instructor has been responsive in correcting them.</t>
  </si>
  <si>
    <t>I found the assignments difficult to understand.  In some cases, the tests could pass without actually doing what the software was intended to do.  TA advice on how to grade this contradicted the grading rubric.  I don't know if the vagueness and lack of documentation on programming assignments was intended to weed out students who aren't prepared for this level of material, or if it was just poor instruction, but I found the course to be frustrating.</t>
  </si>
  <si>
    <t>The book Understanding Distributed Systems by Roberto Vitillo is incredibly useful for this entire specialisation</t>
  </si>
  <si>
    <t>Time commitment will vary widely, dependent on the project one chooses and the detail into which one goes</t>
  </si>
  <si>
    <t xml:space="preserve">The final project took significantly longer than the rest of the assignments, but was very valuable since it provides a real-world project example.  Python is used heavily in the programming assignments, but (as someone who had next to 0 knowledge of Python before this course) it was too difficult to come up to speed on the required info during the course.  The instructor's videos were poor and did not help me understand the content, so seek external guidance online for the more challenging topics.  </t>
  </si>
  <si>
    <t>The instructor is excellent and the assignments are very well thought out.  It is challenging, but it is also a great example of a well-structured course.  The video lectures each week build you up to the weekly programming assignment, and the final exam pulls it all together to test your overall knowledge.  I really enjoyed this course.</t>
  </si>
  <si>
    <t>The audio portion of the videos is excellent, but staring at the professor's eyes darting across the screen for 10-20 minutes is odd and does not add any value to the course.  The essays are not particularly challenging, but this is a course where "you get out what you put in" since there is a wealth of interesting information presented.  I enjoyed the course overall and I feel that it was a valuable addition to a computer science masters program.</t>
  </si>
  <si>
    <t xml:space="preserve">The video lectures are almost confusingly unrelated to the weekly assignments, causing me to think that I somehow got mixed up.  The video lectures are often extremely high level while the programming assignments then ask you to do something very specific that requires additional knowledge not presented in the course, so be prepared to do significant external research to supplement this course.  </t>
  </si>
  <si>
    <t xml:space="preserve">The final project was very challenging.  It was frustrating to receive a rubric for the project that I tried to follow strictly, but then the grading criteria included a small subset of the content that the rubric called out.  This felt like a bait-and-switch --&gt; I would have preferred that they actually grade you on the rubric provided or that they provide you with the rubric that you would be graded on.  However I learned a ton while creating my final project, so I have bumped up my overall scores because of that.  I had 0 web framework experience coming into this (I am an embedded software engineer), so I needed to do significant external research to determine the details of my final project.  </t>
  </si>
  <si>
    <t>Going through the previous two courses in the certificate is very helpful for refreshing or getting up to speed. Assignments are nice twists on the in-class examples that require you to understand the underlying algorithms and how to tweak them</t>
  </si>
  <si>
    <t>Completing 5414 should be enough to prep you for this course. Understanding how to work with python libraries is helpful for the Linear Solver packages you use. 
Assignments were slightly tougher than 5414. On first pass of the course there were a few errors but the community has gotten most of them corrected</t>
  </si>
  <si>
    <t>You should have a general understanding of back-end dev and OOP using Java. Knowing basic Kotlin will help. Assignments vary in difficulty and you usually end up trying different things until you find a correct solution. You might need to Google some topics as well. I recommend starting this as a non-credit and brushing up on your general programming skills if it’s too much.</t>
  </si>
  <si>
    <t>It would be helpful to have some knowledge of backend programming and kotlin.</t>
  </si>
  <si>
    <t>Same as prev course—Java, Kotlin, bit of Python. Make sure you complete these classes in order!</t>
  </si>
  <si>
    <t>Brush up on basic Python and SQL. Make sure you understand the instructors’ tutorials and be ready to Google/Stack Overflow a lot of questions when working on the final project. Also, start coding as early as possible. It could take you a lot of time if you’re a beginner!</t>
  </si>
  <si>
    <t>Probably more hands on quizes or problems that have a guide solution to get some practice and familiarity before diving into the big final project</t>
  </si>
  <si>
    <t>1. CS undergrad is crucial</t>
  </si>
  <si>
    <t>CS undergrad is crucial here</t>
  </si>
  <si>
    <t>Computer Science undergrad STRONGLY RECOMMENDED.</t>
  </si>
  <si>
    <t>Thorough, clear introduction.  Straightforward lab assignments (except for one, which could use some revision)</t>
  </si>
  <si>
    <t>Straightforward course, very theoretical.  I wish there were some application.</t>
  </si>
  <si>
    <t>Extremely short and easy. Pretty interesting too. Some (very few) exam questions aren’t covered in lectures though.</t>
  </si>
  <si>
    <t>Mostly conceptual class with some fun programming challenges for a little hands on.  Had a little trouble getting some of the programming assignments to pass, even when the problem was solved correctly.</t>
  </si>
  <si>
    <t>More straightforward than the first course.  Most of the programming assignments are surprisingly simple.</t>
  </si>
  <si>
    <t>The two DS&amp;A courses before this one aren't necessary but they are helpful for getting used to the thinking patterns for DS&amp;A.</t>
  </si>
  <si>
    <t xml:space="preserve">At times, the speed and pace of lectures felt like the instructor was giving us a fire hose to drink from.  The labs were mostly good, not too difficult or easy, and forced me to go back and make sure I fully understood the lectures for those techniques.  But overall, the lectures gave a light overview of many techniques without delving into details/examples enough to feel like I understood them.  A better understanding of math notation would have helped me too--the level of math, especially probability and statistics, was higher than in the first course.  </t>
  </si>
  <si>
    <t>000</t>
  </si>
  <si>
    <t xml:space="preserve">(copied from the discord other content are actually not relevant)
@ak
I entered the course with only a basic understanding of Java and no experience with Kotlin. Despite not taking any extra courses in either language, I was able to complete the assignments successfully. This was largely because the assignments required only minor modifications to the provided code, focusing on aspects that are similar across most programming languages. Fortunately, the changes needed were of a nature that would look identical in many languages, making it easier to apply my existing knowledge. YMMV though.
If I remember correctly, there were some assignments in the specialization that were purely in Kotlin.
@blinK
To add to this, Java should be enough. All of the Kotlin was ‘voluntary’. I did a few projects in Java in kotlin just because I was interested in learning the language. But in terms of passing the class, Java is enough. Maybe just do a common syntax kotlin like 30-60 min video. The profs do have some videos demoing certain projects in kotlin. My guess is the assumption most people will be doing Java so that way they aren’t just handing the code out
@Todd D
It is way less intimidating than it sounds.  The first course feels like you are in over your head if you don't have a background in full stack development, but by the end they have walked you through everything and the requirements are minimal enough for each piece that it's easily doable.
On the Kotlin, there are aa handful of places where you have to edit kotlin code to make small changes.  But you don't really need to know much Kotlin to do it.
I got by with 0 Kotlin knowledge and about 15 minutes of looking at a Kotlin book for specific questions on format
(Question)
At first I thought this might be a good opportunity to learn kotlin. But on the other hand I don't want to fumble both learning kotlin and passing the class 😂
That's exactly where I came down.  Went into it wanting to learn Kotlin, came out feeling like I'd better focus on my strengths on the final project to get through it
</t>
  </si>
  <si>
    <t>0000</t>
  </si>
  <si>
    <t xml:space="preserve">ak
For the final project that culminates the specialization, you need to build a full application. You can choose any language of your choice for that one.
Todd
It is way less intimidating than it sounds.  The first course feels like you are in over your head if you don't have a background in full stack development, but by the end they have walked you through everything and the requirements are minimal enough for each piece that it's easily doable.
</t>
  </si>
  <si>
    <t>Prepare for a bunch of short essays and reading assignments. The content is broad and interesting. Pay lots of attention to week 1 ethical frameworks. Really understand them because almost all assignments require you to use them. As for reading materials, skim them to better manage your time! Also, some articles are pay-walled but you can get free New York Times and Wall Street Journal memberships as a CU Boulder (online) student so no need to pay!</t>
  </si>
  <si>
    <t>Unlike previous courses in the specialization (CSCA5414 etc) this course itself does not mandate CLRS reading.
Relevant Chapters would be (4th ed) C29 Linear Programming C35 Approximation Algorithms and to an extent (and not covered by previous courses) C24 Maximum flow (covers flow networks)</t>
  </si>
  <si>
    <t>Unlike previous courses in the specialization (CSCA5414 etc) this course itself does not mandate CLRS reading.
Relevant Chapters would be (4th ed) C29 Linear Programming C35 Approximation Algorithms and to an extent (and not covered by previous courses) C24 Maximum flow (covers flow networks)
Consensus opinion of student seems to be that CLRS reading is not necessary, but could be helpful for this course itself and for foundational learning in general.</t>
  </si>
  <si>
    <t xml:space="preserve">greenmachine52 
I've been working as a dev for 8 years now and i just fail to make sense with this course?
It just seems like a bunch of random stuff put together with semi-random assignments with no consideration about windows users? 
recommends
Microservices.io by Chris Richardson </t>
  </si>
  <si>
    <t>The project is what you make it.  You can do the bare bones minimum to get an A fairly quickly, or build something cool.</t>
  </si>
  <si>
    <t>Some experience with Java and Kotlin would be helpful. Additionally, understanding how to navigate monorepos. One of the biggest challenges was getting your environment setup for development with Java if you don't already have one.</t>
  </si>
  <si>
    <t>If you took the first course, this should be more straight forward and easier.</t>
  </si>
  <si>
    <t>Of the SWA pathway, this course is where all the work happens. You build a full-stack web application while having to include learnings from the previous 2 courses. There is a large rubric that outlines the requirements for the final project. If you want to get the "A" on this project, that means it includes everything a "production level" application would require.</t>
  </si>
  <si>
    <t>The lectures go at a very fast pace and can be overwhelming if you don't have some familiarity with the subject matter. You don't need to know the math in the sense that you aren't ever asked to solve equations, but you need to know enough to understand the formulas being presented to you.
The reading is ISLR, pretty much the gold standard for intro-level learning on this subject matter. The labs can be a little frustrating since most of the tests are hidden from you and the hints don't particularly help you figure out what's going wrong. Once you put the work in however, the labs do help foster an understanding of the algorithms you're learning about, usually through manually implementing them. 
The final project is very open, you pick a data set and apply some supervised techniques to it. You get out of that what you put in</t>
  </si>
  <si>
    <t>Coursera time estimates were accurate for everything except the final project, which took me closer to 12 hours.  The math is not easy, and the instructor often introduces  math concepts without adequately explaining them.  Expect to spend some significant time in self study if you don't come in with a solid math and statistics background.</t>
  </si>
  <si>
    <t>You need the previous modules for sure. This is a major improvement over the previous because of the labs</t>
  </si>
  <si>
    <t>Start early</t>
  </si>
  <si>
    <t>taking more time then expected, really minimal instruction on project/assignments</t>
  </si>
  <si>
    <t>very informative and the work load is light</t>
  </si>
  <si>
    <t>Use Statquest and ISLR prior to her lectures.</t>
  </si>
  <si>
    <t>Honestly, best to have some understanding of NNs prior to the course. 3Blue1Brown is helpful as well as googling how the architectures work prior to her lessons, which often dont cover things as well.</t>
  </si>
  <si>
    <t>Relatively chill content and interesting. Not much needed as foundation</t>
  </si>
  <si>
    <t xml:space="preserve">Very chill and mostly intuition learning. </t>
  </si>
  <si>
    <t>Make sure you are familiar with the proctor exam process. Otherwise, just relook at the slides and lectures prior to exams.</t>
  </si>
  <si>
    <t>Make sure you are familiar with the proctor exam process. Otherwise, just relook at the slides and lectures prior to exams. This is slightly harder than the 1st course but just be familiar with how each method works and know when to choose them.</t>
  </si>
  <si>
    <t>Come in with a good understanding of what you want to work on, similar to software architecture finals. Also, be familiar with ACM written paper format as you will be using that for the report.</t>
  </si>
  <si>
    <t>I think the instructor may need better lecture skills. The lectures somehow drove me mad.</t>
  </si>
  <si>
    <t>You definetely need strong programming knowledge for this class, the videos will help you understand the theory behind each topic which is very helpful, but the labs and notes do a poor job to explain the programming portion of the course. I referred to external resources for this and even found Youtube videos that explain it better</t>
  </si>
  <si>
    <t xml:space="preserve">Content doesn't match the assignments, you learn the theory but for the programming portion they only give you some notes that don't even prepare you for the programming assignments </t>
  </si>
  <si>
    <t>5008 is a really badly designed course on its own. When considered together with the other two SWA courses, it's only a little bit better. The 2nd SWA course (5018) is better but still not very good; the 3rd one (5028) is significantly better because it's all about building a project that you decide for yourself. If you put some effort in, you can end up with a cool project for your portfolio.
If you don't have full-stack experience, consider taking 5018 before the 5008, because 5018 doesn't require much info presented in 5008; but part of 5008 assumes you have familiarity with message queues and RabbitMQ specifically, which isn't meaningfully introduced until 5018.
I disagree with another review on here that says CS undergrad is "crucial", and it almost scared me off this program altogether. I did a non-STEM degree for undergrad and was able to learn the material in 5008, 5018, and 5028 just fine -- although I did have to do a little bit of additional research when it was clear I was lacking some prior knowledge. But for 5028, you WILL need to be able to build a project from the ground up, with the language(s) / stack of your choice. If you've created a few non-trivial projects for work or as a hobby, that's probably enough programming experience to get through these SWA courses, but you might need to work a bit harder than somebody with a "proper" CS background.
These three courses give you an architecture that you can follow (the instructors seem to be of the opinion that this is the 'correct' architecture), but you're not graded on following that specific architecture. I took many elements from it but not all.
ALSO, for 5008 and 5018, it's not required, but consider getting your hands on a Mac. The environments for the assignments are so much easier to set up with Mac, because that's how the course was designed, and they gave almost no thought to Windows/Linux users. (It's doable, but can be really frustrating and require a lot of troubleshooting.)</t>
  </si>
  <si>
    <t>The time you spend on this class will completely depend on your prior experience and the project you choose.</t>
  </si>
  <si>
    <t>Way too many 'youknow's in the course. Its very distracting and difficult to focus.</t>
  </si>
  <si>
    <t>Definitely the toughest out of the three algorithms courses. The concepts can take a while to wrap your head around -- as a result the labs are a little easier than previous courses so there is some reprieve there. The final exam is easily twice as long as the other courses but overall wasn't insanely difficult. The material can feel a bit disjointed -- there's no real connective thread between the RSA/Quantum material and the BTrees/Tries. As always, Dr. S is a fantastic professor and goes to great lengths to effectively communicate and explain these complicated topics</t>
  </si>
  <si>
    <t>Not a great course in all honesty. The lectures are often short videos about a high-level architectural topic and then a programming assignment that very loosely ties that topic in. If you have no programming experience you will be in over your head -- the course expects you are comfortable working in an existing project, debugging, and writing tests. If you do have development experience, the course doesn't really teach you anything new and you can finish most assignments (including the final) in under an hour</t>
  </si>
  <si>
    <t>It would help to have some basic understanding of discrete math. Overall this was a very short very interesting course.  I wouldn't want a ton more in terms of topics, but I felt like there was a bit missing.  Overall the instructor does a great job of breaking down a difficult topic into easy to understand explanations and diagrams.</t>
  </si>
  <si>
    <t>The quantum computing section was pretty difficult to wrap my head around.  The biggest piece of advice I'd give is to not wait to fully understand the quantum computing stuff before starting in on the programming assignments.  I felt way underwater going into them but they are a lot less difficult than I expected.</t>
  </si>
  <si>
    <t xml:space="preserve">The course is hard for people haven't take any data structure course before. Even if I took the previous two courses in this specialization, I found it really hard. </t>
  </si>
  <si>
    <t xml:space="preserve">1. Prof S teaches all number theory required for the course. 2. Assignments are challenging but doable with what you learn. 3. Pay close attention to lectures and labs </t>
  </si>
  <si>
    <t>The labs are pretty easy and fun.  Ironically it is way easier to set them up on a windows system than Linux.</t>
  </si>
  <si>
    <t>I believe this course and potentially the entire Big Data specialization could benefit from an update maybe recreate the courses from scratch again</t>
  </si>
  <si>
    <t>You should have skills in the programming language of choice (likely Java,Kotlin,Python, JavaScript, or perhaps Go), having developed some project in this language before will help.
Assignments &amp; exams are basic, but the final project is the most important and although the rubric is not comprehensive, you should aim to fulfill everything the facilitators require.
Try to finish the project before enrolling for-credit, just in case (you can finish it fast though).</t>
  </si>
  <si>
    <t>Good idea is to do the first course, other than that the course is not hard and is interesting - taught me fun things I had not known before
Easy assignments - make sure to use an IDE if not on Mac</t>
  </si>
  <si>
    <t>Some experience with reading someone else's code and changing it, also using an IDE
Assignments are not hard, but harder than the next course - there are times when you need to understand what is going on and it feels good once you get everything
Tips : you may be overwhelmed if you have not done sth like this before, or if it's hard to set up the environment, but keep going, it gets comfortable</t>
  </si>
  <si>
    <t xml:space="preserve">No prior knowledge needed, just critical thinking and research skills. Assignments are pretty repetitive + easy, just make sure to hit all of parts of the questions they ask, as all of them will appear on the rubric for most assignments. </t>
  </si>
  <si>
    <t>Some hands-on programming experience is helpful, especially Java(but not required). The assignments are designed for Mac so having a Mac saves you a lot of trouble setting up the environment. It's also doable with windows WSL, but there are hoops to jump through.
Definitely utilize the search function in your IDE a lot, and search/ask on slack when you encounter issues. Chances are they might have already been answered before</t>
  </si>
  <si>
    <t>The course is very informative, especially if you have never seen a data pipeline before. The homeworks were very easy and I spent about 20 min on the final with about 20-30min on the ProctorU process. 
Where the meat in this course is just understanding the first three phases of the data pipeline. It’s more introductory while it seems the second class is where all the juice is.</t>
  </si>
  <si>
    <t xml:space="preserve">The material covered is very high level - which is appropriate given that this is aimed at a graduate level study. For someone wanting a stronger foundation for Computer Networking, I recommend pairing this course with another undergraduate online networking class. I did the Top-Down Networking class by Jim Kurose at UMass Amherst, videos available online - just google. The combination worked very well: Kurose's class provided very thorough foundational knowledge about computer networking, and Eric Keller's class provided the high level overview + implementation aspects of networking through programming assignments. Good class overall - I've learned a lot. </t>
  </si>
  <si>
    <t xml:space="preserve">The instructor is really excellent at explaining the concepts in intuitive manner. Having said that, the class was way too easy for a graduate level course. </t>
  </si>
  <si>
    <t>I recommend listening to the lectures similarly to podcasts while doing other things during your day to save time</t>
  </si>
  <si>
    <t>I recommend reading all articles enough to understand the general idea and enhance your perspective</t>
  </si>
  <si>
    <t>Prepare in advance to write many essays</t>
  </si>
  <si>
    <t xml:space="preserve">I am not a software engineer but had some familiarity with AI/ML going into the course. I enjoyed it and thought it was approachable as a non SWE. It still would have been better if we had some ways to apply what we learned since the knowledge you gain is mostly conceptual. Professor did a good job of making it broad without being too dense for an intro course. There were a few questions on the final that weren't covered in the course! The final is also now 43 questions, not 40. </t>
  </si>
  <si>
    <t>I don't hold an undergraduate degree, so I started my journey by taking discrete mathematics, linear algebra &amp; calculus courses on Coursera followed by the previous 2 courses in the Algorithms specialization. They really helped me get up-to-speed.
Some of the programming assignments were quite challenging, but on average I found the estimated time quite accurate.
However the final caught me somewhat off-guard and I couldn't solve all the problems.
It's not that much harder than the other assignments but don't underestimate it. You should be quite comfortable with the main topics in this course.</t>
  </si>
  <si>
    <t>I had no prior knowledge for robotics and felt like the guides were well set up for this class and I feel like the professor does well with a lot of examples getting environments set up.</t>
  </si>
  <si>
    <t>Courses built of the previous so make sure you really get a good foundation from the previous course. Instructor still described things well but will take some self learning.</t>
  </si>
  <si>
    <t>Projects seemed to jump very high in scale of difficulty. Make sure you really didn't miss any of the previous projects and you really take the time to understand what's going on. Although the difficulty greatly increases, I still find the lectures very interesting and fun to learn.</t>
  </si>
  <si>
    <t>The Quantum Computing parts are easily the most complicated. The basic concepts &amp; basic qubit gates are very doable, but once it went into more complex multi-qubit systems I got lost quite a bit. I was still able to solve most problems and get an A.</t>
  </si>
  <si>
    <t>I enjoyed this less than the first course.  Lots of focus on a narrow range of topics, and not nearly enough time spent on other things.</t>
  </si>
  <si>
    <t>This was a fun class.  Fairly easy but very hands on and practical.  I recommend you take the time to do the optional honors quizzes, it will help prepare for the final.</t>
  </si>
  <si>
    <t>Instructor is not effective, and assignment requirements are not adequately explained.  I highly recommend doing the data mining pathway before these courses, so that you will have some background in the ML techniques used in this course.</t>
  </si>
  <si>
    <t>1. basic stats, types of error, hypothesis testing, etc. 2. Assignments did not involve much programming at all. It sometimes took a long time to figure out the answer to hidden tests in the assignments. 3. The textbook readings are much more helpful than the lectures</t>
  </si>
  <si>
    <t xml:space="preserve">half my time spent on this course was getting environments and code to actually run before doing course work. </t>
  </si>
  <si>
    <t>Tyson is a bit better as an instructor and the soccer match predictor was a very cool assignment.</t>
  </si>
  <si>
    <t xml:space="preserve">Nice last one of the series, at least this series improves over the three classes. The project is a very nice way to learn a lot and practice skills learned in the class.  Also it gives a nice project to put on the resume. </t>
  </si>
  <si>
    <t xml:space="preserve">I liked this class a lot and the number of articles assigned was good.  I think the only thing lacking is a reinforcement on good writing.  I think as long as you talk about each topic, it is pretty easy to get 100%.  It would be nice to get more feedback on the writing assignments and have the grading be a bit more rigorous to incentivize reviewing and editing your own writing before submitting. </t>
  </si>
  <si>
    <t xml:space="preserve">Nice course. I like the instructors teaching style and the assignments reinforce the material learned for each week.  I think the exam was fairly tricky, but fair. </t>
  </si>
  <si>
    <t xml:space="preserve">Really good class. Can't say enough about how good the entire pathway is. </t>
  </si>
  <si>
    <t>memoization was tricky but was so satisfying to figure out! Great class!</t>
  </si>
  <si>
    <t>Course focuses on Google Cloud Platform.  The labs are well designed, more like the first course and require more thought than the Linux networking labs, but still fairly quick to complete.  There is a trick to the week 3 lab--he intentionally left something out and you have to figure it out.  Be aware that if all you do is follow the directions, you won't get it working.  The final contains a lot of questions that weren't covered directly on earlier quizzes, so prepare well.</t>
  </si>
  <si>
    <t>Course Preparation: I felt very prepared after taking the prior 3 courses in this sequence.
Assignments and quizzes were reflective of the course content and difficulty. The final exam  took 3-4 hours for me to complete.
Tips for Future Students: I spent more time trying to mentally digest DP than any other topic so far. I found that modelling the dynamic programs in excel helped me grasp the topic. However, this of course requires more than basic excel skills, such as index/match.</t>
  </si>
  <si>
    <t>Tips for Future Students: I had used PuLP extensively in the past, making this course a breeze. It's not necessary, but practicing how to formulate problems in PuLP or a similar package is very useful not just for this course but potentially also in your career. I'd also recommend, where appropriate, to stop using academic-looking variable and parameter names when writing code. For example, don't call a decision variable for quantity of items to ship from A to B "x[a,b]", instead call it "quantity_to_ship[a,b]" - it makes readability easier for everyone.</t>
  </si>
  <si>
    <t>First, I HIGHLY recommend this course for anyone who needs a review in linear algebra, especially matrix operations.  The course is very math heavy, and examines hands on the math behind computer vision operations.  I suspect it will be very effective when taken in conjunction with the later courses.  I was one of the first through the course, and at this point it is still fairly buggy, with quite a few broken quiz questions in week 4 content especially.  This should be fixed shortly.  
Similar to Intro to Gen AI, the final is a combination of questions from earlier content. (With only two allowed attempts).  Because not every quiz or practice assignment will give you every question each time, it is possible that there will be some new questions you haven't seen before on the final.  But for the most part, if you've gotten an A on the practice assignments and weekly assignments, the final should be easy.</t>
  </si>
  <si>
    <t>No need for any background in this class. The content of the data pipeline is good and reflects what you'll see in the "real world". However, the assignments are too easy. I didn't think they challenged the ideas that were taught in the class.</t>
  </si>
  <si>
    <t>This course was a big improvement over the previous course. The assignments were much better than the previous course; however, they still could have been more challenging and more broad to the material that was taught in the class.</t>
  </si>
  <si>
    <t xml:space="preserve">This course a great introduction and brief overview of Dynamic Programming. The assignments and final are challenging and add appropriate "altering" of standard DP problems. The toughest part of this class is understanding how to build memoization and solution tables to extract optimal solutions. The idea of DP is simple and easy to understand; however, the implementation part is where DP is challenging.
If you took the two previous DSA courses to this, know that this course is a much larger step up in terms of difficulty. </t>
  </si>
  <si>
    <t>Prep : Previous courses would be enough
Assignments and exams : have to go deep into the readings but not much besides that
Tips : Assignments involve actually getting a GCP account and using it. Be prepared to spend money or new GCP account free credits.</t>
  </si>
  <si>
    <t>I found this a lot more interesting than the first course in the specialization. I do have quite a bit of background working with containers &amp; Kubernetes, so those bits were very easy &amp; quick for me to get through, but I still learned a lot about how k8s networking works below the surface.</t>
  </si>
  <si>
    <t>Weeks 2 and 3 had some of the most dense content of the pathway in my opinion. The videos were relatively easy to follow along but I felt that the prof stopped short of explaining the concepts fully enough (primarily when it came to multi-qubit circuits) to do the assignments with confidence. It's as if he knew this, because the assignments had enough hints that they were not difficult to stumble through. At the very least the interactive labs should be updated to expanded on the topics with more end-to-end examples, if not also the video lectures.</t>
  </si>
  <si>
    <t xml:space="preserve">The programming assignments aren't always worded very clearly, pay attention to the test results. </t>
  </si>
  <si>
    <t>While it might not be a difficult course, the essays can be very time consuming, especially for someone who isn't that good at writing. Despite this, I found the content very interesting &amp; valuable.</t>
  </si>
  <si>
    <t>Being familiar with automata or control systems would definitely help. The content is quite hard, but the assignments, quizzes &amp; final were quite "easy" in this first course. I fear the other 2 courses in the specialization won't be as forgiving in that regard.
The final was 10 questions where some of them required multiple inputs for completing a state diagram.
You need set theory and should be at least be somewhat familiar with calculus &amp; linear algebra. No programming language required.</t>
  </si>
  <si>
    <t xml:space="preserve">The course provides a good dive into linux networking as well as an overview of docker and kubernetes. The quizzes are sufficient preparation for the final. </t>
  </si>
  <si>
    <t>This class is great because it focuses on the big picture. The assignments were mostly a missed opportunity to challenge us with the nitty gritty and exploit the powerful scapy lib. The 1 attempt MCQ exam forces you to study but I'm glad it only weighs 10% or it could hurt your GPA.</t>
  </si>
  <si>
    <t xml:space="preserve">the readings are substantial and the problem sets can be tough if you haven't really learned the material. looking back, i would probably spend more time doing the textbook's exercises instead of taking notes. </t>
  </si>
  <si>
    <t xml:space="preserve">The labs have some ambiguity, but the 'lab quiz' questions will give you clues. The final covers material from the readings that were not covered in lectures. </t>
  </si>
  <si>
    <t>Prior knowledge in python, linear algebra, and basic algorithms will be very helpful, but not mandatory, for this course. Would recommend taking a little extra time to review any unfamiliar math or programming concepts that come up as they get mentioned in class. The prof will provide helpful links for this material along the way. Overall great experience; challenging yet fair and rewarding</t>
  </si>
  <si>
    <t xml:space="preserve">Found this a lot easier to wrap my head around than the prior course on Dynamic Programming/ Greedy Algos. The labs in this class are a big improvement from the previous course. Less focus on proofs and more hands on real world learning in this class as well. </t>
  </si>
  <si>
    <t xml:space="preserve">Felt this was a step up in difficulty from the first 2 courses of this specialization. Not that the homework is necessarily more difficult; it really isn't, once you understand exactly what's being asked. However, the concepts presented here definitely take some time to wrap your head around. I thought the material was very interesting to learn about. I'd recommend taking a step back to review concepts and let them sink in if you are feeling overwhelmed. </t>
  </si>
  <si>
    <t>Definitely an easy course imo. Was a little disappointed overall, as this was one of the classes I was most looking forward to when I came across this program. The professor takes too much time to hammer home points that are trivial, and too little to explain the more advanced concepts. Ironically, I found chat GPT to be a great aid in understanding some of the topics that are somewhat glossed over. This course would be improved with some form of hands on assignments/ labs. All you need to do to pass the final is review the weekly quizzes, although reviewing notes from lectures will provide additional benefit.</t>
  </si>
  <si>
    <t>Pretty chill course, but found the material interesting and learned a lot. The weekly assignments were the highlight of the course for me. Hate to say it, but as others have indicated, there really are way too many "You know"s in this course. Highly recommend watching the lectures on 1.25x speed at least. Overall positive experience</t>
  </si>
  <si>
    <r>
      <rPr>
        <b/>
        <sz val="11"/>
        <rFont val="Roboto"/>
      </rPr>
      <t>Coursework and Specializations</t>
    </r>
    <r>
      <rPr>
        <sz val="11"/>
        <rFont val="Roboto"/>
      </rPr>
      <t xml:space="preserve">
- Breadth Courses: 15 credits across two pathways and three specializations.
- Elective Courses: 15 credits from a range of options including Human-Computer Interaction, Autonomous Systems, Data Mining, and more.
- Cross-listed Courses: Equivalent courses offered under different program names from CU Coursera Masters, counting towards degree requirements.
</t>
    </r>
    <r>
      <rPr>
        <b/>
        <sz val="11"/>
        <rFont val="Roboto"/>
      </rPr>
      <t>Admission Requirement</t>
    </r>
    <r>
      <rPr>
        <sz val="11"/>
        <rFont val="Roboto"/>
      </rPr>
      <t xml:space="preserve">: 
- Complete Data Structures &amp; Algorithms </t>
    </r>
    <r>
      <rPr>
        <u/>
        <sz val="11"/>
        <rFont val="Roboto"/>
      </rPr>
      <t>OR</t>
    </r>
    <r>
      <rPr>
        <sz val="11"/>
        <rFont val="Roboto"/>
      </rPr>
      <t xml:space="preserve"> Software Architecture pathway with B grade and above.
- Maintain a 3.00 average GPA (or higher) for the pathway courses
</t>
    </r>
    <r>
      <rPr>
        <b/>
        <sz val="11"/>
        <rFont val="Roboto"/>
      </rPr>
      <t>Graduation Requirement</t>
    </r>
    <r>
      <rPr>
        <sz val="11"/>
        <rFont val="Roboto"/>
      </rPr>
      <t xml:space="preserve">: 
- Maintain an overall GPA of 3.0 (or higher) across all courses
- Complete both Pathway specialisations with B grade and above
- Complete all 3 Breadth specialsiations with B grade and above
- Complete 15 Electives with C grade and above, with at least 4 full specialisations. Max of 6 cross-listed courses applicable.
</t>
    </r>
    <r>
      <rPr>
        <b/>
        <sz val="11"/>
        <rFont val="Roboto"/>
      </rPr>
      <t xml:space="preserve">(More info at </t>
    </r>
    <r>
      <rPr>
        <b/>
        <u/>
        <sz val="11"/>
        <color rgb="FF1155CC"/>
        <rFont val="Roboto"/>
      </rPr>
      <t>https://www.colorado.edu/cs/academics/online-programs/mscs-coursera/curriculum)</t>
    </r>
  </si>
  <si>
    <r>
      <rPr>
        <b/>
        <sz val="11"/>
        <rFont val="Roboto"/>
      </rPr>
      <t>Non-Credit vs. For-Credit Experiences</t>
    </r>
    <r>
      <rPr>
        <sz val="11"/>
        <rFont val="Roboto"/>
      </rPr>
      <t xml:space="preserve">
- Non-Credit Experience: Allows students to preview course content at flexible dates. Coursework transfers after upgrading to for-credit experience (save your work nonetheless). Enrollment strictly within semester enrollment window.
- For-Credit Experience: Access to CU credit, additional support, and additional coursework (usually just finals). For-Credit courses must be finished within the semester timeframe.
</t>
    </r>
    <r>
      <rPr>
        <b/>
        <sz val="11"/>
        <rFont val="Roboto"/>
      </rPr>
      <t xml:space="preserve">(More info on semester calender at </t>
    </r>
    <r>
      <rPr>
        <u/>
        <sz val="11"/>
        <color rgb="FF1155CC"/>
        <rFont val="Roboto"/>
      </rPr>
      <t>https://www.colorado.edu/cs/academics/online-programs/mscs-coursera/calendar</t>
    </r>
    <r>
      <rPr>
        <b/>
        <u/>
        <sz val="11"/>
        <color rgb="FF1155CC"/>
        <rFont val="Roboto"/>
      </rPr>
      <t>)</t>
    </r>
  </si>
  <si>
    <r>
      <rPr>
        <b/>
        <sz val="11"/>
        <color theme="1"/>
        <rFont val="Roboto"/>
      </rPr>
      <t xml:space="preserve"> Financial Information</t>
    </r>
    <r>
      <rPr>
        <sz val="11"/>
        <color theme="1"/>
        <rFont val="Roboto"/>
      </rPr>
      <t xml:space="preserve">
- Tuition Cost: $525 per credit hour, with a total of 30 credit hours required for the program.
- Total Program Cost: Approximately $15,750, with tuition being the same for all students regardless of residency.
- Financial Aid: Currently, the program does not qualify for FAFSA. Private loans, employer tuition assistance, and V.A. education benefits might be options.</t>
    </r>
  </si>
  <si>
    <r>
      <rPr>
        <b/>
        <sz val="11"/>
        <rFont val="Roboto"/>
      </rPr>
      <t xml:space="preserve"> Additional Support and Services</t>
    </r>
    <r>
      <rPr>
        <sz val="11"/>
        <rFont val="Roboto"/>
      </rPr>
      <t xml:space="preserve">
- Career Services: Access to CU Boulder Career Services, including Handshake and VMock.
- Student ID and Email: For-credit students receive an IdentiKey and an official CU Boulder email address.
- Commencement: Graduates are welcome to attend on-campus graduation ceremonies.
- Prospective students: Please email them at mscscoursera-info@colorado.edu for additional help.
- Students in for-credit courses: Please email the dedicated support team at mscs-coursera@colorado.edu for additional help 
</t>
    </r>
    <r>
      <rPr>
        <b/>
        <sz val="11"/>
        <rFont val="Roboto"/>
      </rPr>
      <t xml:space="preserve">(More FAQs at </t>
    </r>
    <r>
      <rPr>
        <b/>
        <u/>
        <sz val="11"/>
        <color rgb="FF1155CC"/>
        <rFont val="Roboto"/>
      </rPr>
      <t>https://www.colorado.edu/cs/academics/online-programs/mscs-coursera/faq</t>
    </r>
    <r>
      <rPr>
        <b/>
        <sz val="11"/>
        <rFont val="Roboto"/>
      </rPr>
      <t>)</t>
    </r>
  </si>
  <si>
    <r>
      <rPr>
        <b/>
        <sz val="11"/>
        <color rgb="FF000000"/>
        <rFont val="Roboto"/>
      </rPr>
      <t xml:space="preserve">CU Online MSDS Curriculum Guide
Share it via </t>
    </r>
    <r>
      <rPr>
        <b/>
        <u/>
        <sz val="11"/>
        <color rgb="FF1155CC"/>
        <rFont val="Roboto"/>
      </rPr>
      <t>https://tinyurl.com/cu-boulder-msds</t>
    </r>
    <r>
      <rPr>
        <b/>
        <sz val="11"/>
        <color rgb="FF000000"/>
        <rFont val="Roboto"/>
      </rPr>
      <t xml:space="preserve">
</t>
    </r>
    <r>
      <rPr>
        <b/>
        <sz val="10"/>
        <color rgb="FF000000"/>
        <rFont val="Roboto"/>
      </rPr>
      <t>Contribute to the reviews here</t>
    </r>
    <r>
      <rPr>
        <b/>
        <sz val="11"/>
        <color rgb="FF000000"/>
        <rFont val="Roboto"/>
      </rPr>
      <t xml:space="preserve"> </t>
    </r>
    <r>
      <rPr>
        <b/>
        <sz val="10"/>
        <color rgb="FF000000"/>
        <rFont val="Roboto"/>
      </rPr>
      <t xml:space="preserve">
</t>
    </r>
    <r>
      <rPr>
        <b/>
        <u/>
        <sz val="11"/>
        <color rgb="FF1155CC"/>
        <rFont val="Roboto"/>
      </rPr>
      <t xml:space="preserve">http://tinyurl.com/cu-elective-review
</t>
    </r>
    <r>
      <rPr>
        <b/>
        <sz val="10"/>
        <color rgb="FF38761D"/>
        <rFont val="Roboto"/>
      </rPr>
      <t>Got a question? Contact Razuki on Discord</t>
    </r>
  </si>
  <si>
    <t>Masters Degree</t>
  </si>
  <si>
    <t>Offered By</t>
  </si>
  <si>
    <t>DTSA 5001</t>
  </si>
  <si>
    <t>Probability Theory: Applications for Data Science</t>
  </si>
  <si>
    <t>Pathway - Statistical Inference</t>
  </si>
  <si>
    <t>R</t>
  </si>
  <si>
    <t>Two-hour exam; unlimited; 15 open-ended questions</t>
  </si>
  <si>
    <t>DTSA 5002</t>
  </si>
  <si>
    <t>Statistical Inference for Estimation in Data Science</t>
  </si>
  <si>
    <t>Two-hour exam; 1 attempt; 15 MCQ/open-ended questions</t>
  </si>
  <si>
    <t>DTSA 5003</t>
  </si>
  <si>
    <t>Statistical Inference &amp; Hypothesis Testing in Data Science Applications</t>
  </si>
  <si>
    <t>DTSA 5501</t>
  </si>
  <si>
    <t>Algorithms for Searching, Sorting, and Indexing</t>
  </si>
  <si>
    <t>Pathway - Core CS - DSA</t>
  </si>
  <si>
    <t>DTSA 5502</t>
  </si>
  <si>
    <t xml:space="preserve">Trees and Graphs: Basics
</t>
  </si>
  <si>
    <t>DTSA 5503</t>
  </si>
  <si>
    <t xml:space="preserve">Dynamic Programming, Greedy Algorithms
</t>
  </si>
  <si>
    <t>DTSA 5301</t>
  </si>
  <si>
    <t>Data Science as a Field</t>
  </si>
  <si>
    <t>Core - Vital Skills</t>
  </si>
  <si>
    <t>Two projects, worth 20% and 30% (Requires Video Presentation, elevator pitch and code repo)</t>
  </si>
  <si>
    <t>DTSA 5302</t>
  </si>
  <si>
    <t>Cybersecurity for Data Science</t>
  </si>
  <si>
    <t>DTSA 5303</t>
  </si>
  <si>
    <t>Ethical Issues in Data Science</t>
  </si>
  <si>
    <t>DTSA 5304</t>
  </si>
  <si>
    <t>Fundamentals of Data Visualisation</t>
  </si>
  <si>
    <t>DTSA 5011</t>
  </si>
  <si>
    <t>Modern Regression Analysis in R</t>
  </si>
  <si>
    <t>Core Stats - Modeling</t>
  </si>
  <si>
    <t>Two-hour exam; true/false and multiple choice; 30 questions</t>
  </si>
  <si>
    <t>DTSA 5012</t>
  </si>
  <si>
    <t>ANOVA and Experimental Design</t>
  </si>
  <si>
    <t>Two-hour exam; 31 questions</t>
  </si>
  <si>
    <t>DTSA 5013</t>
  </si>
  <si>
    <t>Generalized Linear Models and Nonparametric Regression</t>
  </si>
  <si>
    <t>Two-hour exam; 29 questions</t>
  </si>
  <si>
    <t>DTSA 5509</t>
  </si>
  <si>
    <t>Core CS - Machine Learning</t>
  </si>
  <si>
    <t>DTSA 5510</t>
  </si>
  <si>
    <t>DTSA 5511</t>
  </si>
  <si>
    <t>DTSA 5504</t>
  </si>
  <si>
    <t>Core CS - Data Mining</t>
  </si>
  <si>
    <t>DTSA 5505</t>
  </si>
  <si>
    <t>DTSA 5506</t>
  </si>
  <si>
    <t>DTSA 5733</t>
  </si>
  <si>
    <t>Relational Database Design</t>
  </si>
  <si>
    <t>Elective - Database</t>
  </si>
  <si>
    <t>DTSA 5734</t>
  </si>
  <si>
    <t>The Structured Query Language (SQL)</t>
  </si>
  <si>
    <t>PostgreSQL</t>
  </si>
  <si>
    <t>DTSA 5735</t>
  </si>
  <si>
    <t>Advanced Topics and Future Trends in Database Technologies</t>
  </si>
  <si>
    <t>DTSA 5704</t>
  </si>
  <si>
    <t>Managing, Describing, and Analyzing Data</t>
  </si>
  <si>
    <t>Elective - Quality Improvement</t>
  </si>
  <si>
    <t>Exam</t>
  </si>
  <si>
    <t>Four-hour, multiple choice exam</t>
  </si>
  <si>
    <t>DTSA 5705</t>
  </si>
  <si>
    <t>Stability and Capability in Quality Improvement</t>
  </si>
  <si>
    <t>DTSA 5706</t>
  </si>
  <si>
    <t>Measurement Systems Analysis</t>
  </si>
  <si>
    <t>DTSA 5842</t>
  </si>
  <si>
    <t>Effective Communication: Writing, Design and Presentation</t>
  </si>
  <si>
    <t>Elective - Comms</t>
  </si>
  <si>
    <t>DTSA 5843</t>
  </si>
  <si>
    <t>Effective Communication Capstone Project</t>
  </si>
  <si>
    <t>?</t>
  </si>
  <si>
    <t>DTSA 5701</t>
  </si>
  <si>
    <t>Introduction to High Performance Computing</t>
  </si>
  <si>
    <t>Elective - HPC</t>
  </si>
  <si>
    <t>One-hour, multiple choice exam</t>
  </si>
  <si>
    <t>DTSA 5020</t>
  </si>
  <si>
    <t>Regression and Classification</t>
  </si>
  <si>
    <t>Elective - Stats Learning</t>
  </si>
  <si>
    <t>Programming</t>
  </si>
  <si>
    <t>Not timed</t>
  </si>
  <si>
    <t>DTSA 5021</t>
  </si>
  <si>
    <t>Resampling, Selection, and Splines</t>
  </si>
  <si>
    <t>Assignment/Exam</t>
  </si>
  <si>
    <t>2 hours - MCQ and prog</t>
  </si>
  <si>
    <t>DTSA 5022</t>
  </si>
  <si>
    <t>Trees, SVM, and Unsupervised Learning</t>
  </si>
  <si>
    <t>10% / 15%</t>
  </si>
  <si>
    <t>No limit to time/attempts for assignment. 
3 attempts for exam (90 mins each)</t>
  </si>
  <si>
    <t>DTSA 5798</t>
  </si>
  <si>
    <t>Supervised Text Classification for Marketing Analytics</t>
  </si>
  <si>
    <t>Elective - Text Marketing</t>
  </si>
  <si>
    <t>DTSA 5799</t>
  </si>
  <si>
    <t>Unsupervised Text Classification for Marketing Analytics</t>
  </si>
  <si>
    <t>DTSA 5800</t>
  </si>
  <si>
    <t>Network Analysis for Marketing Analytics</t>
  </si>
  <si>
    <t>DTSA 5507</t>
  </si>
  <si>
    <t>Elective - Software Arch</t>
  </si>
  <si>
    <t>DTSA 5508</t>
  </si>
  <si>
    <t>DTSA 5714</t>
  </si>
  <si>
    <t>DTSA 5841</t>
  </si>
  <si>
    <t>IBM Capstone Project</t>
  </si>
  <si>
    <t>Elective - Industry</t>
  </si>
  <si>
    <t>DTSA 5707</t>
  </si>
  <si>
    <t>Elective - CV</t>
  </si>
  <si>
    <r>
      <rPr>
        <b/>
        <sz val="11"/>
        <color rgb="FF000000"/>
        <rFont val="Roboto"/>
      </rPr>
      <t xml:space="preserve">CU MSDS on Coursera
</t>
    </r>
    <r>
      <rPr>
        <sz val="11"/>
        <color rgb="FF000000"/>
        <rFont val="Roboto"/>
      </rPr>
      <t>Find this helpful? Contribute to the reviews on</t>
    </r>
    <r>
      <rPr>
        <b/>
        <sz val="11"/>
        <color rgb="FF000000"/>
        <rFont val="Roboto"/>
      </rPr>
      <t xml:space="preserve"> 
</t>
    </r>
    <r>
      <rPr>
        <b/>
        <u/>
        <sz val="11"/>
        <color rgb="FF1155CC"/>
        <rFont val="Roboto"/>
      </rPr>
      <t>http://tinyurl.com/cu-elective-review</t>
    </r>
  </si>
  <si>
    <t>DTSA 5001 - Probability Theory: Applications for Data Science</t>
  </si>
  <si>
    <t>DTSA 5002 - Statistical Inference for Estimation in Data Science</t>
  </si>
  <si>
    <t>DTSA 5003 - Statistical Inference &amp; Hypothesis Testing in Data Science Applications</t>
  </si>
  <si>
    <t>DTSA 5301 - Data Science as a Field</t>
  </si>
  <si>
    <t>DTSA 5011 - Modern Regression Analysis in R</t>
  </si>
  <si>
    <t>DTSA 5012 - ANOVA and Experimental Design</t>
  </si>
  <si>
    <t>DTSA 5013 - Generalized Linear Models and Nonparametric Regression</t>
  </si>
  <si>
    <t>DTSA 5733 - Relational Database Design</t>
  </si>
  <si>
    <t>DTSA 5734 - The Structured Query Language (SQL)</t>
  </si>
  <si>
    <t>DTSA 5735 - Advanced Topics and Future Trends in Database Technologies</t>
  </si>
  <si>
    <t>DTSA 5704 - Managing, Describing, and Analyzing Data</t>
  </si>
  <si>
    <t>DTSA 5705 - Stability and Capability in Quality Improvement</t>
  </si>
  <si>
    <t>DTSA 5706 - Measurement Systems Analysis</t>
  </si>
  <si>
    <t>DTSA 5842 - Effective Communication: Writing, Design and Presentation</t>
  </si>
  <si>
    <t>DTSA 5843 - Effective Communication Capstone Project</t>
  </si>
  <si>
    <t>DTSA 5701 - Introduction to High Performance Computing</t>
  </si>
  <si>
    <t>DTSA 5020 - Regression and Classification</t>
  </si>
  <si>
    <t>DTSA 5021 - Resampling, Selection, and Splines</t>
  </si>
  <si>
    <t>DTSA 5022 - Trees, SVM, and Unsupervised Learning</t>
  </si>
  <si>
    <t>DTSA 5509 - Introduction to Machine Learning: Supervised Learning</t>
  </si>
  <si>
    <t>DTSA 5510 - Unsupervised Algorithms in Machine Learning</t>
  </si>
  <si>
    <t>DTSA 5511 - Introduction to Deep Learning</t>
  </si>
  <si>
    <t>DTSA 5504 - Data Mining Pipeline</t>
  </si>
  <si>
    <t>DTSA 5505 - Data Mining Methods</t>
  </si>
  <si>
    <t>DTSA 5506 - Data Mining Project</t>
  </si>
  <si>
    <t>DTSA 5798 - Supervised Text Classification for Marketing Analytics</t>
  </si>
  <si>
    <t>DTSA 5799 - Unsupervised Text Classification for Marketing Analytics</t>
  </si>
  <si>
    <t>DTSA 5800 - Network Analysis for Marketing Analytics</t>
  </si>
  <si>
    <r>
      <rPr>
        <b/>
        <sz val="11"/>
        <color rgb="FF000000"/>
        <rFont val="Roboto"/>
      </rPr>
      <t xml:space="preserve">CU Online MEEM Curriculum Guide
Share it via </t>
    </r>
    <r>
      <rPr>
        <b/>
        <u/>
        <sz val="11"/>
        <color rgb="FF1155CC"/>
        <rFont val="Roboto"/>
      </rPr>
      <t>https://tinyurl.com/cu-boulder-meem</t>
    </r>
    <r>
      <rPr>
        <b/>
        <sz val="11"/>
        <color rgb="FF000000"/>
        <rFont val="Roboto"/>
      </rPr>
      <t xml:space="preserve">
</t>
    </r>
    <r>
      <rPr>
        <b/>
        <sz val="10"/>
        <color rgb="FF000000"/>
        <rFont val="Roboto"/>
      </rPr>
      <t>Contribute to the reviews here</t>
    </r>
    <r>
      <rPr>
        <b/>
        <sz val="11"/>
        <color rgb="FF000000"/>
        <rFont val="Roboto"/>
      </rPr>
      <t xml:space="preserve"> </t>
    </r>
    <r>
      <rPr>
        <b/>
        <sz val="10"/>
        <color rgb="FF000000"/>
        <rFont val="Roboto"/>
      </rPr>
      <t xml:space="preserve">
</t>
    </r>
    <r>
      <rPr>
        <b/>
        <u/>
        <sz val="11"/>
        <color rgb="FF1155CC"/>
        <rFont val="Roboto"/>
      </rPr>
      <t xml:space="preserve">http://tinyurl.com/cu-elective-review
</t>
    </r>
    <r>
      <rPr>
        <b/>
        <sz val="10"/>
        <color rgb="FF38761D"/>
        <rFont val="Roboto"/>
      </rPr>
      <t>Got a question? Contact Razuki on Discord</t>
    </r>
  </si>
  <si>
    <t>EMEA 5021</t>
  </si>
  <si>
    <t>Product Cost &amp; Investment Cash Flow Analysis</t>
  </si>
  <si>
    <t>MEEM</t>
  </si>
  <si>
    <t>3-hour MCQ/spreadsheet calculation exam</t>
  </si>
  <si>
    <t>EMEA 5022</t>
  </si>
  <si>
    <t>Project Valuation and the Capital Budgeting Process</t>
  </si>
  <si>
    <t>EMEA 5023</t>
  </si>
  <si>
    <t>Financial Forecasting and Reporting</t>
  </si>
  <si>
    <t>EMEA 5031</t>
  </si>
  <si>
    <t>Project Management: Foundations and Initiation</t>
  </si>
  <si>
    <t>Peer review project - package weekly peer-reviews</t>
  </si>
  <si>
    <t>EMEA 5032</t>
  </si>
  <si>
    <t>Project Management: Project Planning and Execution</t>
  </si>
  <si>
    <t>EMEA 5033</t>
  </si>
  <si>
    <t>Project Management: Agile Project Management</t>
  </si>
  <si>
    <t>Review video recording of what was learned</t>
  </si>
  <si>
    <t>EMEA 5051</t>
  </si>
  <si>
    <t>Leading Oneself with Self Knowledge</t>
  </si>
  <si>
    <t>14 MCQs, 1 attempt, 2 hr limit, not proctored</t>
  </si>
  <si>
    <t>EMEA 5052</t>
  </si>
  <si>
    <t>Leading Oneself with Purpose and Meaning</t>
  </si>
  <si>
    <t xml:space="preserve">Peer reviewed paper
</t>
  </si>
  <si>
    <t>EMEA 5053</t>
  </si>
  <si>
    <t>Leading Oneself with Personal Excellence</t>
  </si>
  <si>
    <t>Peer Reviewed Project (~5+ pages, mostly tables and diagrams)</t>
  </si>
  <si>
    <t>EMEA 5016</t>
  </si>
  <si>
    <t>Communication as a Technical Leader</t>
  </si>
  <si>
    <t>1000 word essay</t>
  </si>
  <si>
    <t>EMEA 5017</t>
  </si>
  <si>
    <t>Technical Managerial Written Skills</t>
  </si>
  <si>
    <t>Peer-review Project</t>
  </si>
  <si>
    <t>EMEA 5018</t>
  </si>
  <si>
    <t>Speaking to a Technical Group</t>
  </si>
  <si>
    <t>Video Recording of Presentation</t>
  </si>
  <si>
    <t>EMEA 5006</t>
  </si>
  <si>
    <t>Defining, Describing, and Visualizing Data</t>
  </si>
  <si>
    <t>Exams</t>
  </si>
  <si>
    <t>5%/5%/15% Exams</t>
  </si>
  <si>
    <t>EMEA 5007</t>
  </si>
  <si>
    <t>Data Acquisition, Risk, and Estimation</t>
  </si>
  <si>
    <t>3 x 10% Exams</t>
  </si>
  <si>
    <t>EMEA 5008</t>
  </si>
  <si>
    <t>Data-Driven Decision Making</t>
  </si>
  <si>
    <t>4 x 10% Exams</t>
  </si>
  <si>
    <t>EMEA 5401</t>
  </si>
  <si>
    <t>Strategic Product Development</t>
  </si>
  <si>
    <t>EMEA 5402</t>
  </si>
  <si>
    <t>Managing the New Product Development Process</t>
  </si>
  <si>
    <t>EMEA 5403</t>
  </si>
  <si>
    <t>Product Innovation Management</t>
  </si>
  <si>
    <t>EMEA 5091</t>
  </si>
  <si>
    <t>Getting Started with Technology Startups</t>
  </si>
  <si>
    <t>EMEA 5092</t>
  </si>
  <si>
    <t>Creating a Technology Startup Company</t>
  </si>
  <si>
    <t>EMEA 5093</t>
  </si>
  <si>
    <t>Forming, Funding, and Launching a Technology Startup Company</t>
  </si>
  <si>
    <t>EMEA 5081</t>
  </si>
  <si>
    <t>A Theoretical Origin of Ethics in Business and Tech Industry</t>
  </si>
  <si>
    <t>3 x 500 words essays</t>
  </si>
  <si>
    <t>EMEA 5082</t>
  </si>
  <si>
    <t>Avoiding Ethical Pitfalls in the Tech Industry</t>
  </si>
  <si>
    <t>EMEA 5083</t>
  </si>
  <si>
    <t>Ethical Decision Making for Success in the Tech Industry</t>
  </si>
  <si>
    <t>EMEA 5054</t>
  </si>
  <si>
    <t>Leadership Style and Building a High-Performance Team</t>
  </si>
  <si>
    <t>500 words essay</t>
  </si>
  <si>
    <t>EMEA 5055</t>
  </si>
  <si>
    <t>Accountability and Employee Engagement</t>
  </si>
  <si>
    <t>EMEA 5056</t>
  </si>
  <si>
    <t>Value Creation and Building Enduring Relationships</t>
  </si>
  <si>
    <t>EMEA 5057</t>
  </si>
  <si>
    <t>Your World and What Shapes It</t>
  </si>
  <si>
    <t>EMEA 5058</t>
  </si>
  <si>
    <t>Their World and How You Define It</t>
  </si>
  <si>
    <t>EMEA 5059</t>
  </si>
  <si>
    <t>Our World and How to Accept It</t>
  </si>
  <si>
    <t>EMEA 5061</t>
  </si>
  <si>
    <t>A Technical Leader's Qualities and Effectiveness</t>
  </si>
  <si>
    <t>EMEA 5062</t>
  </si>
  <si>
    <t>Challenges of Leading Individuals in the Tech Industry</t>
  </si>
  <si>
    <t>EMEA 5063</t>
  </si>
  <si>
    <t>Challenges of Leading Technical Teams</t>
  </si>
  <si>
    <t>EMEA 5064</t>
  </si>
  <si>
    <t>The Neuroscience of Personal Excellence</t>
  </si>
  <si>
    <t>Same for whole specialisation (APA format)
Part 1: Lit Review (30%)
Part 2: Plan Development (70%)
Requires 2 within-course and 3 external sources</t>
  </si>
  <si>
    <t>EMEA 5065</t>
  </si>
  <si>
    <t>The Neuroscience of Leading High-Performance Teams</t>
  </si>
  <si>
    <t>EMEA 5066</t>
  </si>
  <si>
    <t>The Neuroscience of Leading Transformational Organizations</t>
  </si>
  <si>
    <t>EMEA 5094</t>
  </si>
  <si>
    <t>Market Research and Analysis for Tech Industries</t>
  </si>
  <si>
    <t>EMEA 5095</t>
  </si>
  <si>
    <t>Digital Media and Strategic Planning in Technology Markets</t>
  </si>
  <si>
    <t>EMEA 5096</t>
  </si>
  <si>
    <t>Building and Pitching Marketing Campaigns in Tech Industries</t>
  </si>
  <si>
    <t>EMEA 5034</t>
  </si>
  <si>
    <t>The Need for Systems Engineering</t>
  </si>
  <si>
    <t>EMEA 5035</t>
  </si>
  <si>
    <t>Applying Systems Engineering to the Design Process</t>
  </si>
  <si>
    <t>EMEA 5036</t>
  </si>
  <si>
    <t>Systems Engineering and Program Management</t>
  </si>
  <si>
    <t>EMEA 5216</t>
  </si>
  <si>
    <t> Sustainability and the Circular Economy</t>
  </si>
  <si>
    <t>EMEA 5231</t>
  </si>
  <si>
    <t>Resilience and Leadership: Concepts Definitions and Frameworks</t>
  </si>
  <si>
    <t>EMEA 5232</t>
  </si>
  <si>
    <t>Resilience and Leadership: Tools, Methods, and Applications</t>
  </si>
  <si>
    <r>
      <rPr>
        <b/>
        <sz val="11"/>
        <color rgb="FF000000"/>
        <rFont val="Roboto"/>
      </rPr>
      <t xml:space="preserve">CU MEEM on Coursera
Find this helpful? Contribute to the reviews on 
</t>
    </r>
    <r>
      <rPr>
        <b/>
        <u/>
        <sz val="11"/>
        <color rgb="FF1155CC"/>
        <rFont val="Roboto"/>
      </rPr>
      <t>http://tinyurl.com/cu-elective-review</t>
    </r>
  </si>
  <si>
    <t>EMEA 5021 - Product Cost &amp; Investment Cash Flow Analysis</t>
  </si>
  <si>
    <t>EMEA 5022 - Project Valuation and the Capital Budgeting Process</t>
  </si>
  <si>
    <t>EMEA 5023 - Financial Forecasting and Reporting</t>
  </si>
  <si>
    <t>EMEA 5031 - Project Management: Foundations and Initiation</t>
  </si>
  <si>
    <t>EMEA 5032 - Project Management: Project Planning and Execution</t>
  </si>
  <si>
    <t>EMEA 5033 - Project Management: Agile Project Management</t>
  </si>
  <si>
    <t>EMEA 5051 - Leading Oneself with Self Knowledge</t>
  </si>
  <si>
    <t>EMEA 5052 - Leading Oneself with Purpose and Meaning</t>
  </si>
  <si>
    <t>EMEA 5053 - Leading Oneself with Personal Excellence</t>
  </si>
  <si>
    <t>EMEA 5016 - Communication as a Technical Leader</t>
  </si>
  <si>
    <t>EMEA 5017 - Technical Managerial Written Skills</t>
  </si>
  <si>
    <t>EMEA 5018 - Speaking to a Technical Group</t>
  </si>
  <si>
    <t>EMEA 5006 - Defining, Describing, and Visualizing Data</t>
  </si>
  <si>
    <t>EMEA 5007 - Data Acquisition, Risk, and Estimation</t>
  </si>
  <si>
    <t>EMEA 5008 - Data-Driven Decision Making</t>
  </si>
  <si>
    <t>EMEA 5401 - Strategic Product Development</t>
  </si>
  <si>
    <t>EMEA 5402 - Managing the New Product Development Process</t>
  </si>
  <si>
    <t>EMEA 5403 - Product Innovation Management</t>
  </si>
  <si>
    <t>EMEA 5091 - Getting Started with Technology Startups</t>
  </si>
  <si>
    <t>EMEA 5092 - Creating a Technology Startup Company</t>
  </si>
  <si>
    <t>EMEA 5093 - Forming, Funding, and Launching a Technology Startup Company</t>
  </si>
  <si>
    <t>EMEA 5081 - A Theoretical Origin of Ethics in Business and Tech Industry</t>
  </si>
  <si>
    <t>EMEA 5082 - Avoiding Ethical Pitfalls in the Tech Industry</t>
  </si>
  <si>
    <t>EMEA 5083 - Ethical Decision Making for Success in the Tech Industry</t>
  </si>
  <si>
    <t>EMEA 5054 - Leadership Style and Building a High-Performance Team</t>
  </si>
  <si>
    <t>EMEA 5055 - Accountability and Employee Engagement</t>
  </si>
  <si>
    <t>EMEA 5056 - Value Creation and Building Enduring Relationships</t>
  </si>
  <si>
    <t>EMEA 5057 - Your World and What Shapes It</t>
  </si>
  <si>
    <t>EMEA 5058 - Their World and How You Define It</t>
  </si>
  <si>
    <t>EMEA 5059 - Our World and How to Accept It</t>
  </si>
  <si>
    <t>EMEA 5061 - A Technical Leader's Qualities and Effectiveness</t>
  </si>
  <si>
    <t>EMEA 5062 - Challenges of Leading Individuals in the Tech Industry</t>
  </si>
  <si>
    <t>EMEA 5063 - Challenges of Leading Technical Teams</t>
  </si>
  <si>
    <t>EMEA 5064 - The Neuroscience of Personal Excellence</t>
  </si>
  <si>
    <t>EMEA 5065 - The Neuroscience of Leading High-Performance Teams</t>
  </si>
  <si>
    <t>EMEA 5066 - The Neuroscience of Leading Transformational Organizations</t>
  </si>
  <si>
    <t>EMEA 5094 - Market Research and Analysis for Tech Industries</t>
  </si>
  <si>
    <t>EMEA 5095 - Digital Media and Strategic Planning in Technology Markets</t>
  </si>
  <si>
    <t>EMEA 5096 - Building and Pitching Marketing Campaigns in Tech Industries</t>
  </si>
  <si>
    <t>EMEA 5034 - The Need for Systems Engineering</t>
  </si>
  <si>
    <t>EMEA 5035 - Applying Systems Engineering to the Design Process</t>
  </si>
  <si>
    <t>EMEA 5036 - Systems Engineering and Program Management</t>
  </si>
  <si>
    <t>EMEA 5216 -  Sustainability and the Circular Economy</t>
  </si>
  <si>
    <t>EMEA 5231 - Value Creation and Building Enduring Relationships</t>
  </si>
  <si>
    <t>EMEA 5232 - Resilience and Leadership: Tools, Methods, and Applications</t>
  </si>
  <si>
    <r>
      <rPr>
        <b/>
        <sz val="11"/>
        <color rgb="FF000000"/>
        <rFont val="Roboto"/>
      </rPr>
      <t xml:space="preserve">CU Online MSEE Curriculum Guide
Share it via </t>
    </r>
    <r>
      <rPr>
        <b/>
        <u/>
        <sz val="11"/>
        <color rgb="FF1155CC"/>
        <rFont val="Roboto"/>
      </rPr>
      <t>https://tinyurl.com/cu-boulder-msee</t>
    </r>
    <r>
      <rPr>
        <b/>
        <sz val="11"/>
        <color rgb="FF000000"/>
        <rFont val="Roboto"/>
      </rPr>
      <t xml:space="preserve">
</t>
    </r>
    <r>
      <rPr>
        <b/>
        <sz val="10"/>
        <color rgb="FF000000"/>
        <rFont val="Roboto"/>
      </rPr>
      <t>Contribute to the reviews here</t>
    </r>
    <r>
      <rPr>
        <b/>
        <sz val="11"/>
        <color rgb="FF000000"/>
        <rFont val="Roboto"/>
      </rPr>
      <t xml:space="preserve"> </t>
    </r>
    <r>
      <rPr>
        <b/>
        <sz val="10"/>
        <color rgb="FF000000"/>
        <rFont val="Roboto"/>
      </rPr>
      <t xml:space="preserve">
</t>
    </r>
    <r>
      <rPr>
        <b/>
        <u/>
        <sz val="11"/>
        <color rgb="FF1155CC"/>
        <rFont val="Roboto"/>
      </rPr>
      <t xml:space="preserve">http://tinyurl.com/cu-elective-review
</t>
    </r>
    <r>
      <rPr>
        <b/>
        <sz val="10"/>
        <color rgb="FF38761D"/>
        <rFont val="Roboto"/>
      </rPr>
      <t>Got a question? Contact Razuki on Discord</t>
    </r>
  </si>
  <si>
    <t>ECEA 5305</t>
  </si>
  <si>
    <t>Linux System Programming and Introduction to Buildroot</t>
  </si>
  <si>
    <t>MSEE (CE/ESE)</t>
  </si>
  <si>
    <t>C &amp; Bash</t>
  </si>
  <si>
    <t>Exam (Proctored)</t>
  </si>
  <si>
    <t>MCQ (2 hours)</t>
  </si>
  <si>
    <t>Some bash scripting and C programming. Involves Git Hub repository for submitting and automated testing with peer reviews</t>
  </si>
  <si>
    <t>ECEA 5306</t>
  </si>
  <si>
    <t>Linux Kernel Programming and Introduction to Yocto</t>
  </si>
  <si>
    <t>ECEA 5307</t>
  </si>
  <si>
    <t>Embedded System Topics and Project</t>
  </si>
  <si>
    <t>ECEA 5340</t>
  </si>
  <si>
    <t>Embedding Sensors and Motors: Sensors, Sensor Circuit Design</t>
  </si>
  <si>
    <t>Pathway (CE/ESE)</t>
  </si>
  <si>
    <t>C</t>
  </si>
  <si>
    <t>34 questions (15 numerical and 19 MCQs)</t>
  </si>
  <si>
    <t>Quizzes and homework assignments</t>
  </si>
  <si>
    <t>ECEA 5341</t>
  </si>
  <si>
    <t>Embedding Sensors and Motors: Motors, Motor Control Circuits</t>
  </si>
  <si>
    <t>ECEA 5342</t>
  </si>
  <si>
    <t>Embedding Sensors and Motors: Pressure and Motion Sensors</t>
  </si>
  <si>
    <t>ECEA 5343</t>
  </si>
  <si>
    <t>Embedding Sensors and Motors: Sensor Manufact, Process Ctrl</t>
  </si>
  <si>
    <t>ECEA 5360</t>
  </si>
  <si>
    <t>FPGA Design for Embedded Systems: Intro to FPGA Dsgn for ES</t>
  </si>
  <si>
    <t>None</t>
  </si>
  <si>
    <t>ECEA 5361</t>
  </si>
  <si>
    <t>FPGA Design for Embedded Systems: Hardwr Desc Lang FPGA Dsgn</t>
  </si>
  <si>
    <t>Verilog/Vhdl</t>
  </si>
  <si>
    <t>Exam (Proctor)/Assignment</t>
  </si>
  <si>
    <t>32% for exam; 2 x 4% prog assignments</t>
  </si>
  <si>
    <t>ECEA 5362</t>
  </si>
  <si>
    <t>FPGA Design for Embedded Systems: FPGA Softcore Proc, IP Acq</t>
  </si>
  <si>
    <t>ECEA 5363</t>
  </si>
  <si>
    <t>FPGA Design for Embedded Systems: Building FPGA Projects</t>
  </si>
  <si>
    <t>Verilog/Vhdl/C</t>
  </si>
  <si>
    <t>ECEA 5385</t>
  </si>
  <si>
    <t>Industrial IoT Markets and Security</t>
  </si>
  <si>
    <t>ECEA 5386</t>
  </si>
  <si>
    <t>Developing Industrial IoT: Proj Planning, Machine Learning</t>
  </si>
  <si>
    <t>ECEA 5387</t>
  </si>
  <si>
    <t>Developing Industrial IoT: Modeling and Debugging Embed Sys</t>
  </si>
  <si>
    <t>ECEA 5315</t>
  </si>
  <si>
    <t>Real-Time Embedded Systems: Concepts and Practices</t>
  </si>
  <si>
    <t>ECEA 5316</t>
  </si>
  <si>
    <t>Real-Time Embedded Systems: Theory and Analysis</t>
  </si>
  <si>
    <t>ECEA 5317</t>
  </si>
  <si>
    <t>Real-Time Embedded Systems: Mission-Critical, SW Application</t>
  </si>
  <si>
    <t>ECEA 5318</t>
  </si>
  <si>
    <t>Real-Time Embedded Systems: Project</t>
  </si>
  <si>
    <t>ECEA 5346</t>
  </si>
  <si>
    <t>Embedded Interface Design: User Exp I/F Design for Emb Sys</t>
  </si>
  <si>
    <t>ECEA 5347</t>
  </si>
  <si>
    <t>Embedded Interface Design: Rapid Prototyping Emb I/F Designs</t>
  </si>
  <si>
    <t>ECEA 5348</t>
  </si>
  <si>
    <t>Embedded Interface Design: M2M, IoT I/F Design &amp; Protocols</t>
  </si>
  <si>
    <t>ECEA 5934</t>
  </si>
  <si>
    <t>Engineering Genetic Circuits: Design</t>
  </si>
  <si>
    <t>ECEA 5935</t>
  </si>
  <si>
    <t>Engineering Genetic Circuits: Modeling and Analysis</t>
  </si>
  <si>
    <t>ECEA 5936</t>
  </si>
  <si>
    <t>Engineering Genetic Circuits: Abstraction Methods</t>
  </si>
  <si>
    <t>ECEA 5349</t>
  </si>
  <si>
    <t>Electric Vehicle Sensors</t>
  </si>
  <si>
    <t>ECEA 5350</t>
  </si>
  <si>
    <t>Wind Turbine Sensors</t>
  </si>
  <si>
    <t>ECEA 5351</t>
  </si>
  <si>
    <t>Solar Power Sensors</t>
  </si>
  <si>
    <t>ECEA 5700</t>
  </si>
  <si>
    <t>Power Electronics: Introduction to Power Electronics</t>
  </si>
  <si>
    <t>Pathway (PE)</t>
  </si>
  <si>
    <t>Nil (SPICE taught)</t>
  </si>
  <si>
    <t>10 questions, 2 hours, proctored, 99 attempts (no notes or calculator)</t>
  </si>
  <si>
    <t>Study and understand the practice final on week 4 and you should be good</t>
  </si>
  <si>
    <t>ECEA 5701</t>
  </si>
  <si>
    <t>Power Electronics: Converter Circuits</t>
  </si>
  <si>
    <t>ECEA 5702</t>
  </si>
  <si>
    <t>Power Electronics: Converter Control</t>
  </si>
  <si>
    <t>ECEA 5703</t>
  </si>
  <si>
    <t>Power Electronics: Magnetics Design</t>
  </si>
  <si>
    <t>ECEA 5705</t>
  </si>
  <si>
    <t>Modeling, Control of Power Elec: Avged-Sw Modeling and Sim</t>
  </si>
  <si>
    <t>MSEE (PE)</t>
  </si>
  <si>
    <t>ECEA 5706</t>
  </si>
  <si>
    <t>Modeling, Control of Power Elec: Tech Dsgn-Oriented Analysis</t>
  </si>
  <si>
    <t>ECEA 5707</t>
  </si>
  <si>
    <t>Modeling, Control of Power Elec: Input Filter Design</t>
  </si>
  <si>
    <t>ECEA 5708</t>
  </si>
  <si>
    <t>Modeling, Control of Power Elec: Current-mode Control</t>
  </si>
  <si>
    <t>ECEA 5709</t>
  </si>
  <si>
    <t>Modeling, Control of Power Elec: Mod/Ctrl 1-Phase Rect/Inv</t>
  </si>
  <si>
    <t>ECEA 5715</t>
  </si>
  <si>
    <t>Power Electronics Capstone Project</t>
  </si>
  <si>
    <t>ECEA 5730</t>
  </si>
  <si>
    <t>Introduction to Battery-Management Systems</t>
  </si>
  <si>
    <t>ECEA 5731</t>
  </si>
  <si>
    <t>Equivalent-Circuit Cell-Model Simulation</t>
  </si>
  <si>
    <t>Matlab</t>
  </si>
  <si>
    <t>ECEA 5732</t>
  </si>
  <si>
    <t>Battery State-of-Charge (SOC) Estimation</t>
  </si>
  <si>
    <t>ECEA 5733</t>
  </si>
  <si>
    <t>Battery State-of-Health (SOH) Estimation</t>
  </si>
  <si>
    <t>ECEA 5734</t>
  </si>
  <si>
    <t>Battery-Pack Balancing and Power Estimation</t>
  </si>
  <si>
    <t>ECEA 5716</t>
  </si>
  <si>
    <t>Open-Loop Photovoltaic Power Electronics Laboratory</t>
  </si>
  <si>
    <t>ECEA 5717</t>
  </si>
  <si>
    <t>Closed-Loop Photovoltaic Power Electronics Laboratory</t>
  </si>
  <si>
    <t>ECEA 5718</t>
  </si>
  <si>
    <t>Photovoltaic Power Electronics Battery Management Laboratory</t>
  </si>
  <si>
    <t>ECEA 5721</t>
  </si>
  <si>
    <t>Introduction to Power Switches</t>
  </si>
  <si>
    <t>ECEA 5722</t>
  </si>
  <si>
    <t>High-Voltage p-n and Schottky Diodes</t>
  </si>
  <si>
    <t>ECEA 5723</t>
  </si>
  <si>
    <t>MOSFETs, IGBTs and more</t>
  </si>
  <si>
    <t>ECEA 5724</t>
  </si>
  <si>
    <t>Power Device Fabrication</t>
  </si>
  <si>
    <t>ECEA 5600</t>
  </si>
  <si>
    <t>Optical Engineering: First Order Optical System Design</t>
  </si>
  <si>
    <t>Pathway (P &amp; O)</t>
  </si>
  <si>
    <t>ECEA 5601</t>
  </si>
  <si>
    <t>Optical Engineering: Optical Efficiency and Resolution</t>
  </si>
  <si>
    <t>ECEA 5602</t>
  </si>
  <si>
    <t>Optical Engineering: Design High-Performance Optical Systems</t>
  </si>
  <si>
    <t>ECEA 5630</t>
  </si>
  <si>
    <t>Semiconductor Devices: Semiconductor Physics</t>
  </si>
  <si>
    <t>ECEA 5631</t>
  </si>
  <si>
    <t>Semiconductor Devices: Diode: pn junction and metal semiconductor contact</t>
  </si>
  <si>
    <t>ECEA 5632</t>
  </si>
  <si>
    <t>Semiconductor Devices: Transistor: Field Effect Transistor and Bipolar Junction Transistor</t>
  </si>
  <si>
    <t>ECEA 5605</t>
  </si>
  <si>
    <t>Active Optical Devices: LEDs and Semiconductor Lasers</t>
  </si>
  <si>
    <t>MSEE (P &amp; O)</t>
  </si>
  <si>
    <t>ECEA 5606</t>
  </si>
  <si>
    <t>Active Optical Devices: Nanophotonics and Detectors</t>
  </si>
  <si>
    <t>ECEA 5607</t>
  </si>
  <si>
    <t>Active Optical Devices: Displays</t>
  </si>
  <si>
    <t>ECEA 5610</t>
  </si>
  <si>
    <t>Foundations of Quantum Mechanics</t>
  </si>
  <si>
    <t>ECEA 5611</t>
  </si>
  <si>
    <t>Theory of Angular Momentum</t>
  </si>
  <si>
    <t>ECEA 5612</t>
  </si>
  <si>
    <t>Approximation Methods</t>
  </si>
  <si>
    <t>ECEA 5800</t>
  </si>
  <si>
    <t>Modeling of Feedback Systems</t>
  </si>
  <si>
    <t>MSEE (S &amp; C)</t>
  </si>
  <si>
    <t>ECEA 5801</t>
  </si>
  <si>
    <t>Frequency Domain</t>
  </si>
  <si>
    <t>ECEA 5802</t>
  </si>
  <si>
    <t>State-Space Domain Design</t>
  </si>
  <si>
    <r>
      <rPr>
        <b/>
        <sz val="11"/>
        <color rgb="FF000000"/>
        <rFont val="Roboto"/>
      </rPr>
      <t xml:space="preserve">CU MSEE on Coursera
Find this helpful? Contribute to the reviews on 
</t>
    </r>
    <r>
      <rPr>
        <b/>
        <u/>
        <sz val="11"/>
        <color rgb="FF1155CC"/>
        <rFont val="Roboto"/>
      </rPr>
      <t>http://tinyurl.com/cu-elective-review</t>
    </r>
  </si>
  <si>
    <t>ECEA 5305 - Linux System Programming and Introduction to Buildroot</t>
  </si>
  <si>
    <t>ECEA 5306 - Linux Kernel Programming and Introduction to Yocto</t>
  </si>
  <si>
    <t>ECEA 5307 - Embedded System Topics and Project</t>
  </si>
  <si>
    <t>ECEA 5340 - Embedding Sensors and Motors: Sensors, Sensor Circuit Design</t>
  </si>
  <si>
    <t>ECEA 5341 - Embedding Sensors and Motors: Motors, Motor Control Circuits</t>
  </si>
  <si>
    <t>ECEA 5342 - Embedding Sensors and Motors: Pressure and Motion Sensors</t>
  </si>
  <si>
    <t>ECEA 5343 - Embedding Sensors and Motors: Sensor Manufact, Process Ctrl</t>
  </si>
  <si>
    <t>ECEA 5360 - FPGA Design for Embedded Systems: Intro to FPGA Dsgn for ES</t>
  </si>
  <si>
    <t>ECEA 5361 - FPGA Design for Embedded Systems: Hardwr Desc Lang FPGA Dsgn</t>
  </si>
  <si>
    <t>ECEA 5362 - FPGA Design for Embedded Systems: FPGA Softcore Proc, IP Acq</t>
  </si>
  <si>
    <t>ECEA 5363 - FPGA Design for Embedded Systems: Building FPGA Projects</t>
  </si>
  <si>
    <t>ECEA 5385 - Industrial IoT Markets and Security</t>
  </si>
  <si>
    <t>ECEA 5386 - Developing Industrial IoT: Proj Planning, Machine Learning</t>
  </si>
  <si>
    <t>ECEA 5387 - Developing Industrial IoT: Modeling and Debugging Embed Sys</t>
  </si>
  <si>
    <t>ECEA 5315 - Real-Time Embedded Systems: Concepts and Practices</t>
  </si>
  <si>
    <t>ECEA 5316 - Real-Time Embedded Systems: Theory and Analysis</t>
  </si>
  <si>
    <t>ECEA 5317 - Real-Time Embedded Systems: Mission-Critical, SW Application</t>
  </si>
  <si>
    <t>ECEA 5318 - Real-Time Embedded Systems: Project</t>
  </si>
  <si>
    <t>ECEA 5346 - Embedded Interface Design: User Exp I/F Design for Emb Sys</t>
  </si>
  <si>
    <t>ECEA 5347 - Embedded Interface Design: Rapid Prototyping Emb I/F Designs</t>
  </si>
  <si>
    <t>ECEA 5348 - Embedded Interface Design: M2M, IoT I/F Design &amp; Protocols</t>
  </si>
  <si>
    <t>ECEA 5934 - Design</t>
  </si>
  <si>
    <t>ECEA 5935 - Modeling and Analysis</t>
  </si>
  <si>
    <t>ECEA 5936 - Abstraction Methods</t>
  </si>
  <si>
    <t>ECEA 5349 - Electric Vehicle Sensors</t>
  </si>
  <si>
    <t>ECEA 5350 - Wind Turbine Sensors</t>
  </si>
  <si>
    <t>ECEA 5351 - Solar Power Sensors</t>
  </si>
  <si>
    <t>ECEA 5700 - Power Electronics: Introduction to Power Electronics</t>
  </si>
  <si>
    <t>ECEA 5701 - Power Electronics: Converter Circuits</t>
  </si>
  <si>
    <t>ECEA 5702 - Power Electronics: Converter Control</t>
  </si>
  <si>
    <t>ECEA 5703 - Power Electronics: Magnetics Design</t>
  </si>
  <si>
    <t>ECEA 5705 - Modeling, Control of Power Elec: Avged-Sw Modeling and Sim</t>
  </si>
  <si>
    <t>ECEA 5706 - Modeling, Control of Power Elec: Tech Dsgn-Oriented Analysis</t>
  </si>
  <si>
    <t>ECEA 5707 - Modeling, Control of Power Elec: Input Filter Design</t>
  </si>
  <si>
    <t>ECEA 5708 - Modeling, Control of Power Elec: Current-mode Control</t>
  </si>
  <si>
    <t>ECEA 5709 - Modeling, Control of Power Elec: Mod/Ctrl 1-Phase Rect/Inv</t>
  </si>
  <si>
    <t>ECEA 5715 - Power Electronics Capstone Project</t>
  </si>
  <si>
    <t>ECEA 5730 - Introduction to Battery-Management Systems</t>
  </si>
  <si>
    <t>ECEA 5731 - Equivalent-Circuit Cell-Model Simulation</t>
  </si>
  <si>
    <t>ECEA 5732 - Battery State-of-Charge (SOC) Estimation</t>
  </si>
  <si>
    <t>ECEA 5733 - Battery State-of-Health (SOH) Estimation</t>
  </si>
  <si>
    <t>ECEA 5734 - Battery-Pack Balancing and Power Estimation</t>
  </si>
  <si>
    <t>ECEA 5716 - Open-Loop Photovoltaic Power Electronics Laboratory</t>
  </si>
  <si>
    <t>ECEA 5717 - Closed-Loop Photovoltaic Power Electronics Laboratory</t>
  </si>
  <si>
    <t>ECEA 5718 - Photovoltaic Power Electronics Battery Management Laboratory</t>
  </si>
  <si>
    <t>ECEA 5721 - Introduction to Power Switches</t>
  </si>
  <si>
    <t>ECEA 5722 - High-Voltage p-n and Schottky Diodes</t>
  </si>
  <si>
    <t>ECEA 5723 - MOSFETs, IGBTs and more</t>
  </si>
  <si>
    <t>ECEA 5724 - Power Device Fabrication</t>
  </si>
  <si>
    <t>ECEA 5600 - Optical Engineering: First Order Optical System Design</t>
  </si>
  <si>
    <t>ECEA 5601 - Optical Engineering: Optical Efficiency and Resolution</t>
  </si>
  <si>
    <t>ECEA 5602 - Optical Engineering: Design High-Performance Optical Systems</t>
  </si>
  <si>
    <t>ECEA 5630 - Semiconductor Devices: Semiconductor Physics</t>
  </si>
  <si>
    <t>ECEA 5631 - Semiconductor Devices: Diode: pn junction and metal semiconductor contact</t>
  </si>
  <si>
    <t>ECEA 5632 - Semiconductor Devices: Transistor: Field Effect Transistor and Bipolar Junction Transistor</t>
  </si>
  <si>
    <t>ECEA 5605 - Active Optical Devices: LEDs and Semiconductor Lasers</t>
  </si>
  <si>
    <t>ECEA 5606 - Active Optical Devices: Nanophotonics and Detectors</t>
  </si>
  <si>
    <t>ECEA 5607 - Active Optical Devices: Displays</t>
  </si>
  <si>
    <t>ECEA 5610 - Foundations of Quantum Mechanics</t>
  </si>
  <si>
    <t>ECEA 5611 - Theory of Angular Momentum</t>
  </si>
  <si>
    <t>ECEA 5612 - Approximation Methods</t>
  </si>
  <si>
    <t>ECEA 5800 - Modeling of Feedback Systems</t>
  </si>
  <si>
    <t>ECEA 5801 - Frequency Domain</t>
  </si>
  <si>
    <t>ECEA 5802 - State-Space Domain Design</t>
  </si>
  <si>
    <t>Which MS Degree Elective are you reviewing on?</t>
  </si>
  <si>
    <t>Master of Science in Electrical Engineering</t>
  </si>
  <si>
    <t>Some background in basic college physics (mechanics and e&amp;m) as well as differential equations, will be useful. The course is doable without these, but expect more time commitment due to having to spend more time on the prereq topics.</t>
  </si>
  <si>
    <t>Master of Engineering in Engineering Management</t>
  </si>
  <si>
    <t xml:space="preserve">I don't feel you would need any prior experience for this course. The concepts are explained well by the professor, and the homework assignments are straight forward applications of the lectures. The final exam follows the course content with no surprise questions. </t>
  </si>
  <si>
    <t xml:space="preserve">I don't think you would need prior knowledge in the subject to take the course, although I would say the first course would be a good idea. The concepts are explained by the professor well, and the homework assignments follow the lecture concepts. The final exam is open book, open notes, and not proctored. </t>
  </si>
  <si>
    <t xml:space="preserve">I don't think you would need prior knowledge in the subject to take the course, although I would say the first and 2nd courses would be a good idea, since some of those concepts are referenced. The concepts are explained by the professor well, and the homework assignments follow the lecture concepts. The final exam is open book, open notes, and not proctored. </t>
  </si>
  <si>
    <t>It helps to have some exposure to project management but it is not necessary as this is taught at beginner level. The course assignments revolve around creating practical project documents.  Having seen these documents for real projects already this course was very easy for me.</t>
  </si>
  <si>
    <t>It is helpful to have prior knowledge but not necessary.  The assignments revolve around creating practical documents.  Having exposure to real world projects will make this course very easy.</t>
  </si>
  <si>
    <t>No prior knowledge is needed and if you're an experienced agile practitioner you may wince at some of the material.  Still, there are some interesting topics and this is a decent overview.  I was able to find new ideas from this course.  IIRC this courses assignments were more short essay based since there isn't heavy documentation in agile like there is in waterfall.</t>
  </si>
  <si>
    <t>ECEA 5631 - Semiconductor Devices: Diode: pn junction and metal semiconductor contact</t>
  </si>
  <si>
    <t>You need to take Semiconductor Devices first. Expect to learn more from the homework than the lectures. Treat the applied math separately than the theory, learn the theory first through some YouTube videos.
The final will kill you. I had a 100% on every homework assignment and I got a 60% on the final, it was that hard. Get very comfortable using Desmos Scientific Calculator as that is all you are allowed to use on the final.</t>
  </si>
  <si>
    <t>Masters of Science in Data Science</t>
  </si>
  <si>
    <t>Quite Good</t>
  </si>
  <si>
    <t>Nothing needed to prep for this course - quizzes were 4-5 questions long and took direct info from the readings that I skimmed, with unlimited attempts. The final project is a collection of the 4 homeworks combined into one PDF with any adjustments made after incorporating feedback that you receive from peers. Overall very straightforward and simple.</t>
  </si>
  <si>
    <t>Nothing needed for prep. Quizzes are 4-5 questions with unlimited attempts, and questions are taken directly from provided readings that you can skim. Homeworks are just filling out templates provided to you. Final project is combining all homeworks and incorporating feedback that you receive from peers</t>
  </si>
  <si>
    <t>ECEA 5700 - Power Electronics: Introduction to Power Electronics</t>
  </si>
  <si>
    <t>Course prep - basic understanding of semiconductors including FETs and diodes, refresher on transformers are given during the lectures so if you don't remember much about them the course will provide that. To truly succeed, refresh yourself on the physicality of inductors and capacitors and how they operate, along with basic equations such as V_L(t)=L*di/dt. 
Assignments: Each homework took a lot of thinking through. They are about 10-12 questions each, but you get unlimited attempts on each. Most questions are tied together (ie answer to question 4 is needed to be able to answer question 5). Exam was very similar to homeworks, and a practice exam is given that is representative of what would be on the final (different circuits, but same applied techniques)
Tips: All of the homeworks and lectures are very dependent on one another. The content you learn carries over to the next round of content, so be sure to work through truly understanding the info you learn if you want to succeed!</t>
  </si>
  <si>
    <t xml:space="preserve">This was fairly easy, and all the assignments built on each other. The grading rubric was easy to use in order to get a 100 </t>
  </si>
  <si>
    <t xml:space="preserve">This was a fun course on personal productivity and self awareness.  The coursera time estimates drastically overestimate the workload--many of the readings or videos are listed at 30 minutes but only take 5.  </t>
  </si>
  <si>
    <t>Make sure you submit the week 2-4 projects early.  You need to include feedback from those peer reviews on your final project, so if you save it all til the last minute you won't have what you need to do the final project.</t>
  </si>
  <si>
    <t>For the most part, this is very basic finance and investment information.  Very easy and straightforward course if you have any background in finance or investing at all.  A few assignments are out of date and need to be updated to current data.</t>
  </si>
  <si>
    <t>ECEA 5360 - FPGA Design for Embedded Systems: Intro to FPGA Dsgn for ES</t>
  </si>
  <si>
    <t xml:space="preserve">Very ineffective instructor, reading off the slides and not really explaining the concepts behind. Prepare to memorize data sheets material for the quizzes and final exam.
Some quizzes had questions that were partially explained, or not at all. You'll have to go to office hours to get answers or try on your own. The problem is that I understood how to get the right answer without understanding what goes behind it. Pretty bad I'd say.
The way it is right now, this is not a course for somebody with no experience in EE/FPGA in my opinion. </t>
  </si>
  <si>
    <t>Quizzes were straight forward if you follow the lectures. Exam was very memorization heavy, all about device datasheets contents.</t>
  </si>
  <si>
    <t>ECEA 5361 - FPGA Design for Embedded Systems: Hardwr Desc Lang FPGA Dsgn</t>
  </si>
  <si>
    <t>Good amount of verilog and vhdl usage in this class. Concepts explained well in lectures. Quizes help for studying for final. Many multiple part questions with no partial credit.</t>
  </si>
  <si>
    <t>Relatively chill content. And the prof teaches well.</t>
  </si>
  <si>
    <t>The content are relatively straightforward and assignments and exams are easy too.</t>
  </si>
  <si>
    <t>Honestly dont feel that this is required. Mostly concepts about the databases etc but no technical learning.</t>
  </si>
  <si>
    <t>A solid background in circuit theory is needed for the power electronics sequence. Assignments and exams were fair. If you don't have a background in EE, you might find this course (and the pathway) more difficult.</t>
  </si>
  <si>
    <t>ECEA 5702 - Power Electronics: Converter Control</t>
  </si>
  <si>
    <t xml:space="preserve">An understanding of the basics of control theory is strongly recommended. This is the hardest course in the power electronics pathway. Assignments and exam are difficult, but still fair if you devote time to studying. </t>
  </si>
  <si>
    <t>The math is relatively straight forward and there is no test or project component</t>
  </si>
  <si>
    <t>Little/no prior knowledge is needed.  Exams/quizzes are fairly easy.  Tips:  This course is easy to breeze through, but may take a little longer if you actually read the material and try to take notes, etc.</t>
  </si>
  <si>
    <t>The course is structured well. Probability theory is hard but the course doesn't make it any harder than it needs to be.</t>
  </si>
  <si>
    <t>This course is really without any experience in mathematical statistics. The professor does not fill in the blanks for a lot of the math, leaving you in the dark. The best advice for this class is to just practice practice practice.</t>
  </si>
  <si>
    <t>This course isn't too bad if you already took DTSA 5002 as it goes over that content and then builds on top of it. I feel as though the course could have focused on more important aspects of hypothesis testing rather than so much on MLE's. Hypothesis testing is the backbone of modern day statistics and this course won't leave you with much confidence to go out and do your own hypothesis testing.</t>
  </si>
  <si>
    <t>This course does a really good job at going over the basics of regression. The projects and lectures are very relevant not just to the course but also for applying the knowledge outside of the class. One should be able to fully grasp the course's concepts with the course content alone.</t>
  </si>
  <si>
    <t>ECEA 5705 - Modeling, Control of Power Elec: Avged-Sw Modeling and Sim</t>
  </si>
  <si>
    <t xml:space="preserve">Course Prep: Make sure that you really understood the material from ECEA 5702, it is fundamental for this course. Other than that, I would recommend some revision of: operational amplifiers (ideal opamp, practical opamp, feedback and transfer functions), norton and thevenin's theorem, the properties of poles, zeroes, RHP zeroes, etc. 
Assignments and exams: Assignments for this module have a heavy simulation (matlab and ltspice) component. The exam is challenging but as long as you have mastered the feedback theorem and can work your way through obtaining the averaged-switch models then you will be fine.
Tips: If you haven't downloaded your copy of the book (fundamental of power electronics, springer) then you should do it now. It can be extremely helpful for complementing the video lectures and it has some examples not covered in the videos that can help you out a lot if you hit a roadblock when trying to solve the assignment questions related to null double injection. 
</t>
  </si>
  <si>
    <t>ECEA 5706 - Modeling, Control of Power Elec: Tech Dsgn-Oriented Analysis</t>
  </si>
  <si>
    <t>Course preparation: Only take this course once you have mastered null double injection and completely understood the feedback theorem. The techniques covered in this course rely heavily on these 2 things.
Assignments and exams: Assignments have many questions that require matlab and ltspice. Lots of algebra but it doesn't get out of control. 
Tips for future students: If you are planning to take both this course and ECEA 5705 during the same session, I can confirm it is possible, but you will need to plan ahead. I recommend doing the following: Focus on 5705 first and finish week 1 &amp; 2 of that course. Week 1 should be relatively easy if you remember the material from 5702, if that's the case then you can probably finish in less than 3 days. The one you really need to focus on is week 2; take your time and make sure you understood the material from this week very well. Once you feel comfortable with it, you can go ahead and start 5706. From that point onwards, you can comfortably work your way through both 5705 and 5706.</t>
  </si>
  <si>
    <t>ECEA 5707 - Modeling, Control of Power Elec: Input Filter Design</t>
  </si>
  <si>
    <t>Course preparation: You must be familiar with the feedback theorem, null double injection and the extra element theorem. Taking ECEA 5705 and 5706 before taking this one is necessary. 
Assignments and exams: The assignments are very practical, you will find yourself solving for specific component values rather than for expressions with specific variables. Make sure you understand where the equations come from and what conditions are associated with them, this will be extremely important for the exam.
Tips for students: Complementing the video lectures with the book chapter on input filter design is recommended. Other than that, try to work your way through the design process on your own when you get to the examples. If you were planning to take this one, 5705 and 5706 at the same time, it is possible as long as you have a plan and stick to it; focus on 5705 and once you finish week 2 then start 5706. You could start 5707 as soon as you finish week 1 of 5706, but I recommend to wait until you finish week 2 of 5706 since that will help you practice the extra element theorem enough to be able to work through 5707 comfortably.</t>
  </si>
  <si>
    <t>No prior knowledge is needed.  The final exam draws directly from the quizzes.  There is a substantial amount of reading which can make the course take a while.  Many of the blog posts take less time than the coursera estimate, but the academic articles seem to take longer.</t>
  </si>
  <si>
    <t>I would highly recommend taking the class. You can tell Professor Van-Atten put a lot of effort into making the course. No prior knowledge necessary and his quizzes had a good balance of humor and knowledge. His peer review tasks were not overly demanding and conveyed a priority on comprehension of the lessons rather than giving busy work. I would recommend all disciplines take this class.</t>
  </si>
  <si>
    <t>EMEA 5081 - A Theoretical Origin of Ethics in Business and Tech Industry</t>
  </si>
  <si>
    <t>EMEA 5401 - Strategic Product Development</t>
  </si>
  <si>
    <t xml:space="preserve">+10 </t>
  </si>
  <si>
    <t>No prior knowledge is needed.  This course has a ton of content from academic articles to podcasts, but if you do the workbook along the way you're already set up for the final assignment and it is just formatting from there.  The course is easy to get an 'A' in, but tough to actually master the content (a lifelong journey perhaps). Overall a really interesting course that is all about being the best version of yourself.  I found that a lot of this is already stuff I've reflected on myself and I already had a solid ethos (something the course helps you craft), but I have never taken the exercise of putting it all on paper which I think is a worthwhile endeavor.</t>
  </si>
  <si>
    <t>ECEA 5385 - Industrial IoT Markets and Security</t>
  </si>
  <si>
    <t>Very easy class. Mostly a review of a market research study. It also helps you learn some jargon regarding encryption.</t>
  </si>
  <si>
    <t>No prior knowledge needed.  Be prepared to write and don't skip the discussion prompts which you will need to package and add to. In total I wrote just under 7000 words, ~27 pages double spaced.  It was not the most challenging writing (nothing like digging through academic sources and writing a lit review or research paper), but the volume is definitely there.  The course content is very light, almost feels like the reverse of the "Leading Oneself" series (in terms of writing vs reading/watching/listening) which I liked a lot better personally.</t>
  </si>
  <si>
    <t>No prior knowledge needed. Similar structure to the middle course of the series in terms of content, but seems to be less dependent on the workbook for the final assignment. Very straightforward.</t>
  </si>
  <si>
    <t>ECEA 5362 - FPGA Design for Embedded Systems: FPGA Softcore Proc, IP Acq</t>
  </si>
  <si>
    <t>just review the quizes</t>
  </si>
  <si>
    <t>ECEA 5363 - FPGA Design for Embedded Systems: Building FPGA Projects</t>
  </si>
  <si>
    <t>comfort in Verilog helps</t>
  </si>
  <si>
    <t>This is about the same as an undergraduate SQL course with some maybe slightly more complicated queries.  If you have good SQL experience, you can speed run this with no video/reading content, but unfortunately you have to certify that you attempted the labs and those take about half the course time.  Also the VM is terrible so I recommend installing postgres and finding a copy of the databases from the course.  This probably would have saved me a few hours of pain.  Without the VM I could have probably done it in 6-8 hours.  If labs weren't required 3-5.</t>
  </si>
  <si>
    <t>Very similar to the first course, except that the final is a peer reviewed paper.  Make sure you are paying attention to the relevant journal entries along the way or you will need to do them all at the end of the course for the paper.</t>
  </si>
  <si>
    <t>watch videos and do required readings and you should pass this just fine</t>
  </si>
  <si>
    <t xml:space="preserve">A basic understanding of digital logic will be beneficial prior to starting. Assignments are lazily put together mostly following the lecture videos step by step and submitting screenshots. My only advice is to start looking at the assignments and quizzes early on so you have time to retake them as much as you need. </t>
  </si>
  <si>
    <t xml:space="preserve">Assignments and exams are hands on learning and grades are based on peer-reviewed feedback. They're good sample of applied learning that helped the learning material stick, and were simple/straightforward enough if you pay attention during the lectures. </t>
  </si>
  <si>
    <t>No prior knowledge needed. Mixed of exams and peer graded projects. The projects at the end were doable. One was making an elevator Pitch. Its good for those in the technology development field. It gives you perspective and explanation on the pain points being encountered and how one might try to fix the system.</t>
  </si>
  <si>
    <t>No prior knowledge is needed. THe exams are relatively easy. To get the most out of this course its better to read through the reading materials. Though it would take twice as long. If you are just coasting, well you have the option to just watch the summary videos.</t>
  </si>
  <si>
    <t>ECEA 5716 - Open-Loop Photovoltaic Power Electronics Laboratory</t>
  </si>
  <si>
    <t xml:space="preserve">You need to review the power electronics courses. Specifically doing the hardware design for a dcdc converter. You need to start early with the assignments and plan when to test that involves having a pretty good amount of sunlight. Also a good soldering iron would do wonders. In the programming version be sure to use the same version of the CCS. trying to use the latest version would delay you because a lot of issues would show up. So as to not put you behind by several days get the older version that was tested. </t>
  </si>
  <si>
    <t>Compared with other courses, this and next statistics course is proctored &amp; one-time exam. You need to be prepared if you want higher grade.</t>
  </si>
  <si>
    <t>Good course.  If you do any investing, you might be familiar with much of this course, and the math is at grade school level. Still, it isn't a waste of time, as it ties everything back to projects and had a few ideas I wasn't familiar with.</t>
  </si>
  <si>
    <t>If you're a real estate investor, this course will look familiar since you deal with pro forma, depreciation schedules, and income statements.  The first weeks feel straightforward, mostly a review of the previous course.  Again the math is straightforward, but got into some interesting stuff on the actual capital budgeting process at a company.</t>
  </si>
  <si>
    <t>This was my least favorite of the three courses.  Again the math is straightforward, but the myriad of ratios makes my eyes glaze over, especially since half of them aren't great indicators, or are so commonsense you can just look at the numbers and get the "indication" without the need to compute a ratio.  The sustainability module started off very preachy (and veered to what I would say is off course into heterodox economics), but the sustainability reporting got pretty interesting and I think is very relevant to financial reporting in the modern world.</t>
  </si>
  <si>
    <t>If you know Agile, you might find this a bit easy. The rubric makes it easy to get an A, but some of the assignments don't offer a template like in the other classes to standardize the approach to get peer graded on.
The final is a video essay, it can be hard to talk for 5 - 8 minutes straight. My suggestion is to write out a script and read that. You can use basic video editing software to cut out mistakes!</t>
  </si>
  <si>
    <t>If you actually read all the articles and take notes, this is a very heavy time commitment class. The course layout could be a bit better, you are often doing workbook exercises before you do any of the reading material. Sometimes the lecture is a summary of the reading, sometimes it goes a bit more into depth. I felt it was better to watch the lecture, then do the workbook, then the readings to get a better idea of what the workbook was asking for (and to know what to look for in the readings).
The professor kept talking about his side company as well, so just go ahead and ignore that part.</t>
  </si>
  <si>
    <t xml:space="preserve">I came in with zero electrical engineering knowledge but was able to do fairly well by having strong math skills and doing independent review of basic electrical engineering concepts. The homework was significantly harder than the exam. Got stuck on some homework questions and spent significant amount of time working on that, but if you get through the homework the exam is easy. </t>
  </si>
  <si>
    <t>This is a pretty good course overall and should be interesting for people in a variety of fields including pure software development.  There are a lot of parallels between SE and microservice software architecture, and even though SE tends to be more waterfallish, there is still plenty of crossover with agile concepts (agile just favors validation over verification in the V&amp;V).  I thought the shuttle case study was a bit of a slog fest to get through, but outside of that I enjoyed most of the course.  Easy peer reviewed assignments, and the final is a multi-submit within the 2 hour timeframe, so don't worry too much about the one "trick question".</t>
  </si>
  <si>
    <t>Prep: None needed, the content from lectures will be what you need for quizzes/final (theory).    Assignments and Exams: Quizzes with ability to retake, Final, and Peer reviewed paper.  If you listen to lectures and take advantage of re-takes, very easy.  Final follows quizzes and is mostly trivia.   Tips for future students:  Have fun with the paper.  This is where I got into praxis (actually doing something) using the Cryptopals challenges and it taught me a lot about the limitations of AES.  Other research topics are possible and you get out what you put in.   This class is easily stack-able with others.</t>
  </si>
  <si>
    <t xml:space="preserve">Really enjoyed this course, and the series in general was better than I expected it would be.  </t>
  </si>
  <si>
    <t>1. Some calculus and set theory 2. Some memorization required for exam but allowed to use formula sheet</t>
  </si>
  <si>
    <t>1. The first probability course in the pathway 2. Final exam is tough, requires memorizing formulas not on the formula sheet</t>
  </si>
  <si>
    <t>Agree with another review: This is difficult, but not more than it needs to be. You should be extremely comfortable with calc before attempting this course: Brush up at least on derivatives, integrals, and series summation.</t>
  </si>
  <si>
    <t>This is probably the hardest class I've ever taken, but the good news is that you probably only need to earn a C if you're taking it as an outside elective. The professor is pretty good, but she will not walk you through every step most of the time, so you should be extremely comfortable with calculus before attempting. There's a lot of derivatives and integrals, as well as some unintuitive series manipulations.</t>
  </si>
  <si>
    <t>5003 builds on 5002, so a lot of the material is review, and showing you what else you can do with that knowledge. This is probably the easiest of the 3 stats courses -- or at least, it will be by the time you get to it. It's still reasonably challenging, and there are a lot of formulas you'll have to memorize, but there's much less need to derive formulas for yourself like you had in 5002. I actually recommend doing both 5002 and 5003 non-credit before attempting the final on 5002, because you will get a lot of extra practice with the concepts from that course in 5003.</t>
  </si>
  <si>
    <t>1. Good to have a sophomore EE background in circuit analysis (KCL, KVL) and knowing calculus I and II at least to have a better understanding of the algebra involving inductors and capacitors. A physics background in electromagnetism would be good to have although not necessary.
2. The assignments were a lot tougher than the final exam. I think the process of figuring out the assignments and getting help will get the student to better understand how to arrive to that answer and will prepare them for the final exam.
3. Make sure your algebraic manipulations (solving quadratic equations, etc.) are good to minimize frustration when trying to input formulas into the Coursera platform. Also attend office hours and try to get help from other students who have taken the course before as it can be very frustrating not knowing if your approach/technique is wrong or if it's merely a typo from inputting your answer into Coursera</t>
  </si>
  <si>
    <t xml:space="preserve">Algebra, Calculus, R. Some of the reading did not fit well with the lectures. The first couple of weeks are difficult and unclear until reading into week 3. Not enough examples to help. </t>
  </si>
  <si>
    <t>ECEA 5305 - Linux System Programming and Introduction to Buildroot</t>
  </si>
  <si>
    <t>Prior course covers all you need to know</t>
  </si>
  <si>
    <t>ECEA 5600 - Optical Engineering: First Order Optical System Design</t>
  </si>
  <si>
    <t>ECEA 5601 - Optical Engineering: Optical Efficiency and Resolution</t>
  </si>
  <si>
    <t>Some knowledge of Fourier transform needed</t>
  </si>
  <si>
    <t>ECEA 5602 - Optical Engineering: Design High-Performance Optical Systems</t>
  </si>
  <si>
    <t>Great instructor</t>
  </si>
  <si>
    <t>ECEA 5630 - Semiconductor Devices: Semiconductor Physics</t>
  </si>
  <si>
    <t>Know Poisson’s equation. Challenging HW assignments</t>
  </si>
  <si>
    <t>Expect to do do some learning from outside content like YouTube to get a better understanding</t>
  </si>
  <si>
    <t>ECEA 5632 - Semiconductor Devices: Transistor: Field Effect Transistor and Bipolar Junction Transistor</t>
  </si>
  <si>
    <t>Lighter course load than the previous 2 courses in the series</t>
  </si>
  <si>
    <t>I didn't love the "cadence" set between lectures, quizzes, and assignments. R, Calculus, Algebra, and additional resources were needed to complete the course.</t>
  </si>
  <si>
    <t>ECEA 5340 - Embedding Sensors and Motors: Sensors, Sensor Circuit Design</t>
  </si>
  <si>
    <t>Whirlwind tour of industrial sensors.  The instructor is corny and the material in lecture does not prepare you for the homework or the quiz.   Several Questions on each homework come up very frequently during office hours.  Make sure to do office hours if confused because those hardest questions show up on the final.   The lab is using PSoC with a thermistor.  The content for doing this is full of mistakes, half sorted in the post-edit.  Rely on slack for corrections.  Tip:  Take immaculate notes on hw/quizzes.  You can use them on exam and it makes a heavy lift of 32 questions in 2 hrs easier.</t>
  </si>
  <si>
    <t>ECEA 5387 - Developing Industrial IoT: Modeling and Debugging Embed Sys</t>
  </si>
  <si>
    <t>Course Prep: Good to have previous two courses, but could do this standalone.  Assignments and Exams: Just quizzes and the final.  Final follows same material from quizzes.  Tips for future students: Just go through the content and go over weekly quizzes a couple of times before the final.   I finished in 2 weeks.</t>
  </si>
  <si>
    <t>I had taken some statistics courses during my undergraduate studies, which provided a solid foundation for this course. The assignments are relatively easy if you grasp the lecture material. I also found the supplementary book to be quite helpful. If you master the homework assignments, you’ll find the exam to be very manageable.</t>
  </si>
  <si>
    <t>This course does not meet the expectations of a master’s level curriculum. The content could have been effectively covered in just 30 minutes as part of another course. I invested a significant amount of time on the project, but it doesn’t seem like it received a thorough review.</t>
  </si>
  <si>
    <t>ECEA 5730 - Introduction to Battery-Management Systems</t>
  </si>
  <si>
    <t>no prior knowledge necessary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</si>
</sst>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39">
    <font>
      <sz val="11"/>
      <color theme="1"/>
      <name val="Calibri"/>
      <scheme val="minor"/>
    </font>
    <font>
      <b/>
      <u/>
      <sz val="11"/>
      <color rgb="FF000000"/>
      <name val="Roboto"/>
    </font>
    <font>
      <sz val="11"/>
      <name val="Calibri"/>
      <family val="2"/>
    </font>
    <font>
      <b/>
      <sz val="10"/>
      <color rgb="FF000000"/>
      <name val="Roboto"/>
    </font>
    <font>
      <sz val="11"/>
      <color theme="1"/>
      <name val="Roboto"/>
    </font>
    <font>
      <b/>
      <sz val="10"/>
      <color theme="0"/>
      <name val="Roboto"/>
    </font>
    <font>
      <b/>
      <sz val="10"/>
      <color rgb="FFFFFFFF"/>
      <name val="Roboto"/>
    </font>
    <font>
      <sz val="9"/>
      <color theme="1"/>
      <name val="Roboto"/>
    </font>
    <font>
      <b/>
      <u/>
      <sz val="9"/>
      <color theme="1"/>
      <name val="Roboto"/>
    </font>
    <font>
      <sz val="10"/>
      <color theme="1"/>
      <name val="Roboto"/>
    </font>
    <font>
      <b/>
      <sz val="11"/>
      <color theme="0"/>
      <name val="Roboto"/>
    </font>
    <font>
      <b/>
      <sz val="11"/>
      <color rgb="FFFFFFFF"/>
      <name val="Roboto"/>
    </font>
    <font>
      <b/>
      <u/>
      <sz val="11"/>
      <color theme="1"/>
      <name val="Roboto"/>
    </font>
    <font>
      <b/>
      <u/>
      <sz val="11"/>
      <color rgb="FF000000"/>
      <name val="Roboto"/>
    </font>
    <font>
      <b/>
      <sz val="9"/>
      <color theme="1"/>
      <name val="Roboto"/>
    </font>
    <font>
      <sz val="12"/>
      <color theme="0"/>
      <name val="Calibri"/>
      <family val="2"/>
      <scheme val="minor"/>
    </font>
    <font>
      <sz val="12"/>
      <color rgb="FFFFFFFF"/>
      <name val="Calibri"/>
      <family val="2"/>
      <scheme val="minor"/>
    </font>
    <font>
      <sz val="11"/>
      <color theme="1"/>
      <name val="Calibri"/>
      <family val="2"/>
      <scheme val="minor"/>
    </font>
    <font>
      <sz val="14"/>
      <color theme="0"/>
      <name val="Calibri"/>
      <family val="2"/>
      <scheme val="minor"/>
    </font>
    <font>
      <sz val="9"/>
      <color rgb="FF000000"/>
      <name val="&quot;Google Sans Mono&quot;"/>
    </font>
    <font>
      <sz val="12"/>
      <color rgb="FF000000"/>
      <name val="Roboto"/>
    </font>
    <font>
      <sz val="12"/>
      <color theme="1"/>
      <name val="Roboto"/>
    </font>
    <font>
      <sz val="13"/>
      <color theme="1"/>
      <name val="Calibri"/>
      <family val="2"/>
      <scheme val="minor"/>
    </font>
    <font>
      <u/>
      <sz val="11"/>
      <color rgb="FF0000FF"/>
      <name val="Roboto"/>
    </font>
    <font>
      <u/>
      <sz val="11"/>
      <color rgb="FF0000FF"/>
      <name val="Roboto"/>
    </font>
    <font>
      <u/>
      <sz val="11"/>
      <color rgb="FF0000FF"/>
      <name val="Roboto"/>
    </font>
    <font>
      <b/>
      <sz val="11"/>
      <color rgb="FF000000"/>
      <name val="Roboto"/>
    </font>
    <font>
      <b/>
      <u/>
      <sz val="11"/>
      <color rgb="FF1155CC"/>
      <name val="Roboto"/>
    </font>
    <font>
      <b/>
      <u/>
      <sz val="10"/>
      <color rgb="FF1155CC"/>
      <name val="Roboto"/>
    </font>
    <font>
      <b/>
      <sz val="10"/>
      <color rgb="FF1155CC"/>
      <name val="Roboto"/>
    </font>
    <font>
      <b/>
      <sz val="10"/>
      <color rgb="FF45818E"/>
      <name val="Roboto"/>
    </font>
    <font>
      <b/>
      <u/>
      <sz val="9"/>
      <color rgb="FF1155CC"/>
      <name val="Roboto"/>
    </font>
    <font>
      <b/>
      <sz val="11"/>
      <color theme="1"/>
      <name val="Roboto"/>
    </font>
    <font>
      <sz val="11"/>
      <color rgb="FF000000"/>
      <name val="Roboto"/>
    </font>
    <font>
      <b/>
      <sz val="11"/>
      <name val="Roboto"/>
    </font>
    <font>
      <sz val="11"/>
      <name val="Roboto"/>
    </font>
    <font>
      <u/>
      <sz val="11"/>
      <name val="Roboto"/>
    </font>
    <font>
      <u/>
      <sz val="11"/>
      <color rgb="FF1155CC"/>
      <name val="Roboto"/>
    </font>
    <font>
      <b/>
      <sz val="10"/>
      <color rgb="FF38761D"/>
      <name val="Roboto"/>
    </font>
  </fonts>
  <fills count="18">
    <fill>
      <patternFill patternType="none"/>
    </fill>
    <fill>
      <patternFill patternType="gray125"/>
    </fill>
    <fill>
      <patternFill patternType="solid">
        <fgColor rgb="FFFFE599"/>
        <bgColor rgb="FFFFE599"/>
      </patternFill>
    </fill>
    <fill>
      <patternFill patternType="solid">
        <fgColor rgb="FFD8D8D8"/>
        <bgColor rgb="FFD8D8D8"/>
      </patternFill>
    </fill>
    <fill>
      <patternFill patternType="solid">
        <fgColor rgb="FF666666"/>
        <bgColor rgb="FF666666"/>
      </patternFill>
    </fill>
    <fill>
      <patternFill patternType="solid">
        <fgColor rgb="FF92CDDC"/>
        <bgColor rgb="FF92CDDC"/>
      </patternFill>
    </fill>
    <fill>
      <patternFill patternType="solid">
        <fgColor rgb="FFC2D69B"/>
        <bgColor rgb="FFC2D69B"/>
      </patternFill>
    </fill>
    <fill>
      <patternFill patternType="solid">
        <fgColor rgb="FFFABF8F"/>
        <bgColor rgb="FFFABF8F"/>
      </patternFill>
    </fill>
    <fill>
      <patternFill patternType="solid">
        <fgColor rgb="FFF4CCCC"/>
        <bgColor rgb="FFF4CCCC"/>
      </patternFill>
    </fill>
    <fill>
      <patternFill patternType="solid">
        <fgColor rgb="FFF3F3F3"/>
        <bgColor rgb="FFF3F3F3"/>
      </patternFill>
    </fill>
    <fill>
      <patternFill patternType="solid">
        <fgColor rgb="FF434343"/>
        <bgColor rgb="FF434343"/>
      </patternFill>
    </fill>
    <fill>
      <patternFill patternType="solid">
        <fgColor rgb="FFFFFFFF"/>
        <bgColor rgb="FFFFFFFF"/>
      </patternFill>
    </fill>
    <fill>
      <patternFill patternType="solid">
        <fgColor rgb="FFFCE5CD"/>
        <bgColor rgb="FFFCE5CD"/>
      </patternFill>
    </fill>
    <fill>
      <patternFill patternType="solid">
        <fgColor rgb="FFD9EAD3"/>
        <bgColor rgb="FFD9EAD3"/>
      </patternFill>
    </fill>
    <fill>
      <patternFill patternType="solid">
        <fgColor rgb="FFD0E0E3"/>
        <bgColor rgb="FFD0E0E3"/>
      </patternFill>
    </fill>
    <fill>
      <patternFill patternType="solid">
        <fgColor rgb="FFFFF2CC"/>
        <bgColor rgb="FFFFF2CC"/>
      </patternFill>
    </fill>
    <fill>
      <patternFill patternType="solid">
        <fgColor rgb="FF93C47D"/>
        <bgColor rgb="FF93C47D"/>
      </patternFill>
    </fill>
    <fill>
      <patternFill patternType="solid">
        <fgColor rgb="FFF9CB9C"/>
        <bgColor rgb="FFF9CB9C"/>
      </patternFill>
    </fill>
  </fills>
  <borders count="77">
    <border>
      <left/>
      <right/>
      <top/>
      <bottom/>
      <diagonal/>
    </border>
    <border>
      <left/>
      <right/>
      <top/>
      <bottom style="thick">
        <color rgb="FF000000"/>
      </bottom>
      <diagonal/>
    </border>
    <border>
      <left/>
      <right style="thin">
        <color rgb="FF000000"/>
      </right>
      <top/>
      <bottom style="thick">
        <color rgb="FF000000"/>
      </bottom>
      <diagonal/>
    </border>
    <border>
      <left style="thin">
        <color rgb="FF000000"/>
      </left>
      <right style="thin">
        <color rgb="FF000000"/>
      </right>
      <top style="thick">
        <color rgb="FF000000"/>
      </top>
      <bottom style="thick">
        <color rgb="FF000000"/>
      </bottom>
      <diagonal/>
    </border>
    <border>
      <left style="thin">
        <color rgb="FF000000"/>
      </left>
      <right style="thick">
        <color rgb="FF000000"/>
      </right>
      <top style="thick">
        <color rgb="FF000000"/>
      </top>
      <bottom style="thick">
        <color rgb="FF000000"/>
      </bottom>
      <diagonal/>
    </border>
    <border>
      <left style="thin">
        <color rgb="FF000000"/>
      </left>
      <right/>
      <top style="thick">
        <color rgb="FF000000"/>
      </top>
      <bottom style="thick">
        <color rgb="FF000000"/>
      </bottom>
      <diagonal/>
    </border>
    <border>
      <left/>
      <right/>
      <top style="thick">
        <color rgb="FF000000"/>
      </top>
      <bottom style="thick">
        <color rgb="FF000000"/>
      </bottom>
      <diagonal/>
    </border>
    <border>
      <left style="thin">
        <color rgb="FF999999"/>
      </left>
      <right style="thin">
        <color rgb="FF999999"/>
      </right>
      <top style="thin">
        <color rgb="FF999999"/>
      </top>
      <bottom style="thin">
        <color rgb="FF999999"/>
      </bottom>
      <diagonal/>
    </border>
    <border>
      <left style="thick">
        <color rgb="FF000000"/>
      </left>
      <right style="thin">
        <color rgb="FF999999"/>
      </right>
      <top style="thick">
        <color rgb="FF000000"/>
      </top>
      <bottom style="thick">
        <color rgb="FF000000"/>
      </bottom>
      <diagonal/>
    </border>
    <border>
      <left style="thin">
        <color rgb="FF999999"/>
      </left>
      <right style="thin">
        <color rgb="FF999999"/>
      </right>
      <top style="thick">
        <color rgb="FF000000"/>
      </top>
      <bottom style="thick">
        <color rgb="FF000000"/>
      </bottom>
      <diagonal/>
    </border>
    <border>
      <left style="thin">
        <color rgb="FF000000"/>
      </left>
      <right style="thick">
        <color rgb="FF000000"/>
      </right>
      <top style="thick">
        <color rgb="FF000000"/>
      </top>
      <bottom/>
      <diagonal/>
    </border>
    <border>
      <left style="thin">
        <color rgb="FF999999"/>
      </left>
      <right/>
      <top style="thick">
        <color rgb="FF000000"/>
      </top>
      <bottom style="thick">
        <color rgb="FF000000"/>
      </bottom>
      <diagonal/>
    </border>
    <border>
      <left style="thick">
        <color rgb="FF000000"/>
      </left>
      <right style="thin">
        <color rgb="FF000000"/>
      </right>
      <top style="thick">
        <color rgb="FF000000"/>
      </top>
      <bottom style="thin">
        <color rgb="FF000000"/>
      </bottom>
      <diagonal/>
    </border>
    <border>
      <left style="thin">
        <color rgb="FF000000"/>
      </left>
      <right style="thin">
        <color rgb="FF000000"/>
      </right>
      <top style="thick">
        <color rgb="FF000000"/>
      </top>
      <bottom style="thin">
        <color rgb="FF000000"/>
      </bottom>
      <diagonal/>
    </border>
    <border>
      <left style="thin">
        <color rgb="FF000000"/>
      </left>
      <right style="thick">
        <color rgb="FF000000"/>
      </right>
      <top style="thick">
        <color rgb="FF000000"/>
      </top>
      <bottom style="thin">
        <color rgb="FF000000"/>
      </bottom>
      <diagonal/>
    </border>
    <border>
      <left style="thin">
        <color rgb="FF000000"/>
      </left>
      <right/>
      <top style="thick">
        <color rgb="FF000000"/>
      </top>
      <bottom style="thin">
        <color rgb="FF000000"/>
      </bottom>
      <diagonal/>
    </border>
    <border>
      <left style="thick">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ck">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ck">
        <color rgb="FF000000"/>
      </left>
      <right style="thin">
        <color rgb="FF000000"/>
      </right>
      <top style="thin">
        <color rgb="FF000000"/>
      </top>
      <bottom style="thick">
        <color rgb="FF000000"/>
      </bottom>
      <diagonal/>
    </border>
    <border>
      <left style="thin">
        <color rgb="FF000000"/>
      </left>
      <right style="thin">
        <color rgb="FF000000"/>
      </right>
      <top style="thin">
        <color rgb="FF000000"/>
      </top>
      <bottom style="thick">
        <color rgb="FF000000"/>
      </bottom>
      <diagonal/>
    </border>
    <border>
      <left style="thin">
        <color rgb="FF000000"/>
      </left>
      <right style="thick">
        <color rgb="FF000000"/>
      </right>
      <top style="thin">
        <color rgb="FF000000"/>
      </top>
      <bottom style="thick">
        <color rgb="FF000000"/>
      </bottom>
      <diagonal/>
    </border>
    <border>
      <left style="thin">
        <color rgb="FF000000"/>
      </left>
      <right/>
      <top style="thin">
        <color rgb="FF000000"/>
      </top>
      <bottom style="thick">
        <color rgb="FF000000"/>
      </bottom>
      <diagonal/>
    </border>
    <border>
      <left style="thick">
        <color rgb="FF000000"/>
      </left>
      <right style="thin">
        <color rgb="FF000000"/>
      </right>
      <top/>
      <bottom/>
      <diagonal/>
    </border>
    <border>
      <left style="thin">
        <color rgb="FF000000"/>
      </left>
      <right style="thin">
        <color rgb="FF000000"/>
      </right>
      <top/>
      <bottom/>
      <diagonal/>
    </border>
    <border>
      <left style="thin">
        <color rgb="FF000000"/>
      </left>
      <right style="thick">
        <color rgb="FF000000"/>
      </right>
      <top/>
      <bottom/>
      <diagonal/>
    </border>
    <border>
      <left style="thin">
        <color rgb="FF000000"/>
      </left>
      <right/>
      <top/>
      <bottom/>
      <diagonal/>
    </border>
    <border>
      <left style="thick">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ck">
        <color rgb="FF000000"/>
      </right>
      <top style="thin">
        <color rgb="FF000000"/>
      </top>
      <bottom/>
      <diagonal/>
    </border>
    <border>
      <left style="thin">
        <color rgb="FF000000"/>
      </left>
      <right/>
      <top style="thin">
        <color rgb="FF000000"/>
      </top>
      <bottom/>
      <diagonal/>
    </border>
    <border>
      <left style="thick">
        <color rgb="FF000000"/>
      </left>
      <right style="thin">
        <color rgb="FF000000"/>
      </right>
      <top style="thick">
        <color rgb="FF000000"/>
      </top>
      <bottom/>
      <diagonal/>
    </border>
    <border>
      <left style="thin">
        <color rgb="FF000000"/>
      </left>
      <right style="thin">
        <color rgb="FF000000"/>
      </right>
      <top style="thick">
        <color rgb="FF000000"/>
      </top>
      <bottom/>
      <diagonal/>
    </border>
    <border>
      <left style="thin">
        <color rgb="FF000000"/>
      </left>
      <right/>
      <top style="thick">
        <color rgb="FF000000"/>
      </top>
      <bottom/>
      <diagonal/>
    </border>
    <border>
      <left style="thick">
        <color rgb="FF000000"/>
      </left>
      <right style="thin">
        <color rgb="FF000000"/>
      </right>
      <top/>
      <bottom style="thick">
        <color rgb="FF000000"/>
      </bottom>
      <diagonal/>
    </border>
    <border>
      <left style="thin">
        <color rgb="FF000000"/>
      </left>
      <right style="thin">
        <color rgb="FF000000"/>
      </right>
      <top/>
      <bottom style="thick">
        <color rgb="FF000000"/>
      </bottom>
      <diagonal/>
    </border>
    <border>
      <left style="thin">
        <color rgb="FF000000"/>
      </left>
      <right style="thick">
        <color rgb="FF000000"/>
      </right>
      <top/>
      <bottom style="thick">
        <color rgb="FF000000"/>
      </bottom>
      <diagonal/>
    </border>
    <border>
      <left style="thin">
        <color rgb="FF000000"/>
      </left>
      <right/>
      <top/>
      <bottom style="thick">
        <color rgb="FF000000"/>
      </bottom>
      <diagonal/>
    </border>
    <border>
      <left style="thick">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ck">
        <color rgb="FF000000"/>
      </right>
      <top/>
      <bottom style="thin">
        <color rgb="FF000000"/>
      </bottom>
      <diagonal/>
    </border>
    <border>
      <left style="thin">
        <color rgb="FF000000"/>
      </left>
      <right/>
      <top/>
      <bottom style="thin">
        <color rgb="FF000000"/>
      </bottom>
      <diagonal/>
    </border>
    <border>
      <left style="thick">
        <color rgb="FF000000"/>
      </left>
      <right style="thin">
        <color rgb="FF000000"/>
      </right>
      <top style="thick">
        <color rgb="FF000000"/>
      </top>
      <bottom style="thick">
        <color rgb="FF000000"/>
      </bottom>
      <diagonal/>
    </border>
    <border>
      <left style="medium">
        <color rgb="FF000000"/>
      </left>
      <right/>
      <top/>
      <bottom style="thin">
        <color rgb="FF999999"/>
      </bottom>
      <diagonal/>
    </border>
    <border>
      <left/>
      <right/>
      <top/>
      <bottom style="thin">
        <color rgb="FF999999"/>
      </bottom>
      <diagonal/>
    </border>
    <border>
      <left/>
      <right style="thin">
        <color rgb="FF999999"/>
      </right>
      <top/>
      <bottom style="thin">
        <color rgb="FF999999"/>
      </bottom>
      <diagonal/>
    </border>
    <border>
      <left style="thin">
        <color rgb="FF999999"/>
      </left>
      <right style="thin">
        <color rgb="FF999999"/>
      </right>
      <top/>
      <bottom style="thin">
        <color rgb="FF999999"/>
      </bottom>
      <diagonal/>
    </border>
    <border>
      <left style="thin">
        <color rgb="FF999999"/>
      </left>
      <right style="thick">
        <color rgb="FF000000"/>
      </right>
      <top style="thick">
        <color rgb="FF000000"/>
      </top>
      <bottom style="thick">
        <color rgb="FF000000"/>
      </bottom>
      <diagonal/>
    </border>
    <border>
      <left/>
      <right style="thin">
        <color rgb="FF999999"/>
      </right>
      <top style="thin">
        <color rgb="FF999999"/>
      </top>
      <bottom style="thin">
        <color rgb="FF999999"/>
      </bottom>
      <diagonal/>
    </border>
    <border>
      <left style="thick">
        <color rgb="FF000000"/>
      </left>
      <right style="thick">
        <color rgb="FF000000"/>
      </right>
      <top style="thick">
        <color rgb="FF000000"/>
      </top>
      <bottom style="thin">
        <color rgb="FF000000"/>
      </bottom>
      <diagonal/>
    </border>
    <border>
      <left style="thick">
        <color rgb="FF000000"/>
      </left>
      <right style="thick">
        <color rgb="FF000000"/>
      </right>
      <top style="thin">
        <color rgb="FF000000"/>
      </top>
      <bottom style="thin">
        <color rgb="FF000000"/>
      </bottom>
      <diagonal/>
    </border>
    <border>
      <left style="thick">
        <color rgb="FF000000"/>
      </left>
      <right style="thick">
        <color rgb="FF000000"/>
      </right>
      <top style="thin">
        <color rgb="FF000000"/>
      </top>
      <bottom style="thick">
        <color rgb="FF000000"/>
      </bottom>
      <diagonal/>
    </border>
    <border>
      <left style="thick">
        <color rgb="FF000000"/>
      </left>
      <right style="thick">
        <color rgb="FF000000"/>
      </right>
      <top style="thick">
        <color rgb="FF000000"/>
      </top>
      <bottom style="thick">
        <color rgb="FF000000"/>
      </bottom>
      <diagonal/>
    </border>
    <border>
      <left/>
      <right style="thin">
        <color rgb="FF000000"/>
      </right>
      <top/>
      <bottom/>
      <diagonal/>
    </border>
    <border>
      <left style="thin">
        <color rgb="FF000000"/>
      </left>
      <right style="thin">
        <color rgb="FF999999"/>
      </right>
      <top style="thick">
        <color rgb="FF000000"/>
      </top>
      <bottom/>
      <diagonal/>
    </border>
    <border>
      <left style="thin">
        <color rgb="FF000000"/>
      </left>
      <right style="thin">
        <color rgb="FF999999"/>
      </right>
      <top/>
      <bottom style="thick">
        <color rgb="FF000000"/>
      </bottom>
      <diagonal/>
    </border>
    <border>
      <left style="thick">
        <color rgb="FF000000"/>
      </left>
      <right style="thick">
        <color rgb="FF000000"/>
      </right>
      <top/>
      <bottom/>
      <diagonal/>
    </border>
    <border>
      <left style="thick">
        <color rgb="FF000000"/>
      </left>
      <right/>
      <top style="thick">
        <color rgb="FF000000"/>
      </top>
      <bottom style="thin">
        <color rgb="FF000000"/>
      </bottom>
      <diagonal/>
    </border>
    <border>
      <left style="thick">
        <color rgb="FF000000"/>
      </left>
      <right style="thick">
        <color rgb="FF000000"/>
      </right>
      <top style="thin">
        <color rgb="FF000000"/>
      </top>
      <bottom/>
      <diagonal/>
    </border>
    <border>
      <left/>
      <right style="thick">
        <color rgb="FF000000"/>
      </right>
      <top style="thick">
        <color rgb="FF000000"/>
      </top>
      <bottom style="thin">
        <color rgb="FF000000"/>
      </bottom>
      <diagonal/>
    </border>
    <border>
      <left style="thick">
        <color rgb="FF000000"/>
      </left>
      <right/>
      <top style="thin">
        <color rgb="FF000000"/>
      </top>
      <bottom style="thin">
        <color rgb="FF000000"/>
      </bottom>
      <diagonal/>
    </border>
    <border>
      <left/>
      <right style="thick">
        <color rgb="FF000000"/>
      </right>
      <top style="thin">
        <color rgb="FF000000"/>
      </top>
      <bottom style="thin">
        <color rgb="FF000000"/>
      </bottom>
      <diagonal/>
    </border>
    <border>
      <left style="thick">
        <color rgb="FF000000"/>
      </left>
      <right/>
      <top style="thin">
        <color rgb="FF000000"/>
      </top>
      <bottom/>
      <diagonal/>
    </border>
    <border>
      <left/>
      <right style="thick">
        <color rgb="FF000000"/>
      </right>
      <top style="thin">
        <color rgb="FF000000"/>
      </top>
      <bottom style="thick">
        <color rgb="FF000000"/>
      </bottom>
      <diagonal/>
    </border>
    <border>
      <left/>
      <right style="thick">
        <color rgb="FF000000"/>
      </right>
      <top style="thin">
        <color rgb="FF000000"/>
      </top>
      <bottom/>
      <diagonal/>
    </border>
    <border>
      <left/>
      <right/>
      <top style="thick">
        <color rgb="FF000000"/>
      </top>
      <bottom style="thin">
        <color rgb="FF000000"/>
      </bottom>
      <diagonal/>
    </border>
    <border>
      <left/>
      <right/>
      <top style="thin">
        <color rgb="FF000000"/>
      </top>
      <bottom style="thin">
        <color rgb="FF000000"/>
      </bottom>
      <diagonal/>
    </border>
    <border>
      <left style="thick">
        <color rgb="FF000000"/>
      </left>
      <right/>
      <top style="thin">
        <color rgb="FF000000"/>
      </top>
      <bottom style="thick">
        <color rgb="FF000000"/>
      </bottom>
      <diagonal/>
    </border>
    <border>
      <left/>
      <right/>
      <top style="thin">
        <color rgb="FF000000"/>
      </top>
      <bottom style="thick">
        <color rgb="FF000000"/>
      </bottom>
      <diagonal/>
    </border>
    <border>
      <left style="thick">
        <color rgb="FF000000"/>
      </left>
      <right/>
      <top/>
      <bottom style="thick">
        <color rgb="FF000000"/>
      </bottom>
      <diagonal/>
    </border>
    <border>
      <left style="thick">
        <color rgb="FF000000"/>
      </left>
      <right style="thick">
        <color rgb="FF000000"/>
      </right>
      <top/>
      <bottom style="thick">
        <color rgb="FF000000"/>
      </bottom>
      <diagonal/>
    </border>
    <border>
      <left/>
      <right style="thick">
        <color rgb="FF000000"/>
      </right>
      <top/>
      <bottom style="thick">
        <color rgb="FF000000"/>
      </bottom>
      <diagonal/>
    </border>
    <border>
      <left style="thick">
        <color rgb="FF000000"/>
      </left>
      <right/>
      <top style="thick">
        <color rgb="FF000000"/>
      </top>
      <bottom style="thick">
        <color rgb="FF000000"/>
      </bottom>
      <diagonal/>
    </border>
    <border>
      <left style="thick">
        <color rgb="FF000000"/>
      </left>
      <right style="thin">
        <color rgb="FF999999"/>
      </right>
      <top style="thick">
        <color rgb="FF000000"/>
      </top>
      <bottom/>
      <diagonal/>
    </border>
    <border>
      <left style="thin">
        <color rgb="FF999999"/>
      </left>
      <right style="thin">
        <color rgb="FF999999"/>
      </right>
      <top style="thick">
        <color rgb="FF000000"/>
      </top>
      <bottom/>
      <diagonal/>
    </border>
    <border>
      <left style="thin">
        <color rgb="FF999999"/>
      </left>
      <right/>
      <top style="thick">
        <color rgb="FF000000"/>
      </top>
      <bottom/>
      <diagonal/>
    </border>
  </borders>
  <cellStyleXfs count="1">
    <xf numFmtId="0" fontId="0" fillId="0" borderId="0"/>
  </cellStyleXfs>
  <cellXfs count="302">
    <xf numFmtId="0" fontId="0" fillId="0" borderId="0" xfId="0"/>
    <xf numFmtId="0" fontId="3" fillId="2" borderId="3" xfId="0" applyFont="1" applyFill="1" applyBorder="1" applyAlignment="1">
      <alignment horizontal="center" vertical="center" wrapText="1"/>
    </xf>
    <xf numFmtId="0" fontId="3" fillId="2" borderId="4" xfId="0" applyFont="1" applyFill="1" applyBorder="1" applyAlignment="1">
      <alignment horizontal="center" vertical="center" wrapText="1"/>
    </xf>
    <xf numFmtId="0" fontId="3" fillId="2" borderId="3" xfId="0" applyFont="1" applyFill="1" applyBorder="1" applyAlignment="1">
      <alignment horizontal="center" vertical="center"/>
    </xf>
    <xf numFmtId="0" fontId="3" fillId="2" borderId="5" xfId="0" applyFont="1" applyFill="1" applyBorder="1" applyAlignment="1">
      <alignment horizontal="left" vertical="center" wrapText="1"/>
    </xf>
    <xf numFmtId="0" fontId="3" fillId="2" borderId="6" xfId="0" applyFont="1" applyFill="1" applyBorder="1" applyAlignment="1">
      <alignment horizontal="center" vertical="center" wrapText="1"/>
    </xf>
    <xf numFmtId="0" fontId="4" fillId="3" borderId="7" xfId="0" applyFont="1" applyFill="1" applyBorder="1"/>
    <xf numFmtId="0" fontId="5" fillId="4" borderId="8" xfId="0" applyFont="1" applyFill="1" applyBorder="1" applyAlignment="1">
      <alignment horizontal="center" vertical="center" wrapText="1"/>
    </xf>
    <xf numFmtId="0" fontId="5" fillId="4" borderId="9" xfId="0" applyFont="1" applyFill="1" applyBorder="1" applyAlignment="1">
      <alignment horizontal="center" vertical="center" wrapText="1"/>
    </xf>
    <xf numFmtId="0" fontId="6" fillId="4" borderId="9" xfId="0" applyFont="1" applyFill="1" applyBorder="1" applyAlignment="1">
      <alignment horizontal="center" vertical="center" wrapText="1"/>
    </xf>
    <xf numFmtId="0" fontId="6" fillId="4" borderId="10" xfId="0" applyFont="1" applyFill="1" applyBorder="1" applyAlignment="1">
      <alignment horizontal="center" vertical="center" wrapText="1"/>
    </xf>
    <xf numFmtId="0" fontId="6" fillId="4" borderId="11" xfId="0" applyFont="1" applyFill="1" applyBorder="1" applyAlignment="1">
      <alignment horizontal="center" vertical="center" wrapText="1"/>
    </xf>
    <xf numFmtId="0" fontId="7" fillId="3" borderId="12" xfId="0" applyFont="1" applyFill="1" applyBorder="1" applyAlignment="1">
      <alignment horizontal="center" vertical="center" wrapText="1"/>
    </xf>
    <xf numFmtId="0" fontId="7" fillId="3" borderId="13" xfId="0" applyFont="1" applyFill="1" applyBorder="1" applyAlignment="1">
      <alignment horizontal="center" vertical="center" wrapText="1"/>
    </xf>
    <xf numFmtId="0" fontId="7" fillId="5" borderId="13" xfId="0" applyFont="1" applyFill="1" applyBorder="1" applyAlignment="1">
      <alignment horizontal="center" vertical="center" wrapText="1"/>
    </xf>
    <xf numFmtId="0" fontId="7" fillId="3" borderId="14" xfId="0" applyFont="1" applyFill="1" applyBorder="1" applyAlignment="1">
      <alignment horizontal="center" vertical="center" wrapText="1"/>
    </xf>
    <xf numFmtId="9" fontId="7" fillId="3" borderId="15" xfId="0" applyNumberFormat="1" applyFont="1" applyFill="1" applyBorder="1" applyAlignment="1">
      <alignment horizontal="center" vertical="center" wrapText="1"/>
    </xf>
    <xf numFmtId="0" fontId="7" fillId="3" borderId="15" xfId="0" applyFont="1" applyFill="1" applyBorder="1" applyAlignment="1">
      <alignment horizontal="center" vertical="center" wrapText="1"/>
    </xf>
    <xf numFmtId="0" fontId="7" fillId="3" borderId="16" xfId="0" applyFont="1" applyFill="1" applyBorder="1" applyAlignment="1">
      <alignment horizontal="center" vertical="center" wrapText="1"/>
    </xf>
    <xf numFmtId="0" fontId="7" fillId="3" borderId="17" xfId="0" applyFont="1" applyFill="1" applyBorder="1" applyAlignment="1">
      <alignment horizontal="center" vertical="center" wrapText="1"/>
    </xf>
    <xf numFmtId="0" fontId="7" fillId="5" borderId="17" xfId="0" applyFont="1" applyFill="1" applyBorder="1" applyAlignment="1">
      <alignment horizontal="center" vertical="center" wrapText="1"/>
    </xf>
    <xf numFmtId="0" fontId="7" fillId="3" borderId="18" xfId="0" applyFont="1" applyFill="1" applyBorder="1" applyAlignment="1">
      <alignment horizontal="center" vertical="center" wrapText="1"/>
    </xf>
    <xf numFmtId="9" fontId="7" fillId="3" borderId="19" xfId="0" applyNumberFormat="1" applyFont="1" applyFill="1" applyBorder="1" applyAlignment="1">
      <alignment horizontal="center" vertical="center" wrapText="1"/>
    </xf>
    <xf numFmtId="0" fontId="7" fillId="3" borderId="19" xfId="0" applyFont="1" applyFill="1" applyBorder="1" applyAlignment="1">
      <alignment horizontal="center" vertical="center" wrapText="1"/>
    </xf>
    <xf numFmtId="0" fontId="7" fillId="3" borderId="20" xfId="0" applyFont="1" applyFill="1" applyBorder="1" applyAlignment="1">
      <alignment horizontal="center" vertical="center" wrapText="1"/>
    </xf>
    <xf numFmtId="0" fontId="7" fillId="3" borderId="21" xfId="0" applyFont="1" applyFill="1" applyBorder="1" applyAlignment="1">
      <alignment horizontal="center" vertical="center" wrapText="1"/>
    </xf>
    <xf numFmtId="0" fontId="7" fillId="5" borderId="21" xfId="0" applyFont="1" applyFill="1" applyBorder="1" applyAlignment="1">
      <alignment horizontal="center" vertical="center" wrapText="1"/>
    </xf>
    <xf numFmtId="0" fontId="7" fillId="3" borderId="22" xfId="0" applyFont="1" applyFill="1" applyBorder="1" applyAlignment="1">
      <alignment horizontal="center" vertical="center" wrapText="1"/>
    </xf>
    <xf numFmtId="9" fontId="7" fillId="3" borderId="21" xfId="0" applyNumberFormat="1" applyFont="1" applyFill="1" applyBorder="1" applyAlignment="1">
      <alignment horizontal="center" vertical="center" wrapText="1"/>
    </xf>
    <xf numFmtId="0" fontId="7" fillId="3" borderId="23" xfId="0" applyFont="1" applyFill="1" applyBorder="1" applyAlignment="1">
      <alignment horizontal="center" vertical="center" wrapText="1"/>
    </xf>
    <xf numFmtId="0" fontId="7" fillId="3" borderId="24" xfId="0" applyFont="1" applyFill="1" applyBorder="1" applyAlignment="1">
      <alignment horizontal="center" vertical="center" wrapText="1"/>
    </xf>
    <xf numFmtId="0" fontId="7" fillId="3" borderId="25" xfId="0" applyFont="1" applyFill="1" applyBorder="1" applyAlignment="1">
      <alignment horizontal="center" vertical="center" wrapText="1"/>
    </xf>
    <xf numFmtId="0" fontId="7" fillId="5" borderId="25" xfId="0" applyFont="1" applyFill="1" applyBorder="1" applyAlignment="1">
      <alignment horizontal="center" vertical="center" wrapText="1"/>
    </xf>
    <xf numFmtId="0" fontId="7" fillId="3" borderId="26" xfId="0" applyFont="1" applyFill="1" applyBorder="1" applyAlignment="1">
      <alignment horizontal="center" vertical="center" wrapText="1"/>
    </xf>
    <xf numFmtId="9" fontId="7" fillId="3" borderId="27" xfId="0" applyNumberFormat="1" applyFont="1" applyFill="1" applyBorder="1" applyAlignment="1">
      <alignment horizontal="center" vertical="center" wrapText="1"/>
    </xf>
    <xf numFmtId="0" fontId="7" fillId="3" borderId="27" xfId="0" applyFont="1" applyFill="1" applyBorder="1" applyAlignment="1">
      <alignment horizontal="center" vertical="center" wrapText="1"/>
    </xf>
    <xf numFmtId="0" fontId="7" fillId="6" borderId="13" xfId="0" applyFont="1" applyFill="1" applyBorder="1" applyAlignment="1">
      <alignment horizontal="center" vertical="center" wrapText="1"/>
    </xf>
    <xf numFmtId="0" fontId="7" fillId="6" borderId="17" xfId="0" applyFont="1" applyFill="1" applyBorder="1" applyAlignment="1">
      <alignment horizontal="center" vertical="center" wrapText="1"/>
    </xf>
    <xf numFmtId="0" fontId="7" fillId="3" borderId="28" xfId="0" applyFont="1" applyFill="1" applyBorder="1" applyAlignment="1">
      <alignment horizontal="center" vertical="center" wrapText="1"/>
    </xf>
    <xf numFmtId="0" fontId="7" fillId="3" borderId="29" xfId="0" applyFont="1" applyFill="1" applyBorder="1" applyAlignment="1">
      <alignment horizontal="center" vertical="center" wrapText="1"/>
    </xf>
    <xf numFmtId="0" fontId="7" fillId="6" borderId="29" xfId="0" applyFont="1" applyFill="1" applyBorder="1" applyAlignment="1">
      <alignment horizontal="center" vertical="center" wrapText="1"/>
    </xf>
    <xf numFmtId="0" fontId="7" fillId="3" borderId="30" xfId="0" applyFont="1" applyFill="1" applyBorder="1" applyAlignment="1">
      <alignment horizontal="center" vertical="center" wrapText="1"/>
    </xf>
    <xf numFmtId="9" fontId="7" fillId="3" borderId="31" xfId="0" applyNumberFormat="1" applyFont="1" applyFill="1" applyBorder="1" applyAlignment="1">
      <alignment horizontal="center" vertical="center" wrapText="1"/>
    </xf>
    <xf numFmtId="0" fontId="7" fillId="3" borderId="31" xfId="0" applyFont="1" applyFill="1" applyBorder="1" applyAlignment="1">
      <alignment horizontal="center" vertical="center" wrapText="1"/>
    </xf>
    <xf numFmtId="0" fontId="7" fillId="3" borderId="32" xfId="0" applyFont="1" applyFill="1" applyBorder="1" applyAlignment="1">
      <alignment horizontal="center" vertical="center" wrapText="1"/>
    </xf>
    <xf numFmtId="0" fontId="7" fillId="3" borderId="33" xfId="0" applyFont="1" applyFill="1" applyBorder="1" applyAlignment="1">
      <alignment horizontal="center" vertical="center" wrapText="1"/>
    </xf>
    <xf numFmtId="0" fontId="7" fillId="6" borderId="33" xfId="0" applyFont="1" applyFill="1" applyBorder="1" applyAlignment="1">
      <alignment horizontal="center" vertical="center" wrapText="1"/>
    </xf>
    <xf numFmtId="0" fontId="7" fillId="3" borderId="10" xfId="0" applyFont="1" applyFill="1" applyBorder="1" applyAlignment="1">
      <alignment horizontal="center" vertical="center" wrapText="1"/>
    </xf>
    <xf numFmtId="9" fontId="7" fillId="3" borderId="34" xfId="0" applyNumberFormat="1" applyFont="1" applyFill="1" applyBorder="1" applyAlignment="1">
      <alignment horizontal="center" vertical="center" wrapText="1"/>
    </xf>
    <xf numFmtId="0" fontId="7" fillId="3" borderId="34" xfId="0" applyFont="1" applyFill="1" applyBorder="1" applyAlignment="1">
      <alignment horizontal="center" vertical="center" wrapText="1"/>
    </xf>
    <xf numFmtId="0" fontId="7" fillId="6" borderId="25" xfId="0" applyFont="1" applyFill="1" applyBorder="1" applyAlignment="1">
      <alignment horizontal="center" vertical="center" wrapText="1"/>
    </xf>
    <xf numFmtId="0" fontId="7" fillId="3" borderId="35" xfId="0" applyFont="1" applyFill="1" applyBorder="1" applyAlignment="1">
      <alignment horizontal="center" vertical="center" wrapText="1"/>
    </xf>
    <xf numFmtId="0" fontId="7" fillId="3" borderId="36" xfId="0" applyFont="1" applyFill="1" applyBorder="1" applyAlignment="1">
      <alignment horizontal="center" vertical="center" wrapText="1"/>
    </xf>
    <xf numFmtId="0" fontId="7" fillId="6" borderId="36" xfId="0" applyFont="1" applyFill="1" applyBorder="1" applyAlignment="1">
      <alignment horizontal="center" vertical="center" wrapText="1"/>
    </xf>
    <xf numFmtId="0" fontId="7" fillId="3" borderId="37" xfId="0" applyFont="1" applyFill="1" applyBorder="1" applyAlignment="1">
      <alignment horizontal="center" vertical="center" wrapText="1"/>
    </xf>
    <xf numFmtId="9" fontId="7" fillId="3" borderId="38" xfId="0" applyNumberFormat="1" applyFont="1" applyFill="1" applyBorder="1" applyAlignment="1">
      <alignment horizontal="center" vertical="center" wrapText="1"/>
    </xf>
    <xf numFmtId="0" fontId="7" fillId="3" borderId="38" xfId="0" applyFont="1" applyFill="1" applyBorder="1" applyAlignment="1">
      <alignment horizontal="center" vertical="center" wrapText="1"/>
    </xf>
    <xf numFmtId="0" fontId="7" fillId="3" borderId="39" xfId="0" applyFont="1" applyFill="1" applyBorder="1" applyAlignment="1">
      <alignment horizontal="center" vertical="center" wrapText="1"/>
    </xf>
    <xf numFmtId="0" fontId="7" fillId="3" borderId="40" xfId="0" applyFont="1" applyFill="1" applyBorder="1" applyAlignment="1">
      <alignment horizontal="center" vertical="center" wrapText="1"/>
    </xf>
    <xf numFmtId="0" fontId="7" fillId="6" borderId="40" xfId="0" applyFont="1" applyFill="1" applyBorder="1" applyAlignment="1">
      <alignment horizontal="center" vertical="center" wrapText="1"/>
    </xf>
    <xf numFmtId="0" fontId="7" fillId="3" borderId="41" xfId="0" applyFont="1" applyFill="1" applyBorder="1" applyAlignment="1">
      <alignment horizontal="center" vertical="center" wrapText="1"/>
    </xf>
    <xf numFmtId="9" fontId="7" fillId="3" borderId="42" xfId="0" applyNumberFormat="1" applyFont="1" applyFill="1" applyBorder="1" applyAlignment="1">
      <alignment horizontal="center" vertical="center" wrapText="1"/>
    </xf>
    <xf numFmtId="0" fontId="7" fillId="6" borderId="21" xfId="0" applyFont="1" applyFill="1" applyBorder="1" applyAlignment="1">
      <alignment horizontal="center" vertical="center" wrapText="1"/>
    </xf>
    <xf numFmtId="9" fontId="7" fillId="3" borderId="23" xfId="0" applyNumberFormat="1" applyFont="1" applyFill="1" applyBorder="1" applyAlignment="1">
      <alignment horizontal="center" vertical="center" wrapText="1"/>
    </xf>
    <xf numFmtId="0" fontId="7" fillId="3" borderId="43" xfId="0" applyFont="1" applyFill="1" applyBorder="1" applyAlignment="1">
      <alignment horizontal="center" vertical="center" wrapText="1"/>
    </xf>
    <xf numFmtId="0" fontId="7" fillId="3" borderId="3" xfId="0" applyFont="1" applyFill="1" applyBorder="1" applyAlignment="1">
      <alignment horizontal="center" vertical="center" wrapText="1"/>
    </xf>
    <xf numFmtId="0" fontId="7" fillId="7" borderId="3" xfId="0" applyFont="1" applyFill="1" applyBorder="1" applyAlignment="1">
      <alignment horizontal="center" vertical="center" wrapText="1"/>
    </xf>
    <xf numFmtId="0" fontId="7" fillId="3" borderId="4" xfId="0" applyFont="1" applyFill="1" applyBorder="1" applyAlignment="1">
      <alignment horizontal="center" vertical="center" wrapText="1"/>
    </xf>
    <xf numFmtId="0" fontId="7" fillId="3" borderId="5" xfId="0" applyFont="1" applyFill="1" applyBorder="1" applyAlignment="1">
      <alignment horizontal="center" vertical="center" wrapText="1"/>
    </xf>
    <xf numFmtId="0" fontId="7" fillId="7" borderId="13" xfId="0" applyFont="1" applyFill="1" applyBorder="1" applyAlignment="1">
      <alignment horizontal="center" vertical="center" wrapText="1"/>
    </xf>
    <xf numFmtId="0" fontId="7" fillId="7" borderId="17" xfId="0" applyFont="1" applyFill="1" applyBorder="1" applyAlignment="1">
      <alignment horizontal="center" vertical="center" wrapText="1"/>
    </xf>
    <xf numFmtId="0" fontId="7" fillId="7" borderId="21" xfId="0" applyFont="1" applyFill="1" applyBorder="1" applyAlignment="1">
      <alignment horizontal="center" vertical="center" wrapText="1"/>
    </xf>
    <xf numFmtId="9" fontId="7" fillId="3" borderId="13" xfId="0" applyNumberFormat="1" applyFont="1" applyFill="1" applyBorder="1" applyAlignment="1">
      <alignment horizontal="center" vertical="center" wrapText="1"/>
    </xf>
    <xf numFmtId="9" fontId="7" fillId="3" borderId="17" xfId="0" applyNumberFormat="1" applyFont="1" applyFill="1" applyBorder="1" applyAlignment="1">
      <alignment horizontal="center" vertical="center" wrapText="1"/>
    </xf>
    <xf numFmtId="0" fontId="7" fillId="7" borderId="29" xfId="0" applyFont="1" applyFill="1" applyBorder="1" applyAlignment="1">
      <alignment horizontal="center" vertical="center" wrapText="1"/>
    </xf>
    <xf numFmtId="0" fontId="7" fillId="7" borderId="36" xfId="0" applyFont="1" applyFill="1" applyBorder="1" applyAlignment="1">
      <alignment horizontal="center" vertical="center" wrapText="1"/>
    </xf>
    <xf numFmtId="0" fontId="7" fillId="8" borderId="3" xfId="0" applyFont="1" applyFill="1" applyBorder="1" applyAlignment="1">
      <alignment horizontal="center" vertical="center" wrapText="1"/>
    </xf>
    <xf numFmtId="9" fontId="7" fillId="3" borderId="5" xfId="0" applyNumberFormat="1" applyFont="1" applyFill="1" applyBorder="1" applyAlignment="1">
      <alignment horizontal="center" vertical="center" wrapText="1"/>
    </xf>
    <xf numFmtId="0" fontId="9" fillId="3" borderId="47" xfId="0" applyFont="1" applyFill="1" applyBorder="1" applyAlignment="1">
      <alignment wrapText="1"/>
    </xf>
    <xf numFmtId="0" fontId="9" fillId="3" borderId="47" xfId="0" applyFont="1" applyFill="1" applyBorder="1" applyAlignment="1">
      <alignment horizontal="center"/>
    </xf>
    <xf numFmtId="0" fontId="9" fillId="3" borderId="7" xfId="0" applyFont="1" applyFill="1" applyBorder="1" applyAlignment="1">
      <alignment horizontal="center"/>
    </xf>
    <xf numFmtId="0" fontId="9" fillId="3" borderId="7" xfId="0" applyFont="1" applyFill="1" applyBorder="1" applyAlignment="1">
      <alignment wrapText="1"/>
    </xf>
    <xf numFmtId="0" fontId="4" fillId="3" borderId="7" xfId="0" applyFont="1" applyFill="1" applyBorder="1" applyAlignment="1">
      <alignment horizontal="center"/>
    </xf>
    <xf numFmtId="0" fontId="4" fillId="3" borderId="7" xfId="0" applyFont="1" applyFill="1" applyBorder="1" applyAlignment="1">
      <alignment wrapText="1"/>
    </xf>
    <xf numFmtId="0" fontId="10" fillId="4" borderId="8" xfId="0" applyFont="1" applyFill="1" applyBorder="1" applyAlignment="1">
      <alignment horizontal="center" vertical="center" wrapText="1"/>
    </xf>
    <xf numFmtId="0" fontId="10" fillId="4" borderId="9" xfId="0" applyFont="1" applyFill="1" applyBorder="1" applyAlignment="1">
      <alignment horizontal="center" vertical="center" wrapText="1"/>
    </xf>
    <xf numFmtId="0" fontId="11" fillId="4" borderId="48" xfId="0" applyFont="1" applyFill="1" applyBorder="1" applyAlignment="1">
      <alignment horizontal="center" vertical="center" wrapText="1"/>
    </xf>
    <xf numFmtId="0" fontId="4" fillId="3" borderId="49" xfId="0" applyFont="1" applyFill="1" applyBorder="1"/>
    <xf numFmtId="0" fontId="4" fillId="3" borderId="12" xfId="0" applyFont="1" applyFill="1" applyBorder="1" applyAlignment="1">
      <alignment horizontal="center" vertical="center" wrapText="1"/>
    </xf>
    <xf numFmtId="0" fontId="4" fillId="5" borderId="13" xfId="0" applyFont="1" applyFill="1" applyBorder="1" applyAlignment="1">
      <alignment horizontal="center" vertical="center" wrapText="1"/>
    </xf>
    <xf numFmtId="0" fontId="4" fillId="9" borderId="50" xfId="0" applyFont="1" applyFill="1" applyBorder="1" applyAlignment="1">
      <alignment horizontal="left" vertical="center" wrapText="1"/>
    </xf>
    <xf numFmtId="0" fontId="4" fillId="3" borderId="16" xfId="0" applyFont="1" applyFill="1" applyBorder="1" applyAlignment="1">
      <alignment horizontal="center" vertical="center" wrapText="1"/>
    </xf>
    <xf numFmtId="0" fontId="4" fillId="5" borderId="17" xfId="0" applyFont="1" applyFill="1" applyBorder="1" applyAlignment="1">
      <alignment horizontal="center" vertical="center" wrapText="1"/>
    </xf>
    <xf numFmtId="0" fontId="4" fillId="9" borderId="51" xfId="0" applyFont="1" applyFill="1" applyBorder="1" applyAlignment="1">
      <alignment horizontal="left" vertical="center" wrapText="1"/>
    </xf>
    <xf numFmtId="0" fontId="4" fillId="3" borderId="20" xfId="0" applyFont="1" applyFill="1" applyBorder="1" applyAlignment="1">
      <alignment horizontal="center" vertical="center" wrapText="1"/>
    </xf>
    <xf numFmtId="0" fontId="4" fillId="5" borderId="21" xfId="0" applyFont="1" applyFill="1" applyBorder="1" applyAlignment="1">
      <alignment horizontal="center" vertical="center" wrapText="1"/>
    </xf>
    <xf numFmtId="0" fontId="4" fillId="9" borderId="52" xfId="0" applyFont="1" applyFill="1" applyBorder="1" applyAlignment="1">
      <alignment horizontal="left" vertical="center" wrapText="1"/>
    </xf>
    <xf numFmtId="0" fontId="4" fillId="6" borderId="13" xfId="0" applyFont="1" applyFill="1" applyBorder="1" applyAlignment="1">
      <alignment horizontal="center" vertical="center" wrapText="1"/>
    </xf>
    <xf numFmtId="0" fontId="4" fillId="6" borderId="17" xfId="0" applyFont="1" applyFill="1" applyBorder="1" applyAlignment="1">
      <alignment horizontal="center" vertical="center" wrapText="1"/>
    </xf>
    <xf numFmtId="0" fontId="4" fillId="6" borderId="21" xfId="0" applyFont="1" applyFill="1" applyBorder="1" applyAlignment="1">
      <alignment horizontal="center" vertical="center" wrapText="1"/>
    </xf>
    <xf numFmtId="0" fontId="4" fillId="3" borderId="43" xfId="0" applyFont="1" applyFill="1" applyBorder="1" applyAlignment="1">
      <alignment horizontal="center" vertical="center" wrapText="1"/>
    </xf>
    <xf numFmtId="0" fontId="4" fillId="7" borderId="3" xfId="0" applyFont="1" applyFill="1" applyBorder="1" applyAlignment="1">
      <alignment horizontal="center" vertical="center" wrapText="1"/>
    </xf>
    <xf numFmtId="0" fontId="4" fillId="9" borderId="53" xfId="0" applyFont="1" applyFill="1" applyBorder="1" applyAlignment="1">
      <alignment horizontal="left" vertical="center" wrapText="1"/>
    </xf>
    <xf numFmtId="0" fontId="4" fillId="7" borderId="13" xfId="0" applyFont="1" applyFill="1" applyBorder="1" applyAlignment="1">
      <alignment horizontal="center" vertical="center" wrapText="1"/>
    </xf>
    <xf numFmtId="0" fontId="4" fillId="7" borderId="17" xfId="0" applyFont="1" applyFill="1" applyBorder="1" applyAlignment="1">
      <alignment horizontal="center" vertical="center" wrapText="1"/>
    </xf>
    <xf numFmtId="0" fontId="4" fillId="7" borderId="21" xfId="0" applyFont="1" applyFill="1" applyBorder="1" applyAlignment="1">
      <alignment horizontal="center" vertical="center" wrapText="1"/>
    </xf>
    <xf numFmtId="0" fontId="4" fillId="3" borderId="47" xfId="0" applyFont="1" applyFill="1" applyBorder="1" applyAlignment="1">
      <alignment horizontal="center"/>
    </xf>
    <xf numFmtId="0" fontId="13" fillId="2" borderId="54" xfId="0" applyFont="1" applyFill="1" applyBorder="1" applyAlignment="1">
      <alignment horizontal="left" vertical="top" wrapText="1"/>
    </xf>
    <xf numFmtId="0" fontId="7" fillId="3" borderId="15" xfId="0" applyFont="1" applyFill="1" applyBorder="1" applyAlignment="1">
      <alignment horizontal="left" vertical="center" wrapText="1"/>
    </xf>
    <xf numFmtId="0" fontId="7" fillId="5" borderId="50" xfId="0" applyFont="1" applyFill="1" applyBorder="1" applyAlignment="1">
      <alignment horizontal="center" vertical="center" wrapText="1"/>
    </xf>
    <xf numFmtId="4" fontId="7" fillId="3" borderId="50" xfId="0" applyNumberFormat="1" applyFont="1" applyFill="1" applyBorder="1" applyAlignment="1">
      <alignment horizontal="center" vertical="center" wrapText="1"/>
    </xf>
    <xf numFmtId="4" fontId="7" fillId="3" borderId="12" xfId="0" applyNumberFormat="1" applyFont="1" applyFill="1" applyBorder="1" applyAlignment="1">
      <alignment horizontal="center" vertical="center" wrapText="1"/>
    </xf>
    <xf numFmtId="0" fontId="7" fillId="3" borderId="50" xfId="0" applyFont="1" applyFill="1" applyBorder="1" applyAlignment="1">
      <alignment horizontal="center" vertical="center" wrapText="1"/>
    </xf>
    <xf numFmtId="0" fontId="7" fillId="3" borderId="19" xfId="0" applyFont="1" applyFill="1" applyBorder="1" applyAlignment="1">
      <alignment horizontal="left" vertical="center" wrapText="1"/>
    </xf>
    <xf numFmtId="0" fontId="7" fillId="5" borderId="51" xfId="0" applyFont="1" applyFill="1" applyBorder="1" applyAlignment="1">
      <alignment horizontal="center" vertical="center" wrapText="1"/>
    </xf>
    <xf numFmtId="4" fontId="7" fillId="3" borderId="51" xfId="0" applyNumberFormat="1" applyFont="1" applyFill="1" applyBorder="1" applyAlignment="1">
      <alignment horizontal="center" vertical="center" wrapText="1"/>
    </xf>
    <xf numFmtId="4" fontId="7" fillId="3" borderId="16" xfId="0" applyNumberFormat="1" applyFont="1" applyFill="1" applyBorder="1" applyAlignment="1">
      <alignment horizontal="center" vertical="center" wrapText="1"/>
    </xf>
    <xf numFmtId="0" fontId="7" fillId="3" borderId="51" xfId="0" applyFont="1" applyFill="1" applyBorder="1" applyAlignment="1">
      <alignment horizontal="center" vertical="center" wrapText="1"/>
    </xf>
    <xf numFmtId="0" fontId="7" fillId="3" borderId="23" xfId="0" applyFont="1" applyFill="1" applyBorder="1" applyAlignment="1">
      <alignment horizontal="left" vertical="center" wrapText="1"/>
    </xf>
    <xf numFmtId="0" fontId="7" fillId="5" borderId="52" xfId="0" applyFont="1" applyFill="1" applyBorder="1" applyAlignment="1">
      <alignment horizontal="center" vertical="center" wrapText="1"/>
    </xf>
    <xf numFmtId="4" fontId="7" fillId="3" borderId="52" xfId="0" applyNumberFormat="1" applyFont="1" applyFill="1" applyBorder="1" applyAlignment="1">
      <alignment horizontal="center" vertical="center" wrapText="1"/>
    </xf>
    <xf numFmtId="4" fontId="7" fillId="3" borderId="20" xfId="0" applyNumberFormat="1" applyFont="1" applyFill="1" applyBorder="1" applyAlignment="1">
      <alignment horizontal="center" vertical="center" wrapText="1"/>
    </xf>
    <xf numFmtId="0" fontId="7" fillId="3" borderId="52" xfId="0" applyFont="1" applyFill="1" applyBorder="1" applyAlignment="1">
      <alignment horizontal="center" vertical="center" wrapText="1"/>
    </xf>
    <xf numFmtId="0" fontId="7" fillId="3" borderId="27" xfId="0" applyFont="1" applyFill="1" applyBorder="1" applyAlignment="1">
      <alignment horizontal="left" vertical="center" wrapText="1"/>
    </xf>
    <xf numFmtId="0" fontId="7" fillId="5" borderId="57" xfId="0" applyFont="1" applyFill="1" applyBorder="1" applyAlignment="1">
      <alignment horizontal="center" vertical="center" wrapText="1"/>
    </xf>
    <xf numFmtId="0" fontId="7" fillId="6" borderId="50" xfId="0" applyFont="1" applyFill="1" applyBorder="1" applyAlignment="1">
      <alignment horizontal="center" vertical="center" wrapText="1"/>
    </xf>
    <xf numFmtId="0" fontId="7" fillId="6" borderId="51" xfId="0" applyFont="1" applyFill="1" applyBorder="1" applyAlignment="1">
      <alignment horizontal="center" vertical="center" wrapText="1"/>
    </xf>
    <xf numFmtId="0" fontId="7" fillId="6" borderId="52" xfId="0" applyFont="1" applyFill="1" applyBorder="1" applyAlignment="1">
      <alignment horizontal="center" vertical="center" wrapText="1"/>
    </xf>
    <xf numFmtId="0" fontId="7" fillId="3" borderId="5" xfId="0" applyFont="1" applyFill="1" applyBorder="1" applyAlignment="1">
      <alignment horizontal="left" vertical="center" wrapText="1"/>
    </xf>
    <xf numFmtId="0" fontId="7" fillId="7" borderId="53" xfId="0" applyFont="1" applyFill="1" applyBorder="1" applyAlignment="1">
      <alignment horizontal="center" vertical="center" wrapText="1"/>
    </xf>
    <xf numFmtId="4" fontId="7" fillId="3" borderId="53" xfId="0" applyNumberFormat="1" applyFont="1" applyFill="1" applyBorder="1" applyAlignment="1">
      <alignment horizontal="center" vertical="center" wrapText="1"/>
    </xf>
    <xf numFmtId="4" fontId="7" fillId="3" borderId="43" xfId="0" applyNumberFormat="1" applyFont="1" applyFill="1" applyBorder="1" applyAlignment="1">
      <alignment horizontal="center" vertical="center" wrapText="1"/>
    </xf>
    <xf numFmtId="0" fontId="7" fillId="3" borderId="53" xfId="0" applyFont="1" applyFill="1" applyBorder="1" applyAlignment="1">
      <alignment horizontal="center" vertical="center" wrapText="1"/>
    </xf>
    <xf numFmtId="0" fontId="7" fillId="7" borderId="50" xfId="0" applyFont="1" applyFill="1" applyBorder="1" applyAlignment="1">
      <alignment horizontal="center" vertical="center" wrapText="1"/>
    </xf>
    <xf numFmtId="0" fontId="7" fillId="7" borderId="51" xfId="0" applyFont="1" applyFill="1" applyBorder="1" applyAlignment="1">
      <alignment horizontal="center" vertical="center" wrapText="1"/>
    </xf>
    <xf numFmtId="0" fontId="7" fillId="7" borderId="52" xfId="0" applyFont="1" applyFill="1" applyBorder="1" applyAlignment="1">
      <alignment horizontal="center" vertical="center" wrapText="1"/>
    </xf>
    <xf numFmtId="4" fontId="7" fillId="3" borderId="58" xfId="0" applyNumberFormat="1" applyFont="1" applyFill="1" applyBorder="1" applyAlignment="1">
      <alignment horizontal="center" vertical="center" wrapText="1"/>
    </xf>
    <xf numFmtId="0" fontId="7" fillId="3" borderId="31" xfId="0" applyFont="1" applyFill="1" applyBorder="1" applyAlignment="1">
      <alignment horizontal="left" vertical="center" wrapText="1"/>
    </xf>
    <xf numFmtId="0" fontId="7" fillId="7" borderId="59" xfId="0" applyFont="1" applyFill="1" applyBorder="1" applyAlignment="1">
      <alignment horizontal="center" vertical="center" wrapText="1"/>
    </xf>
    <xf numFmtId="4" fontId="7" fillId="3" borderId="59" xfId="0" applyNumberFormat="1" applyFont="1" applyFill="1" applyBorder="1" applyAlignment="1">
      <alignment horizontal="center" vertical="center" wrapText="1"/>
    </xf>
    <xf numFmtId="4" fontId="7" fillId="3" borderId="28" xfId="0" applyNumberFormat="1" applyFont="1" applyFill="1" applyBorder="1" applyAlignment="1">
      <alignment horizontal="center" vertical="center" wrapText="1"/>
    </xf>
    <xf numFmtId="0" fontId="7" fillId="3" borderId="59" xfId="0" applyFont="1" applyFill="1" applyBorder="1" applyAlignment="1">
      <alignment horizontal="center" vertical="center" wrapText="1"/>
    </xf>
    <xf numFmtId="0" fontId="7" fillId="3" borderId="50" xfId="0" applyFont="1" applyFill="1" applyBorder="1" applyAlignment="1">
      <alignment horizontal="left" vertical="center" wrapText="1"/>
    </xf>
    <xf numFmtId="0" fontId="7" fillId="7" borderId="58" xfId="0" applyFont="1" applyFill="1" applyBorder="1" applyAlignment="1">
      <alignment horizontal="center" vertical="center" wrapText="1"/>
    </xf>
    <xf numFmtId="0" fontId="7" fillId="3" borderId="60" xfId="0" applyFont="1" applyFill="1" applyBorder="1" applyAlignment="1">
      <alignment horizontal="center" vertical="center" wrapText="1"/>
    </xf>
    <xf numFmtId="0" fontId="7" fillId="3" borderId="51" xfId="0" applyFont="1" applyFill="1" applyBorder="1" applyAlignment="1">
      <alignment horizontal="left" vertical="center" wrapText="1"/>
    </xf>
    <xf numFmtId="0" fontId="7" fillId="7" borderId="61" xfId="0" applyFont="1" applyFill="1" applyBorder="1" applyAlignment="1">
      <alignment horizontal="center" vertical="center" wrapText="1"/>
    </xf>
    <xf numFmtId="0" fontId="7" fillId="3" borderId="62" xfId="0" applyFont="1" applyFill="1" applyBorder="1" applyAlignment="1">
      <alignment horizontal="center" vertical="center" wrapText="1"/>
    </xf>
    <xf numFmtId="0" fontId="7" fillId="3" borderId="59" xfId="0" applyFont="1" applyFill="1" applyBorder="1" applyAlignment="1">
      <alignment horizontal="left" vertical="center" wrapText="1"/>
    </xf>
    <xf numFmtId="0" fontId="7" fillId="7" borderId="63" xfId="0" applyFont="1" applyFill="1" applyBorder="1" applyAlignment="1">
      <alignment horizontal="center" vertical="center" wrapText="1"/>
    </xf>
    <xf numFmtId="0" fontId="7" fillId="3" borderId="64" xfId="0" applyFont="1" applyFill="1" applyBorder="1" applyAlignment="1">
      <alignment horizontal="center" vertical="center" wrapText="1"/>
    </xf>
    <xf numFmtId="0" fontId="7" fillId="3" borderId="65" xfId="0" applyFont="1" applyFill="1" applyBorder="1" applyAlignment="1">
      <alignment horizontal="center" vertical="center" wrapText="1"/>
    </xf>
    <xf numFmtId="0" fontId="7" fillId="3" borderId="58" xfId="0" applyFont="1" applyFill="1" applyBorder="1" applyAlignment="1">
      <alignment horizontal="left" vertical="center" wrapText="1"/>
    </xf>
    <xf numFmtId="4" fontId="7" fillId="3" borderId="66" xfId="0" applyNumberFormat="1" applyFont="1" applyFill="1" applyBorder="1" applyAlignment="1">
      <alignment horizontal="center" vertical="center" wrapText="1"/>
    </xf>
    <xf numFmtId="0" fontId="7" fillId="3" borderId="61" xfId="0" applyFont="1" applyFill="1" applyBorder="1" applyAlignment="1">
      <alignment horizontal="left" vertical="center" wrapText="1"/>
    </xf>
    <xf numFmtId="4" fontId="7" fillId="3" borderId="67" xfId="0" applyNumberFormat="1" applyFont="1" applyFill="1" applyBorder="1" applyAlignment="1">
      <alignment horizontal="center" vertical="center" wrapText="1"/>
    </xf>
    <xf numFmtId="0" fontId="7" fillId="3" borderId="68" xfId="0" applyFont="1" applyFill="1" applyBorder="1" applyAlignment="1">
      <alignment horizontal="left" vertical="center" wrapText="1"/>
    </xf>
    <xf numFmtId="4" fontId="7" fillId="3" borderId="69" xfId="0" applyNumberFormat="1" applyFont="1" applyFill="1" applyBorder="1" applyAlignment="1">
      <alignment horizontal="center" vertical="center" wrapText="1"/>
    </xf>
    <xf numFmtId="0" fontId="7" fillId="3" borderId="38" xfId="0" applyFont="1" applyFill="1" applyBorder="1" applyAlignment="1">
      <alignment horizontal="left" vertical="center" wrapText="1"/>
    </xf>
    <xf numFmtId="0" fontId="7" fillId="7" borderId="70" xfId="0" applyFont="1" applyFill="1" applyBorder="1" applyAlignment="1">
      <alignment horizontal="center" vertical="center" wrapText="1"/>
    </xf>
    <xf numFmtId="4" fontId="7" fillId="3" borderId="71" xfId="0" applyNumberFormat="1" applyFont="1" applyFill="1" applyBorder="1" applyAlignment="1">
      <alignment horizontal="center" vertical="center" wrapText="1"/>
    </xf>
    <xf numFmtId="0" fontId="7" fillId="3" borderId="72" xfId="0" applyFont="1" applyFill="1" applyBorder="1" applyAlignment="1">
      <alignment horizontal="center" vertical="center" wrapText="1"/>
    </xf>
    <xf numFmtId="0" fontId="7" fillId="7" borderId="73" xfId="0" applyFont="1" applyFill="1" applyBorder="1" applyAlignment="1">
      <alignment horizontal="center" vertical="center" wrapText="1"/>
    </xf>
    <xf numFmtId="0" fontId="14" fillId="3" borderId="44" xfId="0" applyFont="1" applyFill="1" applyBorder="1" applyAlignment="1">
      <alignment horizontal="left"/>
    </xf>
    <xf numFmtId="0" fontId="14" fillId="3" borderId="45" xfId="0" applyFont="1" applyFill="1" applyBorder="1" applyAlignment="1">
      <alignment horizontal="left"/>
    </xf>
    <xf numFmtId="0" fontId="14" fillId="3" borderId="46" xfId="0" applyFont="1" applyFill="1" applyBorder="1" applyAlignment="1">
      <alignment horizontal="left"/>
    </xf>
    <xf numFmtId="0" fontId="15" fillId="10" borderId="0" xfId="0" applyFont="1" applyFill="1" applyAlignment="1">
      <alignment horizontal="left" vertical="center"/>
    </xf>
    <xf numFmtId="0" fontId="16" fillId="10" borderId="0" xfId="0" applyFont="1" applyFill="1" applyAlignment="1">
      <alignment horizontal="left" vertical="center"/>
    </xf>
    <xf numFmtId="0" fontId="17" fillId="0" borderId="0" xfId="0" applyFont="1"/>
    <xf numFmtId="0" fontId="18" fillId="10" borderId="17" xfId="0" applyFont="1" applyFill="1" applyBorder="1" applyAlignment="1">
      <alignment horizontal="left" vertical="top" wrapText="1"/>
    </xf>
    <xf numFmtId="0" fontId="19" fillId="11" borderId="17" xfId="0" applyFont="1" applyFill="1" applyBorder="1"/>
    <xf numFmtId="0" fontId="17" fillId="0" borderId="17" xfId="0" applyFont="1" applyBorder="1"/>
    <xf numFmtId="0" fontId="17" fillId="0" borderId="0" xfId="0" applyFont="1" applyAlignment="1">
      <alignment wrapText="1"/>
    </xf>
    <xf numFmtId="0" fontId="20" fillId="11" borderId="17" xfId="0" applyFont="1" applyFill="1" applyBorder="1" applyAlignment="1">
      <alignment horizontal="left" vertical="top" wrapText="1"/>
    </xf>
    <xf numFmtId="0" fontId="21" fillId="0" borderId="17" xfId="0" applyFont="1" applyBorder="1" applyAlignment="1">
      <alignment horizontal="left" vertical="top" wrapText="1"/>
    </xf>
    <xf numFmtId="0" fontId="22" fillId="0" borderId="0" xfId="0" applyFont="1" applyAlignment="1">
      <alignment horizontal="left" vertical="top" wrapText="1"/>
    </xf>
    <xf numFmtId="164" fontId="17" fillId="0" borderId="0" xfId="0" applyNumberFormat="1" applyFont="1"/>
    <xf numFmtId="0" fontId="17" fillId="0" borderId="0" xfId="0" quotePrefix="1" applyFont="1"/>
    <xf numFmtId="0" fontId="23" fillId="8" borderId="53" xfId="0" applyFont="1" applyFill="1" applyBorder="1"/>
    <xf numFmtId="0" fontId="24" fillId="12" borderId="53" xfId="0" applyFont="1" applyFill="1" applyBorder="1" applyAlignment="1">
      <alignment wrapText="1"/>
    </xf>
    <xf numFmtId="0" fontId="4" fillId="13" borderId="53" xfId="0" applyFont="1" applyFill="1" applyBorder="1"/>
    <xf numFmtId="0" fontId="25" fillId="14" borderId="53" xfId="0" applyFont="1" applyFill="1" applyBorder="1"/>
    <xf numFmtId="0" fontId="4" fillId="0" borderId="0" xfId="0" applyFont="1"/>
    <xf numFmtId="0" fontId="3" fillId="2" borderId="5" xfId="0" applyFont="1" applyFill="1" applyBorder="1" applyAlignment="1">
      <alignment horizontal="center" vertical="center" wrapText="1"/>
    </xf>
    <xf numFmtId="0" fontId="5" fillId="4" borderId="74" xfId="0" applyFont="1" applyFill="1" applyBorder="1" applyAlignment="1">
      <alignment horizontal="center" vertical="center" wrapText="1"/>
    </xf>
    <xf numFmtId="0" fontId="5" fillId="4" borderId="75" xfId="0" applyFont="1" applyFill="1" applyBorder="1" applyAlignment="1">
      <alignment horizontal="center" vertical="center" wrapText="1"/>
    </xf>
    <xf numFmtId="0" fontId="6" fillId="4" borderId="75" xfId="0" applyFont="1" applyFill="1" applyBorder="1" applyAlignment="1">
      <alignment horizontal="center" vertical="center" wrapText="1"/>
    </xf>
    <xf numFmtId="0" fontId="6" fillId="4" borderId="76" xfId="0" applyFont="1" applyFill="1" applyBorder="1" applyAlignment="1">
      <alignment horizontal="center" vertical="center" wrapText="1"/>
    </xf>
    <xf numFmtId="0" fontId="7" fillId="3" borderId="13" xfId="0" applyFont="1" applyFill="1" applyBorder="1" applyAlignment="1">
      <alignment horizontal="left" vertical="center" wrapText="1"/>
    </xf>
    <xf numFmtId="0" fontId="7" fillId="3" borderId="17" xfId="0" applyFont="1" applyFill="1" applyBorder="1" applyAlignment="1">
      <alignment horizontal="left" vertical="center" wrapText="1"/>
    </xf>
    <xf numFmtId="0" fontId="7" fillId="3" borderId="29" xfId="0" applyFont="1" applyFill="1" applyBorder="1" applyAlignment="1">
      <alignment horizontal="left" vertical="center" wrapText="1"/>
    </xf>
    <xf numFmtId="0" fontId="7" fillId="5" borderId="29" xfId="0" applyFont="1" applyFill="1" applyBorder="1" applyAlignment="1">
      <alignment horizontal="center" vertical="center" wrapText="1"/>
    </xf>
    <xf numFmtId="9" fontId="7" fillId="3" borderId="29" xfId="0" applyNumberFormat="1" applyFont="1" applyFill="1" applyBorder="1" applyAlignment="1">
      <alignment horizontal="center" vertical="center" wrapText="1"/>
    </xf>
    <xf numFmtId="0" fontId="7" fillId="3" borderId="21" xfId="0" applyFont="1" applyFill="1" applyBorder="1" applyAlignment="1">
      <alignment horizontal="left" vertical="center" wrapText="1"/>
    </xf>
    <xf numFmtId="0" fontId="7" fillId="3" borderId="40" xfId="0" applyFont="1" applyFill="1" applyBorder="1" applyAlignment="1">
      <alignment horizontal="left" vertical="center" wrapText="1"/>
    </xf>
    <xf numFmtId="0" fontId="7" fillId="12" borderId="40" xfId="0" applyFont="1" applyFill="1" applyBorder="1" applyAlignment="1">
      <alignment horizontal="center" vertical="center" wrapText="1"/>
    </xf>
    <xf numFmtId="9" fontId="7" fillId="3" borderId="40" xfId="0" applyNumberFormat="1" applyFont="1" applyFill="1" applyBorder="1" applyAlignment="1">
      <alignment horizontal="center" vertical="center" wrapText="1"/>
    </xf>
    <xf numFmtId="0" fontId="7" fillId="12" borderId="17" xfId="0" applyFont="1" applyFill="1" applyBorder="1" applyAlignment="1">
      <alignment horizontal="center" vertical="center" wrapText="1"/>
    </xf>
    <xf numFmtId="0" fontId="7" fillId="12" borderId="21" xfId="0" applyFont="1" applyFill="1" applyBorder="1" applyAlignment="1">
      <alignment horizontal="center" vertical="center" wrapText="1"/>
    </xf>
    <xf numFmtId="0" fontId="7" fillId="3" borderId="42" xfId="0" applyFont="1" applyFill="1" applyBorder="1" applyAlignment="1">
      <alignment horizontal="center" vertical="center" wrapText="1"/>
    </xf>
    <xf numFmtId="0" fontId="7" fillId="3" borderId="25" xfId="0" applyFont="1" applyFill="1" applyBorder="1" applyAlignment="1">
      <alignment horizontal="left" vertical="center" wrapText="1"/>
    </xf>
    <xf numFmtId="0" fontId="7" fillId="12" borderId="25" xfId="0" applyFont="1" applyFill="1" applyBorder="1" applyAlignment="1">
      <alignment horizontal="center" vertical="center" wrapText="1"/>
    </xf>
    <xf numFmtId="9" fontId="7" fillId="3" borderId="25" xfId="0" applyNumberFormat="1" applyFont="1" applyFill="1" applyBorder="1" applyAlignment="1">
      <alignment horizontal="center" vertical="center" wrapText="1"/>
    </xf>
    <xf numFmtId="0" fontId="7" fillId="3" borderId="33" xfId="0" applyFont="1" applyFill="1" applyBorder="1" applyAlignment="1">
      <alignment horizontal="left" vertical="center" wrapText="1"/>
    </xf>
    <xf numFmtId="0" fontId="7" fillId="12" borderId="33" xfId="0" applyFont="1" applyFill="1" applyBorder="1" applyAlignment="1">
      <alignment horizontal="center" vertical="center" wrapText="1"/>
    </xf>
    <xf numFmtId="9" fontId="7" fillId="3" borderId="33" xfId="0" applyNumberFormat="1" applyFont="1" applyFill="1" applyBorder="1" applyAlignment="1">
      <alignment horizontal="center" vertical="center" wrapText="1"/>
    </xf>
    <xf numFmtId="0" fontId="7" fillId="3" borderId="36" xfId="0" applyFont="1" applyFill="1" applyBorder="1" applyAlignment="1">
      <alignment horizontal="left" vertical="center" wrapText="1"/>
    </xf>
    <xf numFmtId="0" fontId="7" fillId="12" borderId="36" xfId="0" applyFont="1" applyFill="1" applyBorder="1" applyAlignment="1">
      <alignment horizontal="center" vertical="center" wrapText="1"/>
    </xf>
    <xf numFmtId="9" fontId="7" fillId="3" borderId="36" xfId="0" applyNumberFormat="1" applyFont="1" applyFill="1" applyBorder="1" applyAlignment="1">
      <alignment horizontal="center" vertical="center" wrapText="1"/>
    </xf>
    <xf numFmtId="0" fontId="7" fillId="15" borderId="13" xfId="0" applyFont="1" applyFill="1" applyBorder="1" applyAlignment="1">
      <alignment horizontal="center" vertical="center" wrapText="1"/>
    </xf>
    <xf numFmtId="0" fontId="7" fillId="15" borderId="17" xfId="0" applyFont="1" applyFill="1" applyBorder="1" applyAlignment="1">
      <alignment horizontal="center" vertical="center" wrapText="1"/>
    </xf>
    <xf numFmtId="0" fontId="7" fillId="15" borderId="21" xfId="0" applyFont="1" applyFill="1" applyBorder="1" applyAlignment="1">
      <alignment horizontal="center" vertical="center" wrapText="1"/>
    </xf>
    <xf numFmtId="0" fontId="7" fillId="15" borderId="29" xfId="0" applyFont="1" applyFill="1" applyBorder="1" applyAlignment="1">
      <alignment horizontal="center" vertical="center" wrapText="1"/>
    </xf>
    <xf numFmtId="0" fontId="7" fillId="15" borderId="36" xfId="0" applyFont="1" applyFill="1" applyBorder="1" applyAlignment="1">
      <alignment horizontal="center" vertical="center" wrapText="1"/>
    </xf>
    <xf numFmtId="0" fontId="7" fillId="3" borderId="9" xfId="0" applyFont="1" applyFill="1" applyBorder="1" applyAlignment="1">
      <alignment wrapText="1"/>
    </xf>
    <xf numFmtId="0" fontId="7" fillId="15" borderId="9" xfId="0" applyFont="1" applyFill="1" applyBorder="1" applyAlignment="1">
      <alignment horizontal="center"/>
    </xf>
    <xf numFmtId="0" fontId="7" fillId="3" borderId="9" xfId="0" applyFont="1" applyFill="1" applyBorder="1" applyAlignment="1">
      <alignment horizontal="center"/>
    </xf>
    <xf numFmtId="9" fontId="7" fillId="3" borderId="9" xfId="0" applyNumberFormat="1" applyFont="1" applyFill="1" applyBorder="1" applyAlignment="1">
      <alignment horizontal="center" wrapText="1"/>
    </xf>
    <xf numFmtId="0" fontId="7" fillId="3" borderId="9" xfId="0" applyFont="1" applyFill="1" applyBorder="1" applyAlignment="1">
      <alignment horizontal="center" wrapText="1"/>
    </xf>
    <xf numFmtId="0" fontId="4" fillId="3" borderId="48" xfId="0" applyFont="1" applyFill="1" applyBorder="1" applyAlignment="1">
      <alignment horizontal="center" wrapText="1"/>
    </xf>
    <xf numFmtId="0" fontId="4" fillId="3" borderId="47" xfId="0" applyFont="1" applyFill="1" applyBorder="1" applyAlignment="1">
      <alignment wrapText="1"/>
    </xf>
    <xf numFmtId="0" fontId="4" fillId="3" borderId="47" xfId="0" applyFont="1" applyFill="1" applyBorder="1" applyAlignment="1">
      <alignment horizontal="center" wrapText="1"/>
    </xf>
    <xf numFmtId="0" fontId="4" fillId="3" borderId="7" xfId="0" applyFont="1" applyFill="1" applyBorder="1" applyAlignment="1">
      <alignment horizontal="center" wrapText="1"/>
    </xf>
    <xf numFmtId="0" fontId="7" fillId="3" borderId="3" xfId="0" applyFont="1" applyFill="1" applyBorder="1" applyAlignment="1">
      <alignment horizontal="left" vertical="center" wrapText="1"/>
    </xf>
    <xf numFmtId="0" fontId="7" fillId="5" borderId="3" xfId="0" applyFont="1" applyFill="1" applyBorder="1" applyAlignment="1">
      <alignment horizontal="center" vertical="center" wrapText="1"/>
    </xf>
    <xf numFmtId="0" fontId="7" fillId="3" borderId="32" xfId="0" applyFont="1" applyFill="1" applyBorder="1" applyAlignment="1">
      <alignment horizontal="left" vertical="center" wrapText="1"/>
    </xf>
    <xf numFmtId="0" fontId="7" fillId="5" borderId="10" xfId="0" applyFont="1" applyFill="1" applyBorder="1" applyAlignment="1">
      <alignment horizontal="center" vertical="center" wrapText="1"/>
    </xf>
    <xf numFmtId="0" fontId="7" fillId="3" borderId="24" xfId="0" applyFont="1" applyFill="1" applyBorder="1" applyAlignment="1">
      <alignment horizontal="left" vertical="center" wrapText="1"/>
    </xf>
    <xf numFmtId="0" fontId="7" fillId="5" borderId="26" xfId="0" applyFont="1" applyFill="1" applyBorder="1" applyAlignment="1">
      <alignment horizontal="center" vertical="center" wrapText="1"/>
    </xf>
    <xf numFmtId="0" fontId="7" fillId="3" borderId="35" xfId="0" applyFont="1" applyFill="1" applyBorder="1" applyAlignment="1">
      <alignment horizontal="left" vertical="center" wrapText="1"/>
    </xf>
    <xf numFmtId="0" fontId="7" fillId="5" borderId="37" xfId="0" applyFont="1" applyFill="1" applyBorder="1" applyAlignment="1">
      <alignment horizontal="center" vertical="center" wrapText="1"/>
    </xf>
    <xf numFmtId="0" fontId="7" fillId="3" borderId="16" xfId="0" applyFont="1" applyFill="1" applyBorder="1" applyAlignment="1">
      <alignment horizontal="center"/>
    </xf>
    <xf numFmtId="0" fontId="7" fillId="3" borderId="17" xfId="0" applyFont="1" applyFill="1" applyBorder="1" applyAlignment="1">
      <alignment wrapText="1"/>
    </xf>
    <xf numFmtId="0" fontId="7" fillId="7" borderId="17" xfId="0" applyFont="1" applyFill="1" applyBorder="1" applyAlignment="1">
      <alignment horizontal="center"/>
    </xf>
    <xf numFmtId="0" fontId="7" fillId="3" borderId="17" xfId="0" applyFont="1" applyFill="1" applyBorder="1" applyAlignment="1">
      <alignment horizontal="center"/>
    </xf>
    <xf numFmtId="9" fontId="7" fillId="3" borderId="17" xfId="0" applyNumberFormat="1" applyFont="1" applyFill="1" applyBorder="1" applyAlignment="1">
      <alignment horizontal="center" wrapText="1"/>
    </xf>
    <xf numFmtId="0" fontId="7" fillId="3" borderId="19" xfId="0" applyFont="1" applyFill="1" applyBorder="1" applyAlignment="1">
      <alignment horizontal="center" wrapText="1"/>
    </xf>
    <xf numFmtId="0" fontId="7" fillId="3" borderId="18" xfId="0" applyFont="1" applyFill="1" applyBorder="1" applyAlignment="1">
      <alignment horizontal="center" wrapText="1"/>
    </xf>
    <xf numFmtId="0" fontId="7" fillId="3" borderId="20" xfId="0" applyFont="1" applyFill="1" applyBorder="1" applyAlignment="1">
      <alignment horizontal="center"/>
    </xf>
    <xf numFmtId="0" fontId="7" fillId="3" borderId="21" xfId="0" applyFont="1" applyFill="1" applyBorder="1" applyAlignment="1">
      <alignment wrapText="1"/>
    </xf>
    <xf numFmtId="0" fontId="7" fillId="7" borderId="21" xfId="0" applyFont="1" applyFill="1" applyBorder="1" applyAlignment="1">
      <alignment horizontal="center"/>
    </xf>
    <xf numFmtId="0" fontId="7" fillId="3" borderId="21" xfId="0" applyFont="1" applyFill="1" applyBorder="1" applyAlignment="1">
      <alignment horizontal="center"/>
    </xf>
    <xf numFmtId="9" fontId="7" fillId="3" borderId="21" xfId="0" applyNumberFormat="1" applyFont="1" applyFill="1" applyBorder="1" applyAlignment="1">
      <alignment horizontal="center" wrapText="1"/>
    </xf>
    <xf numFmtId="0" fontId="7" fillId="3" borderId="23" xfId="0" applyFont="1" applyFill="1" applyBorder="1" applyAlignment="1">
      <alignment horizontal="center" wrapText="1"/>
    </xf>
    <xf numFmtId="0" fontId="7" fillId="3" borderId="22" xfId="0" applyFont="1" applyFill="1" applyBorder="1" applyAlignment="1">
      <alignment horizontal="center" wrapText="1"/>
    </xf>
    <xf numFmtId="0" fontId="7" fillId="3" borderId="12" xfId="0" applyFont="1" applyFill="1" applyBorder="1" applyAlignment="1">
      <alignment horizontal="center"/>
    </xf>
    <xf numFmtId="0" fontId="7" fillId="3" borderId="13" xfId="0" applyFont="1" applyFill="1" applyBorder="1" applyAlignment="1">
      <alignment wrapText="1"/>
    </xf>
    <xf numFmtId="0" fontId="7" fillId="7" borderId="13" xfId="0" applyFont="1" applyFill="1" applyBorder="1" applyAlignment="1">
      <alignment horizontal="center"/>
    </xf>
    <xf numFmtId="0" fontId="7" fillId="3" borderId="13" xfId="0" applyFont="1" applyFill="1" applyBorder="1" applyAlignment="1">
      <alignment horizontal="center"/>
    </xf>
    <xf numFmtId="0" fontId="7" fillId="3" borderId="13" xfId="0" applyFont="1" applyFill="1" applyBorder="1" applyAlignment="1">
      <alignment horizontal="center" wrapText="1"/>
    </xf>
    <xf numFmtId="0" fontId="7" fillId="3" borderId="15" xfId="0" applyFont="1" applyFill="1" applyBorder="1" applyAlignment="1">
      <alignment horizontal="center" wrapText="1"/>
    </xf>
    <xf numFmtId="0" fontId="7" fillId="3" borderId="14" xfId="0" applyFont="1" applyFill="1" applyBorder="1" applyAlignment="1">
      <alignment horizontal="center" wrapText="1"/>
    </xf>
    <xf numFmtId="0" fontId="7" fillId="3" borderId="17" xfId="0" applyFont="1" applyFill="1" applyBorder="1" applyAlignment="1">
      <alignment horizontal="center" wrapText="1"/>
    </xf>
    <xf numFmtId="0" fontId="7" fillId="3" borderId="21" xfId="0" applyFont="1" applyFill="1" applyBorder="1" applyAlignment="1">
      <alignment horizontal="center" wrapText="1"/>
    </xf>
    <xf numFmtId="0" fontId="7" fillId="3" borderId="39" xfId="0" applyFont="1" applyFill="1" applyBorder="1" applyAlignment="1">
      <alignment horizontal="center"/>
    </xf>
    <xf numFmtId="0" fontId="7" fillId="3" borderId="40" xfId="0" applyFont="1" applyFill="1" applyBorder="1" applyAlignment="1">
      <alignment wrapText="1"/>
    </xf>
    <xf numFmtId="0" fontId="7" fillId="7" borderId="40" xfId="0" applyFont="1" applyFill="1" applyBorder="1" applyAlignment="1">
      <alignment horizontal="center"/>
    </xf>
    <xf numFmtId="0" fontId="7" fillId="3" borderId="40" xfId="0" applyFont="1" applyFill="1" applyBorder="1" applyAlignment="1">
      <alignment horizontal="center"/>
    </xf>
    <xf numFmtId="0" fontId="7" fillId="3" borderId="40" xfId="0" applyFont="1" applyFill="1" applyBorder="1" applyAlignment="1">
      <alignment horizontal="center" wrapText="1"/>
    </xf>
    <xf numFmtId="0" fontId="7" fillId="3" borderId="42" xfId="0" applyFont="1" applyFill="1" applyBorder="1" applyAlignment="1">
      <alignment horizontal="center" wrapText="1"/>
    </xf>
    <xf numFmtId="0" fontId="7" fillId="3" borderId="41" xfId="0" applyFont="1" applyFill="1" applyBorder="1" applyAlignment="1">
      <alignment horizontal="center" wrapText="1"/>
    </xf>
    <xf numFmtId="0" fontId="7" fillId="3" borderId="28" xfId="0" applyFont="1" applyFill="1" applyBorder="1" applyAlignment="1">
      <alignment horizontal="center"/>
    </xf>
    <xf numFmtId="0" fontId="7" fillId="3" borderId="29" xfId="0" applyFont="1" applyFill="1" applyBorder="1" applyAlignment="1">
      <alignment wrapText="1"/>
    </xf>
    <xf numFmtId="0" fontId="7" fillId="7" borderId="29" xfId="0" applyFont="1" applyFill="1" applyBorder="1" applyAlignment="1">
      <alignment horizontal="center"/>
    </xf>
    <xf numFmtId="0" fontId="7" fillId="3" borderId="29" xfId="0" applyFont="1" applyFill="1" applyBorder="1" applyAlignment="1">
      <alignment horizontal="center"/>
    </xf>
    <xf numFmtId="9" fontId="7" fillId="3" borderId="29" xfId="0" applyNumberFormat="1" applyFont="1" applyFill="1" applyBorder="1" applyAlignment="1">
      <alignment horizontal="center" wrapText="1"/>
    </xf>
    <xf numFmtId="0" fontId="7" fillId="3" borderId="31" xfId="0" applyFont="1" applyFill="1" applyBorder="1" applyAlignment="1">
      <alignment horizontal="center" wrapText="1"/>
    </xf>
    <xf numFmtId="0" fontId="7" fillId="3" borderId="30" xfId="0" applyFont="1" applyFill="1" applyBorder="1" applyAlignment="1">
      <alignment horizontal="center" wrapText="1"/>
    </xf>
    <xf numFmtId="9" fontId="7" fillId="3" borderId="13" xfId="0" applyNumberFormat="1" applyFont="1" applyFill="1" applyBorder="1" applyAlignment="1">
      <alignment horizontal="center" wrapText="1"/>
    </xf>
    <xf numFmtId="0" fontId="7" fillId="3" borderId="29" xfId="0" applyFont="1" applyFill="1" applyBorder="1" applyAlignment="1">
      <alignment horizontal="center" wrapText="1"/>
    </xf>
    <xf numFmtId="0" fontId="7" fillId="3" borderId="27" xfId="0" applyFont="1" applyFill="1" applyBorder="1" applyAlignment="1">
      <alignment horizontal="center" wrapText="1"/>
    </xf>
    <xf numFmtId="9" fontId="7" fillId="3" borderId="40" xfId="0" applyNumberFormat="1" applyFont="1" applyFill="1" applyBorder="1" applyAlignment="1">
      <alignment horizontal="center" wrapText="1"/>
    </xf>
    <xf numFmtId="0" fontId="7" fillId="16" borderId="40" xfId="0" applyFont="1" applyFill="1" applyBorder="1" applyAlignment="1">
      <alignment horizontal="center"/>
    </xf>
    <xf numFmtId="0" fontId="7" fillId="16" borderId="17" xfId="0" applyFont="1" applyFill="1" applyBorder="1" applyAlignment="1">
      <alignment horizontal="center"/>
    </xf>
    <xf numFmtId="0" fontId="7" fillId="16" borderId="29" xfId="0" applyFont="1" applyFill="1" applyBorder="1" applyAlignment="1">
      <alignment horizontal="center"/>
    </xf>
    <xf numFmtId="0" fontId="7" fillId="17" borderId="13" xfId="0" applyFont="1" applyFill="1" applyBorder="1" applyAlignment="1">
      <alignment horizontal="center"/>
    </xf>
    <xf numFmtId="0" fontId="7" fillId="17" borderId="17" xfId="0" applyFont="1" applyFill="1" applyBorder="1" applyAlignment="1">
      <alignment horizontal="center"/>
    </xf>
    <xf numFmtId="0" fontId="7" fillId="17" borderId="21" xfId="0" applyFont="1" applyFill="1" applyBorder="1" applyAlignment="1">
      <alignment horizontal="center"/>
    </xf>
    <xf numFmtId="0" fontId="7" fillId="17" borderId="40" xfId="0" applyFont="1" applyFill="1" applyBorder="1" applyAlignment="1">
      <alignment horizontal="center"/>
    </xf>
    <xf numFmtId="0" fontId="7" fillId="17" borderId="29" xfId="0" applyFont="1" applyFill="1" applyBorder="1" applyAlignment="1">
      <alignment horizontal="center"/>
    </xf>
    <xf numFmtId="0" fontId="7" fillId="16" borderId="13" xfId="0" applyFont="1" applyFill="1" applyBorder="1" applyAlignment="1">
      <alignment horizontal="center"/>
    </xf>
    <xf numFmtId="0" fontId="7" fillId="16" borderId="21" xfId="0" applyFont="1" applyFill="1" applyBorder="1" applyAlignment="1">
      <alignment horizontal="center"/>
    </xf>
    <xf numFmtId="0" fontId="7" fillId="3" borderId="24" xfId="0" applyFont="1" applyFill="1" applyBorder="1" applyAlignment="1">
      <alignment horizontal="center"/>
    </xf>
    <xf numFmtId="0" fontId="7" fillId="3" borderId="25" xfId="0" applyFont="1" applyFill="1" applyBorder="1" applyAlignment="1">
      <alignment wrapText="1"/>
    </xf>
    <xf numFmtId="0" fontId="7" fillId="16" borderId="25" xfId="0" applyFont="1" applyFill="1" applyBorder="1" applyAlignment="1">
      <alignment horizontal="center"/>
    </xf>
    <xf numFmtId="0" fontId="7" fillId="3" borderId="25" xfId="0" applyFont="1" applyFill="1" applyBorder="1" applyAlignment="1">
      <alignment horizontal="center"/>
    </xf>
    <xf numFmtId="0" fontId="7" fillId="3" borderId="25" xfId="0" applyFont="1" applyFill="1" applyBorder="1" applyAlignment="1">
      <alignment horizontal="center" wrapText="1"/>
    </xf>
    <xf numFmtId="0" fontId="7" fillId="3" borderId="26" xfId="0" applyFont="1" applyFill="1" applyBorder="1" applyAlignment="1">
      <alignment horizontal="center" wrapText="1"/>
    </xf>
    <xf numFmtId="0" fontId="1" fillId="2" borderId="1" xfId="0" applyFont="1" applyFill="1" applyBorder="1" applyAlignment="1">
      <alignment horizontal="left" vertical="top" wrapText="1"/>
    </xf>
    <xf numFmtId="0" fontId="2" fillId="0" borderId="2" xfId="0" applyFont="1" applyBorder="1"/>
    <xf numFmtId="0" fontId="8" fillId="3" borderId="44" xfId="0" applyFont="1" applyFill="1" applyBorder="1" applyAlignment="1">
      <alignment horizontal="left"/>
    </xf>
    <xf numFmtId="0" fontId="2" fillId="0" borderId="45" xfId="0" applyFont="1" applyBorder="1"/>
    <xf numFmtId="0" fontId="2" fillId="0" borderId="46" xfId="0" applyFont="1" applyBorder="1"/>
    <xf numFmtId="0" fontId="12" fillId="3" borderId="44" xfId="0" applyFont="1" applyFill="1" applyBorder="1" applyAlignment="1">
      <alignment horizontal="left"/>
    </xf>
    <xf numFmtId="0" fontId="3" fillId="2" borderId="55" xfId="0" applyFont="1" applyFill="1" applyBorder="1" applyAlignment="1">
      <alignment horizontal="center" vertical="center" wrapText="1"/>
    </xf>
    <xf numFmtId="0" fontId="2" fillId="0" borderId="56" xfId="0" applyFont="1" applyBorder="1"/>
    <xf numFmtId="0" fontId="3" fillId="2" borderId="55" xfId="0" applyFont="1" applyFill="1" applyBorder="1" applyAlignment="1">
      <alignment horizontal="center" vertical="center"/>
    </xf>
    <xf numFmtId="0" fontId="7" fillId="3" borderId="27" xfId="0" applyFont="1" applyFill="1" applyBorder="1" applyAlignment="1">
      <alignment horizontal="center" wrapText="1"/>
    </xf>
    <xf numFmtId="0" fontId="2" fillId="0" borderId="27" xfId="0" applyFont="1" applyBorder="1"/>
    <xf numFmtId="0" fontId="2" fillId="0" borderId="42" xfId="0" applyFont="1" applyBorder="1"/>
    <xf numFmtId="0" fontId="3" fillId="2" borderId="33" xfId="0" applyFont="1" applyFill="1" applyBorder="1" applyAlignment="1">
      <alignment horizontal="center" vertical="center" wrapText="1"/>
    </xf>
    <xf numFmtId="0" fontId="2" fillId="0" borderId="36" xfId="0" applyFont="1" applyBorder="1"/>
  </cellXfs>
  <cellStyles count="1">
    <cellStyle name="Normal" xfId="0" builtinId="0"/>
  </cellStyles>
  <dxfs count="43">
    <dxf>
      <fill>
        <patternFill patternType="solid">
          <fgColor rgb="FFB6D7A8"/>
          <bgColor rgb="FFB6D7A8"/>
        </patternFill>
      </fill>
    </dxf>
    <dxf>
      <fill>
        <patternFill patternType="solid">
          <fgColor rgb="FFF9CB9C"/>
          <bgColor rgb="FFF9CB9C"/>
        </patternFill>
      </fill>
    </dxf>
    <dxf>
      <fill>
        <patternFill patternType="solid">
          <fgColor rgb="FF9FC5E8"/>
          <bgColor rgb="FF9FC5E8"/>
        </patternFill>
      </fill>
    </dxf>
    <dxf>
      <fill>
        <patternFill patternType="solid">
          <fgColor rgb="FF999999"/>
          <bgColor rgb="FF999999"/>
        </patternFill>
      </fill>
    </dxf>
    <dxf>
      <fill>
        <patternFill patternType="solid">
          <fgColor rgb="FF999999"/>
          <bgColor rgb="FF999999"/>
        </patternFill>
      </fill>
    </dxf>
    <dxf>
      <fill>
        <patternFill patternType="solid">
          <fgColor rgb="FFB6D7A8"/>
          <bgColor rgb="FFB6D7A8"/>
        </patternFill>
      </fill>
    </dxf>
    <dxf>
      <fill>
        <patternFill patternType="solid">
          <fgColor rgb="FFF9CB9C"/>
          <bgColor rgb="FFF9CB9C"/>
        </patternFill>
      </fill>
    </dxf>
    <dxf>
      <fill>
        <patternFill patternType="solid">
          <fgColor rgb="FF9FC5E8"/>
          <bgColor rgb="FF9FC5E8"/>
        </patternFill>
      </fill>
    </dxf>
    <dxf>
      <fill>
        <patternFill patternType="solid">
          <fgColor rgb="FF999999"/>
          <bgColor rgb="FF999999"/>
        </patternFill>
      </fill>
    </dxf>
    <dxf>
      <fill>
        <patternFill patternType="solid">
          <fgColor rgb="FF999999"/>
          <bgColor rgb="FF999999"/>
        </patternFill>
      </fill>
    </dxf>
    <dxf>
      <fill>
        <patternFill patternType="solid">
          <fgColor rgb="FFEA9999"/>
          <bgColor rgb="FFEA9999"/>
        </patternFill>
      </fill>
    </dxf>
    <dxf>
      <fill>
        <patternFill patternType="solid">
          <fgColor rgb="FF999999"/>
          <bgColor rgb="FF999999"/>
        </patternFill>
      </fill>
    </dxf>
    <dxf>
      <fill>
        <patternFill patternType="solid">
          <fgColor rgb="FFB6D7A8"/>
          <bgColor rgb="FFB6D7A8"/>
        </patternFill>
      </fill>
    </dxf>
    <dxf>
      <fill>
        <patternFill patternType="solid">
          <fgColor rgb="FFF9CB9C"/>
          <bgColor rgb="FFF9CB9C"/>
        </patternFill>
      </fill>
    </dxf>
    <dxf>
      <fill>
        <patternFill patternType="solid">
          <fgColor rgb="FF9FC5E8"/>
          <bgColor rgb="FF9FC5E8"/>
        </patternFill>
      </fill>
    </dxf>
    <dxf>
      <fill>
        <patternFill patternType="solid">
          <fgColor rgb="FF999999"/>
          <bgColor rgb="FF999999"/>
        </patternFill>
      </fill>
    </dxf>
    <dxf>
      <fill>
        <patternFill patternType="solid">
          <fgColor rgb="FF999999"/>
          <bgColor rgb="FF999999"/>
        </patternFill>
      </fill>
    </dxf>
    <dxf>
      <fill>
        <patternFill patternType="solid">
          <fgColor rgb="FFEA9999"/>
          <bgColor rgb="FFEA9999"/>
        </patternFill>
      </fill>
    </dxf>
    <dxf>
      <fill>
        <patternFill patternType="solid">
          <fgColor rgb="FF999999"/>
          <bgColor rgb="FF999999"/>
        </patternFill>
      </fill>
    </dxf>
    <dxf>
      <fill>
        <patternFill patternType="solid">
          <fgColor rgb="FFE6B8AF"/>
          <bgColor rgb="FFE6B8AF"/>
        </patternFill>
      </fill>
    </dxf>
    <dxf>
      <fill>
        <patternFill patternType="solid">
          <fgColor rgb="FFB7E1CD"/>
          <bgColor rgb="FFB7E1CD"/>
        </patternFill>
      </fill>
    </dxf>
    <dxf>
      <fill>
        <patternFill patternType="solid">
          <fgColor rgb="FFD5A6BD"/>
          <bgColor rgb="FFD5A6BD"/>
        </patternFill>
      </fill>
    </dxf>
    <dxf>
      <fill>
        <patternFill patternType="solid">
          <fgColor rgb="FFEAD1DC"/>
          <bgColor rgb="FFEAD1DC"/>
        </patternFill>
      </fill>
    </dxf>
    <dxf>
      <fill>
        <patternFill patternType="solid">
          <fgColor rgb="FFB7E1CD"/>
          <bgColor rgb="FFB7E1CD"/>
        </patternFill>
      </fill>
    </dxf>
    <dxf>
      <fill>
        <patternFill patternType="solid">
          <fgColor rgb="FF93C47D"/>
          <bgColor rgb="FF93C47D"/>
        </patternFill>
      </fill>
    </dxf>
    <dxf>
      <fill>
        <patternFill patternType="solid">
          <fgColor rgb="FFB7E1CD"/>
          <bgColor rgb="FFB7E1CD"/>
        </patternFill>
      </fill>
    </dxf>
    <dxf>
      <fill>
        <patternFill patternType="solid">
          <fgColor rgb="FFFFD966"/>
          <bgColor rgb="FFFFD966"/>
        </patternFill>
      </fill>
    </dxf>
    <dxf>
      <fill>
        <patternFill patternType="solid">
          <fgColor rgb="FFDD7E6B"/>
          <bgColor rgb="FFDD7E6B"/>
        </patternFill>
      </fill>
    </dxf>
    <dxf>
      <fill>
        <patternFill patternType="solid">
          <fgColor rgb="FF6FA8DC"/>
          <bgColor rgb="FF6FA8DC"/>
        </patternFill>
      </fill>
    </dxf>
    <dxf>
      <fill>
        <patternFill patternType="solid">
          <fgColor rgb="FFA4C2F4"/>
          <bgColor rgb="FFA4C2F4"/>
        </patternFill>
      </fill>
    </dxf>
    <dxf>
      <fill>
        <patternFill patternType="solid">
          <fgColor rgb="FFD5A6BD"/>
          <bgColor rgb="FFD5A6BD"/>
        </patternFill>
      </fill>
    </dxf>
    <dxf>
      <fill>
        <patternFill patternType="solid">
          <fgColor rgb="FFFF9900"/>
          <bgColor rgb="FFFF9900"/>
        </patternFill>
      </fill>
    </dxf>
    <dxf>
      <fill>
        <patternFill patternType="solid">
          <fgColor rgb="FFF6B26B"/>
          <bgColor rgb="FFF6B26B"/>
        </patternFill>
      </fill>
    </dxf>
    <dxf>
      <fill>
        <patternFill patternType="solid">
          <fgColor rgb="FFF9CB9C"/>
          <bgColor rgb="FFF9CB9C"/>
        </patternFill>
      </fill>
    </dxf>
    <dxf>
      <fill>
        <patternFill patternType="solid">
          <fgColor rgb="FFA2C4C9"/>
          <bgColor rgb="FFA2C4C9"/>
        </patternFill>
      </fill>
    </dxf>
    <dxf>
      <fill>
        <patternFill patternType="solid">
          <fgColor rgb="FFB7E1CD"/>
          <bgColor rgb="FFB7E1CD"/>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999999"/>
          <bgColor rgb="FF999999"/>
        </patternFill>
      </fill>
    </dxf>
    <dxf>
      <fill>
        <patternFill patternType="solid">
          <fgColor rgb="FFEA9999"/>
          <bgColor rgb="FFEA9999"/>
        </patternFill>
      </fill>
    </dxf>
    <dxf>
      <fill>
        <patternFill patternType="solid">
          <fgColor rgb="FFB4A7D6"/>
          <bgColor rgb="FFB4A7D6"/>
        </patternFill>
      </fill>
    </dxf>
    <dxf>
      <fill>
        <patternFill patternType="solid">
          <fgColor rgb="FFFFD966"/>
          <bgColor rgb="FFFFD96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hyperlink" Target="https://docs.google.com/spreadsheets/d/1Y6FbIctyKuEf8nlmA1L0D49cEwuNa1NLcwKTzET27Lw/edit?usp=sharing" TargetMode="External"/><Relationship Id="rId1" Type="http://schemas.openxmlformats.org/officeDocument/2006/relationships/hyperlink" Target="https://tinyurl.com/cu-boulder-mscs" TargetMode="External"/></Relationships>
</file>

<file path=xl/worksheets/_rels/sheet10.xml.rels><?xml version="1.0" encoding="UTF-8" standalone="yes"?>
<Relationships xmlns="http://schemas.openxmlformats.org/package/2006/relationships"><Relationship Id="rId1" Type="http://schemas.openxmlformats.org/officeDocument/2006/relationships/hyperlink" Target="https://tinyurl.com/cu-boulder-meem" TargetMode="External"/></Relationships>
</file>

<file path=xl/worksheets/_rels/sheet11.xml.rels><?xml version="1.0" encoding="UTF-8" standalone="yes"?>
<Relationships xmlns="http://schemas.openxmlformats.org/package/2006/relationships"><Relationship Id="rId1" Type="http://schemas.openxmlformats.org/officeDocument/2006/relationships/hyperlink" Target="http://tinyurl.com/cu-elective-review" TargetMode="External"/></Relationships>
</file>

<file path=xl/worksheets/_rels/sheet13.xml.rels><?xml version="1.0" encoding="UTF-8" standalone="yes"?>
<Relationships xmlns="http://schemas.openxmlformats.org/package/2006/relationships"><Relationship Id="rId1" Type="http://schemas.openxmlformats.org/officeDocument/2006/relationships/hyperlink" Target="https://tinyurl.com/cu-boulder-msee" TargetMode="External"/></Relationships>
</file>

<file path=xl/worksheets/_rels/sheet14.xml.rels><?xml version="1.0" encoding="UTF-8" standalone="yes"?>
<Relationships xmlns="http://schemas.openxmlformats.org/package/2006/relationships"><Relationship Id="rId1" Type="http://schemas.openxmlformats.org/officeDocument/2006/relationships/hyperlink" Target="http://tinyurl.com/cu-elective-review"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docs.google.com/spreadsheets/d/1Y6FbIctyKuEf8nlmA1L0D49cEwuNa1NLcwKTzET27Lw/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tinyurl.com/cu-mscs-review"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s://www.colorado.edu/cs/academics/online-programs/mscs-coursera/faq" TargetMode="External"/><Relationship Id="rId2" Type="http://schemas.openxmlformats.org/officeDocument/2006/relationships/hyperlink" Target="https://www.colorado.edu/cs/academics/online-programs/mscs-coursera/calendar)" TargetMode="External"/><Relationship Id="rId1" Type="http://schemas.openxmlformats.org/officeDocument/2006/relationships/hyperlink" Target="https://www.colorado.edu/cs/academics/online-programs/mscs-coursera/curriculum)" TargetMode="External"/></Relationships>
</file>

<file path=xl/worksheets/_rels/sheet7.xml.rels><?xml version="1.0" encoding="UTF-8" standalone="yes"?>
<Relationships xmlns="http://schemas.openxmlformats.org/package/2006/relationships"><Relationship Id="rId1" Type="http://schemas.openxmlformats.org/officeDocument/2006/relationships/hyperlink" Target="https://tinyurl.com/cu-boulder-msds"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tinyurl.com/cu-elective-review"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EA9999"/>
  </sheetPr>
  <dimension ref="A1:U1009"/>
  <sheetViews>
    <sheetView tabSelected="1" workbookViewId="0">
      <pane ySplit="2" topLeftCell="A3" activePane="bottomLeft" state="frozen"/>
      <selection pane="bottomLeft" activeCell="B4" sqref="B4"/>
    </sheetView>
  </sheetViews>
  <sheetFormatPr baseColWidth="10" defaultColWidth="14.5" defaultRowHeight="15" customHeight="1"/>
  <cols>
    <col min="1" max="1" width="9.83203125" customWidth="1"/>
    <col min="2" max="2" width="48.5" customWidth="1"/>
    <col min="3" max="3" width="21.6640625" customWidth="1"/>
    <col min="4" max="4" width="18.5" customWidth="1"/>
    <col min="5" max="5" width="12.33203125" customWidth="1"/>
    <col min="6" max="6" width="17.1640625" customWidth="1"/>
    <col min="7" max="7" width="15.5" customWidth="1"/>
    <col min="8" max="8" width="16" customWidth="1"/>
    <col min="9" max="9" width="43.6640625" customWidth="1"/>
    <col min="10" max="10" width="52" customWidth="1"/>
    <col min="11" max="21" width="8.6640625" customWidth="1"/>
  </cols>
  <sheetData>
    <row r="1" spans="1:21">
      <c r="A1" s="288" t="s">
        <v>0</v>
      </c>
      <c r="B1" s="289"/>
      <c r="C1" s="1" t="s">
        <v>1</v>
      </c>
      <c r="D1" s="2" t="s">
        <v>2</v>
      </c>
      <c r="E1" s="3" t="s">
        <v>3</v>
      </c>
      <c r="F1" s="3" t="s">
        <v>4</v>
      </c>
      <c r="G1" s="1" t="s">
        <v>5</v>
      </c>
      <c r="H1" s="4" t="s">
        <v>6</v>
      </c>
      <c r="I1" s="5" t="s">
        <v>7</v>
      </c>
      <c r="J1" s="2" t="s">
        <v>8</v>
      </c>
      <c r="K1" s="6"/>
      <c r="L1" s="6"/>
      <c r="M1" s="6"/>
      <c r="N1" s="6"/>
      <c r="O1" s="6"/>
      <c r="P1" s="6"/>
      <c r="Q1" s="6"/>
      <c r="R1" s="6"/>
      <c r="S1" s="6"/>
      <c r="T1" s="6"/>
      <c r="U1" s="6"/>
    </row>
    <row r="2" spans="1:21">
      <c r="A2" s="7" t="s">
        <v>9</v>
      </c>
      <c r="B2" s="8" t="s">
        <v>10</v>
      </c>
      <c r="C2" s="9" t="s">
        <v>11</v>
      </c>
      <c r="D2" s="10" t="s">
        <v>12</v>
      </c>
      <c r="E2" s="9" t="s">
        <v>13</v>
      </c>
      <c r="F2" s="9" t="s">
        <v>14</v>
      </c>
      <c r="G2" s="9" t="s">
        <v>15</v>
      </c>
      <c r="H2" s="9" t="s">
        <v>16</v>
      </c>
      <c r="I2" s="11" t="s">
        <v>17</v>
      </c>
      <c r="J2" s="10" t="s">
        <v>18</v>
      </c>
      <c r="K2" s="6"/>
      <c r="L2" s="6"/>
      <c r="M2" s="6"/>
      <c r="N2" s="6"/>
      <c r="O2" s="6"/>
      <c r="P2" s="6"/>
      <c r="Q2" s="6"/>
      <c r="R2" s="6"/>
      <c r="S2" s="6"/>
      <c r="T2" s="6"/>
      <c r="U2" s="6"/>
    </row>
    <row r="3" spans="1:21">
      <c r="A3" s="12" t="s">
        <v>19</v>
      </c>
      <c r="B3" s="13" t="s">
        <v>20</v>
      </c>
      <c r="C3" s="14" t="s">
        <v>21</v>
      </c>
      <c r="D3" s="15"/>
      <c r="E3" s="13">
        <v>37</v>
      </c>
      <c r="F3" s="13" t="s">
        <v>22</v>
      </c>
      <c r="G3" s="13" t="s">
        <v>23</v>
      </c>
      <c r="H3" s="16">
        <v>0.1</v>
      </c>
      <c r="I3" s="17" t="s">
        <v>24</v>
      </c>
      <c r="J3" s="15" t="s">
        <v>25</v>
      </c>
      <c r="K3" s="6"/>
      <c r="L3" s="6"/>
      <c r="M3" s="6"/>
      <c r="N3" s="6"/>
      <c r="O3" s="6"/>
      <c r="P3" s="6"/>
      <c r="Q3" s="6"/>
      <c r="R3" s="6"/>
      <c r="S3" s="6"/>
      <c r="T3" s="6"/>
      <c r="U3" s="6"/>
    </row>
    <row r="4" spans="1:21">
      <c r="A4" s="18" t="s">
        <v>26</v>
      </c>
      <c r="B4" s="19" t="s">
        <v>27</v>
      </c>
      <c r="C4" s="20" t="s">
        <v>21</v>
      </c>
      <c r="D4" s="21"/>
      <c r="E4" s="19">
        <v>48</v>
      </c>
      <c r="F4" s="19" t="s">
        <v>22</v>
      </c>
      <c r="G4" s="19" t="s">
        <v>23</v>
      </c>
      <c r="H4" s="22">
        <v>0.15</v>
      </c>
      <c r="I4" s="23" t="s">
        <v>28</v>
      </c>
      <c r="J4" s="21" t="s">
        <v>25</v>
      </c>
      <c r="K4" s="6"/>
      <c r="L4" s="6"/>
      <c r="M4" s="6"/>
      <c r="N4" s="6"/>
      <c r="O4" s="6"/>
      <c r="P4" s="6"/>
      <c r="Q4" s="6"/>
      <c r="R4" s="6"/>
      <c r="S4" s="6"/>
      <c r="T4" s="6"/>
      <c r="U4" s="6"/>
    </row>
    <row r="5" spans="1:21">
      <c r="A5" s="24" t="s">
        <v>29</v>
      </c>
      <c r="B5" s="25" t="s">
        <v>30</v>
      </c>
      <c r="C5" s="26" t="s">
        <v>21</v>
      </c>
      <c r="D5" s="27"/>
      <c r="E5" s="25">
        <v>44</v>
      </c>
      <c r="F5" s="25" t="s">
        <v>22</v>
      </c>
      <c r="G5" s="25" t="s">
        <v>23</v>
      </c>
      <c r="H5" s="28">
        <v>0.15</v>
      </c>
      <c r="I5" s="29" t="s">
        <v>31</v>
      </c>
      <c r="J5" s="27" t="s">
        <v>25</v>
      </c>
      <c r="K5" s="6"/>
      <c r="L5" s="6"/>
      <c r="M5" s="6"/>
      <c r="N5" s="6"/>
      <c r="O5" s="6"/>
      <c r="P5" s="6"/>
      <c r="Q5" s="6"/>
      <c r="R5" s="6"/>
      <c r="S5" s="6"/>
      <c r="T5" s="6"/>
      <c r="U5" s="6"/>
    </row>
    <row r="6" spans="1:21">
      <c r="A6" s="30" t="s">
        <v>32</v>
      </c>
      <c r="B6" s="31" t="s">
        <v>33</v>
      </c>
      <c r="C6" s="32" t="s">
        <v>34</v>
      </c>
      <c r="D6" s="33"/>
      <c r="E6" s="31">
        <v>19</v>
      </c>
      <c r="F6" s="31" t="s">
        <v>22</v>
      </c>
      <c r="G6" s="31" t="s">
        <v>35</v>
      </c>
      <c r="H6" s="34">
        <v>0.1</v>
      </c>
      <c r="I6" s="35" t="s">
        <v>36</v>
      </c>
      <c r="J6" s="33"/>
      <c r="K6" s="6"/>
      <c r="L6" s="6"/>
      <c r="M6" s="6"/>
      <c r="N6" s="6"/>
      <c r="O6" s="6"/>
      <c r="P6" s="6"/>
      <c r="Q6" s="6"/>
      <c r="R6" s="6"/>
      <c r="S6" s="6"/>
      <c r="T6" s="6"/>
      <c r="U6" s="6"/>
    </row>
    <row r="7" spans="1:21">
      <c r="A7" s="30" t="s">
        <v>37</v>
      </c>
      <c r="B7" s="31" t="s">
        <v>38</v>
      </c>
      <c r="C7" s="32" t="s">
        <v>34</v>
      </c>
      <c r="D7" s="33"/>
      <c r="E7" s="31">
        <v>17</v>
      </c>
      <c r="F7" s="31" t="s">
        <v>39</v>
      </c>
      <c r="G7" s="31" t="s">
        <v>35</v>
      </c>
      <c r="H7" s="34">
        <v>0.2</v>
      </c>
      <c r="I7" s="35" t="s">
        <v>40</v>
      </c>
      <c r="J7" s="33"/>
      <c r="K7" s="6"/>
      <c r="L7" s="6"/>
      <c r="M7" s="6"/>
      <c r="N7" s="6"/>
      <c r="O7" s="6"/>
      <c r="P7" s="6"/>
      <c r="Q7" s="6"/>
      <c r="R7" s="6"/>
      <c r="S7" s="6"/>
      <c r="T7" s="6"/>
      <c r="U7" s="6"/>
    </row>
    <row r="8" spans="1:21">
      <c r="A8" s="30" t="s">
        <v>41</v>
      </c>
      <c r="B8" s="31" t="s">
        <v>42</v>
      </c>
      <c r="C8" s="32" t="s">
        <v>34</v>
      </c>
      <c r="D8" s="33"/>
      <c r="E8" s="31">
        <v>20</v>
      </c>
      <c r="F8" s="31" t="s">
        <v>43</v>
      </c>
      <c r="G8" s="31" t="s">
        <v>35</v>
      </c>
      <c r="H8" s="34">
        <v>0.15</v>
      </c>
      <c r="I8" s="35" t="s">
        <v>44</v>
      </c>
      <c r="J8" s="33" t="s">
        <v>45</v>
      </c>
      <c r="K8" s="6"/>
      <c r="L8" s="6"/>
      <c r="M8" s="6"/>
      <c r="N8" s="6"/>
      <c r="O8" s="6"/>
      <c r="P8" s="6"/>
      <c r="Q8" s="6"/>
      <c r="R8" s="6"/>
      <c r="S8" s="6"/>
      <c r="T8" s="6"/>
      <c r="U8" s="6"/>
    </row>
    <row r="9" spans="1:21">
      <c r="A9" s="12" t="s">
        <v>46</v>
      </c>
      <c r="B9" s="13" t="s">
        <v>47</v>
      </c>
      <c r="C9" s="36" t="s">
        <v>48</v>
      </c>
      <c r="D9" s="15" t="s">
        <v>49</v>
      </c>
      <c r="E9" s="13">
        <v>39</v>
      </c>
      <c r="F9" s="13" t="s">
        <v>22</v>
      </c>
      <c r="G9" s="13" t="s">
        <v>50</v>
      </c>
      <c r="H9" s="16">
        <v>0.33</v>
      </c>
      <c r="I9" s="17" t="s">
        <v>51</v>
      </c>
      <c r="J9" s="15" t="s">
        <v>52</v>
      </c>
      <c r="K9" s="6"/>
      <c r="L9" s="6"/>
      <c r="M9" s="6"/>
      <c r="N9" s="6"/>
      <c r="O9" s="6"/>
      <c r="P9" s="6"/>
      <c r="Q9" s="6"/>
      <c r="R9" s="6"/>
      <c r="S9" s="6"/>
      <c r="T9" s="6"/>
      <c r="U9" s="6"/>
    </row>
    <row r="10" spans="1:21">
      <c r="A10" s="18" t="s">
        <v>53</v>
      </c>
      <c r="B10" s="19" t="s">
        <v>54</v>
      </c>
      <c r="C10" s="37" t="s">
        <v>48</v>
      </c>
      <c r="D10" s="21" t="s">
        <v>49</v>
      </c>
      <c r="E10" s="19">
        <v>38</v>
      </c>
      <c r="F10" s="19" t="s">
        <v>22</v>
      </c>
      <c r="G10" s="19" t="s">
        <v>50</v>
      </c>
      <c r="H10" s="22">
        <v>0.3</v>
      </c>
      <c r="I10" s="23" t="s">
        <v>51</v>
      </c>
      <c r="J10" s="21" t="s">
        <v>55</v>
      </c>
      <c r="K10" s="6"/>
      <c r="L10" s="6"/>
      <c r="M10" s="6"/>
      <c r="N10" s="6"/>
      <c r="O10" s="6"/>
      <c r="P10" s="6"/>
      <c r="Q10" s="6"/>
      <c r="R10" s="6"/>
      <c r="S10" s="6"/>
      <c r="T10" s="6"/>
      <c r="U10" s="6"/>
    </row>
    <row r="11" spans="1:21">
      <c r="A11" s="38" t="s">
        <v>56</v>
      </c>
      <c r="B11" s="39" t="s">
        <v>57</v>
      </c>
      <c r="C11" s="40" t="s">
        <v>48</v>
      </c>
      <c r="D11" s="41" t="s">
        <v>49</v>
      </c>
      <c r="E11" s="39">
        <v>60</v>
      </c>
      <c r="F11" s="39" t="s">
        <v>22</v>
      </c>
      <c r="G11" s="39" t="s">
        <v>50</v>
      </c>
      <c r="H11" s="42">
        <v>0.45</v>
      </c>
      <c r="I11" s="43" t="s">
        <v>51</v>
      </c>
      <c r="J11" s="41" t="s">
        <v>58</v>
      </c>
      <c r="K11" s="6"/>
      <c r="L11" s="6"/>
      <c r="M11" s="6"/>
      <c r="N11" s="6"/>
      <c r="O11" s="6"/>
      <c r="P11" s="6"/>
      <c r="Q11" s="6"/>
      <c r="R11" s="6"/>
      <c r="S11" s="6"/>
      <c r="T11" s="6"/>
      <c r="U11" s="6"/>
    </row>
    <row r="12" spans="1:21">
      <c r="A12" s="44" t="s">
        <v>59</v>
      </c>
      <c r="B12" s="45" t="s">
        <v>60</v>
      </c>
      <c r="C12" s="46" t="s">
        <v>61</v>
      </c>
      <c r="D12" s="47" t="s">
        <v>62</v>
      </c>
      <c r="E12" s="45">
        <v>8</v>
      </c>
      <c r="F12" s="45" t="s">
        <v>45</v>
      </c>
      <c r="G12" s="45" t="s">
        <v>63</v>
      </c>
      <c r="H12" s="48">
        <v>0.2</v>
      </c>
      <c r="I12" s="49" t="s">
        <v>64</v>
      </c>
      <c r="J12" s="47" t="s">
        <v>65</v>
      </c>
      <c r="K12" s="6"/>
      <c r="L12" s="6"/>
      <c r="M12" s="6"/>
      <c r="N12" s="6"/>
      <c r="O12" s="6"/>
      <c r="P12" s="6"/>
      <c r="Q12" s="6"/>
      <c r="R12" s="6"/>
      <c r="S12" s="6"/>
      <c r="T12" s="6"/>
      <c r="U12" s="6"/>
    </row>
    <row r="13" spans="1:21">
      <c r="A13" s="30" t="s">
        <v>66</v>
      </c>
      <c r="B13" s="31" t="s">
        <v>67</v>
      </c>
      <c r="C13" s="50" t="s">
        <v>61</v>
      </c>
      <c r="D13" s="33" t="s">
        <v>62</v>
      </c>
      <c r="E13" s="31">
        <v>10</v>
      </c>
      <c r="F13" s="31" t="s">
        <v>45</v>
      </c>
      <c r="G13" s="31" t="s">
        <v>63</v>
      </c>
      <c r="H13" s="34">
        <v>0.2</v>
      </c>
      <c r="I13" s="35" t="s">
        <v>64</v>
      </c>
      <c r="J13" s="33" t="s">
        <v>65</v>
      </c>
      <c r="K13" s="6"/>
      <c r="L13" s="6"/>
      <c r="M13" s="6"/>
      <c r="N13" s="6"/>
      <c r="O13" s="6"/>
      <c r="P13" s="6"/>
      <c r="Q13" s="6"/>
      <c r="R13" s="6"/>
      <c r="S13" s="6"/>
      <c r="T13" s="6"/>
      <c r="U13" s="6"/>
    </row>
    <row r="14" spans="1:21">
      <c r="A14" s="51" t="s">
        <v>68</v>
      </c>
      <c r="B14" s="52" t="s">
        <v>69</v>
      </c>
      <c r="C14" s="53" t="s">
        <v>61</v>
      </c>
      <c r="D14" s="54" t="s">
        <v>62</v>
      </c>
      <c r="E14" s="52">
        <v>10</v>
      </c>
      <c r="F14" s="52" t="s">
        <v>45</v>
      </c>
      <c r="G14" s="52" t="s">
        <v>63</v>
      </c>
      <c r="H14" s="55">
        <v>0.2</v>
      </c>
      <c r="I14" s="56" t="s">
        <v>64</v>
      </c>
      <c r="J14" s="54" t="s">
        <v>65</v>
      </c>
      <c r="K14" s="6"/>
      <c r="L14" s="6"/>
      <c r="M14" s="6"/>
      <c r="N14" s="6"/>
      <c r="O14" s="6"/>
      <c r="P14" s="6"/>
      <c r="Q14" s="6"/>
      <c r="R14" s="6"/>
      <c r="S14" s="6"/>
      <c r="T14" s="6"/>
      <c r="U14" s="6"/>
    </row>
    <row r="15" spans="1:21">
      <c r="A15" s="57" t="s">
        <v>70</v>
      </c>
      <c r="B15" s="58" t="s">
        <v>71</v>
      </c>
      <c r="C15" s="59" t="s">
        <v>72</v>
      </c>
      <c r="D15" s="60" t="s">
        <v>62</v>
      </c>
      <c r="E15" s="58">
        <v>24</v>
      </c>
      <c r="F15" s="58" t="s">
        <v>73</v>
      </c>
      <c r="G15" s="58" t="s">
        <v>23</v>
      </c>
      <c r="H15" s="61">
        <v>0.4</v>
      </c>
      <c r="I15" s="58" t="s">
        <v>74</v>
      </c>
      <c r="J15" s="60" t="s">
        <v>75</v>
      </c>
      <c r="K15" s="6"/>
      <c r="L15" s="6"/>
      <c r="M15" s="6"/>
      <c r="N15" s="6"/>
      <c r="O15" s="6"/>
      <c r="P15" s="6"/>
      <c r="Q15" s="6"/>
      <c r="R15" s="6"/>
      <c r="S15" s="6"/>
      <c r="T15" s="6"/>
      <c r="U15" s="6"/>
    </row>
    <row r="16" spans="1:21">
      <c r="A16" s="18" t="s">
        <v>76</v>
      </c>
      <c r="B16" s="19" t="s">
        <v>77</v>
      </c>
      <c r="C16" s="37" t="s">
        <v>72</v>
      </c>
      <c r="D16" s="21" t="s">
        <v>62</v>
      </c>
      <c r="E16" s="19">
        <v>37</v>
      </c>
      <c r="F16" s="19" t="s">
        <v>73</v>
      </c>
      <c r="G16" s="19" t="s">
        <v>23</v>
      </c>
      <c r="H16" s="22">
        <v>0.35</v>
      </c>
      <c r="I16" s="19" t="s">
        <v>78</v>
      </c>
      <c r="J16" s="21" t="s">
        <v>75</v>
      </c>
      <c r="K16" s="6"/>
      <c r="L16" s="6"/>
      <c r="M16" s="6"/>
      <c r="N16" s="6"/>
      <c r="O16" s="6"/>
      <c r="P16" s="6"/>
      <c r="Q16" s="6"/>
      <c r="R16" s="6"/>
      <c r="S16" s="6"/>
      <c r="T16" s="6"/>
      <c r="U16" s="6"/>
    </row>
    <row r="17" spans="1:21">
      <c r="A17" s="24" t="s">
        <v>79</v>
      </c>
      <c r="B17" s="25" t="s">
        <v>80</v>
      </c>
      <c r="C17" s="62" t="s">
        <v>72</v>
      </c>
      <c r="D17" s="27" t="s">
        <v>62</v>
      </c>
      <c r="E17" s="25">
        <v>32</v>
      </c>
      <c r="F17" s="25" t="s">
        <v>73</v>
      </c>
      <c r="G17" s="25" t="s">
        <v>23</v>
      </c>
      <c r="H17" s="63">
        <v>0.4</v>
      </c>
      <c r="I17" s="25" t="s">
        <v>78</v>
      </c>
      <c r="J17" s="27" t="s">
        <v>75</v>
      </c>
      <c r="K17" s="6"/>
      <c r="L17" s="6"/>
      <c r="M17" s="6"/>
      <c r="N17" s="6"/>
      <c r="O17" s="6"/>
      <c r="P17" s="6"/>
      <c r="Q17" s="6"/>
      <c r="R17" s="6"/>
      <c r="S17" s="6"/>
      <c r="T17" s="6"/>
      <c r="U17" s="6"/>
    </row>
    <row r="18" spans="1:21">
      <c r="A18" s="64" t="s">
        <v>45</v>
      </c>
      <c r="B18" s="65" t="s">
        <v>81</v>
      </c>
      <c r="C18" s="66" t="s">
        <v>82</v>
      </c>
      <c r="D18" s="67"/>
      <c r="E18" s="65" t="s">
        <v>45</v>
      </c>
      <c r="F18" s="65" t="s">
        <v>45</v>
      </c>
      <c r="G18" s="65" t="s">
        <v>45</v>
      </c>
      <c r="H18" s="65" t="s">
        <v>45</v>
      </c>
      <c r="I18" s="68" t="s">
        <v>45</v>
      </c>
      <c r="J18" s="67" t="s">
        <v>45</v>
      </c>
      <c r="K18" s="6"/>
      <c r="L18" s="6"/>
      <c r="M18" s="6"/>
      <c r="N18" s="6"/>
      <c r="O18" s="6"/>
      <c r="P18" s="6"/>
      <c r="Q18" s="6"/>
      <c r="R18" s="6"/>
      <c r="S18" s="6"/>
      <c r="T18" s="6"/>
      <c r="U18" s="6"/>
    </row>
    <row r="19" spans="1:21">
      <c r="A19" s="12" t="s">
        <v>83</v>
      </c>
      <c r="B19" s="13" t="s">
        <v>84</v>
      </c>
      <c r="C19" s="69" t="s">
        <v>85</v>
      </c>
      <c r="D19" s="15" t="s">
        <v>86</v>
      </c>
      <c r="E19" s="13">
        <v>21</v>
      </c>
      <c r="F19" s="13" t="s">
        <v>22</v>
      </c>
      <c r="G19" s="13" t="s">
        <v>87</v>
      </c>
      <c r="H19" s="16">
        <v>0.2</v>
      </c>
      <c r="I19" s="17" t="s">
        <v>88</v>
      </c>
      <c r="J19" s="15" t="s">
        <v>89</v>
      </c>
      <c r="K19" s="6"/>
      <c r="L19" s="6"/>
      <c r="M19" s="6"/>
      <c r="N19" s="6"/>
      <c r="O19" s="6"/>
      <c r="P19" s="6"/>
      <c r="Q19" s="6"/>
      <c r="R19" s="6"/>
      <c r="S19" s="6"/>
      <c r="T19" s="6"/>
      <c r="U19" s="6"/>
    </row>
    <row r="20" spans="1:21">
      <c r="A20" s="18" t="s">
        <v>90</v>
      </c>
      <c r="B20" s="19" t="s">
        <v>91</v>
      </c>
      <c r="C20" s="70" t="s">
        <v>85</v>
      </c>
      <c r="D20" s="21" t="s">
        <v>86</v>
      </c>
      <c r="E20" s="19">
        <v>24</v>
      </c>
      <c r="F20" s="19" t="s">
        <v>22</v>
      </c>
      <c r="G20" s="19" t="s">
        <v>87</v>
      </c>
      <c r="H20" s="22">
        <v>0.2</v>
      </c>
      <c r="I20" s="23" t="s">
        <v>88</v>
      </c>
      <c r="J20" s="21" t="s">
        <v>89</v>
      </c>
      <c r="K20" s="6"/>
      <c r="L20" s="6"/>
      <c r="M20" s="6"/>
      <c r="N20" s="6"/>
      <c r="O20" s="6"/>
      <c r="P20" s="6"/>
      <c r="Q20" s="6"/>
      <c r="R20" s="6"/>
      <c r="S20" s="6"/>
      <c r="T20" s="6"/>
      <c r="U20" s="6"/>
    </row>
    <row r="21" spans="1:21">
      <c r="A21" s="24" t="s">
        <v>92</v>
      </c>
      <c r="B21" s="25" t="s">
        <v>93</v>
      </c>
      <c r="C21" s="71" t="s">
        <v>85</v>
      </c>
      <c r="D21" s="27" t="s">
        <v>86</v>
      </c>
      <c r="E21" s="25">
        <v>19</v>
      </c>
      <c r="F21" s="25" t="s">
        <v>22</v>
      </c>
      <c r="G21" s="25" t="s">
        <v>50</v>
      </c>
      <c r="H21" s="63">
        <v>0.1</v>
      </c>
      <c r="I21" s="29" t="s">
        <v>94</v>
      </c>
      <c r="J21" s="27" t="s">
        <v>95</v>
      </c>
      <c r="K21" s="6"/>
      <c r="L21" s="6"/>
      <c r="M21" s="6"/>
      <c r="N21" s="6"/>
      <c r="O21" s="6"/>
      <c r="P21" s="6"/>
      <c r="Q21" s="6"/>
      <c r="R21" s="6"/>
      <c r="S21" s="6"/>
      <c r="T21" s="6"/>
      <c r="U21" s="6"/>
    </row>
    <row r="22" spans="1:21">
      <c r="A22" s="12" t="s">
        <v>96</v>
      </c>
      <c r="B22" s="13" t="s">
        <v>97</v>
      </c>
      <c r="C22" s="69" t="s">
        <v>98</v>
      </c>
      <c r="D22" s="15"/>
      <c r="E22" s="13">
        <v>19</v>
      </c>
      <c r="F22" s="13" t="s">
        <v>99</v>
      </c>
      <c r="G22" s="13" t="s">
        <v>23</v>
      </c>
      <c r="H22" s="72">
        <v>0.3</v>
      </c>
      <c r="I22" s="17" t="s">
        <v>100</v>
      </c>
      <c r="J22" s="15" t="s">
        <v>101</v>
      </c>
      <c r="K22" s="6"/>
      <c r="L22" s="6"/>
      <c r="M22" s="6"/>
      <c r="N22" s="6"/>
      <c r="O22" s="6"/>
      <c r="P22" s="6"/>
      <c r="Q22" s="6"/>
      <c r="R22" s="6"/>
      <c r="S22" s="6"/>
      <c r="T22" s="6"/>
      <c r="U22" s="6"/>
    </row>
    <row r="23" spans="1:21">
      <c r="A23" s="18" t="s">
        <v>102</v>
      </c>
      <c r="B23" s="19" t="s">
        <v>103</v>
      </c>
      <c r="C23" s="70" t="s">
        <v>98</v>
      </c>
      <c r="D23" s="21"/>
      <c r="E23" s="19">
        <v>25</v>
      </c>
      <c r="F23" s="19" t="s">
        <v>104</v>
      </c>
      <c r="G23" s="19" t="s">
        <v>23</v>
      </c>
      <c r="H23" s="73">
        <v>0.3</v>
      </c>
      <c r="I23" s="23" t="s">
        <v>100</v>
      </c>
      <c r="J23" s="21" t="s">
        <v>101</v>
      </c>
      <c r="K23" s="6"/>
      <c r="L23" s="6"/>
      <c r="M23" s="6"/>
      <c r="N23" s="6"/>
      <c r="O23" s="6"/>
      <c r="P23" s="6"/>
      <c r="Q23" s="6"/>
      <c r="R23" s="6"/>
      <c r="S23" s="6"/>
      <c r="T23" s="6"/>
      <c r="U23" s="6"/>
    </row>
    <row r="24" spans="1:21">
      <c r="A24" s="24" t="s">
        <v>105</v>
      </c>
      <c r="B24" s="25" t="s">
        <v>106</v>
      </c>
      <c r="C24" s="71" t="s">
        <v>98</v>
      </c>
      <c r="D24" s="27"/>
      <c r="E24" s="25">
        <v>16</v>
      </c>
      <c r="F24" s="25" t="s">
        <v>99</v>
      </c>
      <c r="G24" s="25" t="s">
        <v>50</v>
      </c>
      <c r="H24" s="28">
        <v>0.3</v>
      </c>
      <c r="I24" s="29" t="s">
        <v>107</v>
      </c>
      <c r="J24" s="27" t="s">
        <v>95</v>
      </c>
      <c r="K24" s="6"/>
      <c r="L24" s="6"/>
      <c r="M24" s="6"/>
      <c r="N24" s="6"/>
      <c r="O24" s="6"/>
      <c r="P24" s="6"/>
      <c r="Q24" s="6"/>
      <c r="R24" s="6"/>
      <c r="S24" s="6"/>
      <c r="T24" s="6"/>
      <c r="U24" s="6"/>
    </row>
    <row r="25" spans="1:21">
      <c r="A25" s="12" t="s">
        <v>108</v>
      </c>
      <c r="B25" s="13" t="s">
        <v>109</v>
      </c>
      <c r="C25" s="69" t="s">
        <v>110</v>
      </c>
      <c r="D25" s="15" t="s">
        <v>62</v>
      </c>
      <c r="E25" s="13">
        <v>9</v>
      </c>
      <c r="F25" s="13" t="s">
        <v>111</v>
      </c>
      <c r="G25" s="13" t="s">
        <v>112</v>
      </c>
      <c r="H25" s="16">
        <v>0.2</v>
      </c>
      <c r="I25" s="17" t="s">
        <v>113</v>
      </c>
      <c r="J25" s="15" t="s">
        <v>114</v>
      </c>
      <c r="K25" s="6"/>
      <c r="L25" s="6"/>
      <c r="M25" s="6"/>
      <c r="N25" s="6"/>
      <c r="O25" s="6"/>
      <c r="P25" s="6"/>
      <c r="Q25" s="6"/>
      <c r="R25" s="6"/>
      <c r="S25" s="6"/>
      <c r="T25" s="6"/>
      <c r="U25" s="6"/>
    </row>
    <row r="26" spans="1:21">
      <c r="A26" s="18" t="s">
        <v>115</v>
      </c>
      <c r="B26" s="19" t="s">
        <v>116</v>
      </c>
      <c r="C26" s="70" t="s">
        <v>110</v>
      </c>
      <c r="D26" s="21" t="s">
        <v>62</v>
      </c>
      <c r="E26" s="19" t="s">
        <v>45</v>
      </c>
      <c r="F26" s="19" t="s">
        <v>45</v>
      </c>
      <c r="G26" s="19" t="s">
        <v>45</v>
      </c>
      <c r="H26" s="19" t="s">
        <v>45</v>
      </c>
      <c r="I26" s="23" t="s">
        <v>45</v>
      </c>
      <c r="J26" s="21" t="s">
        <v>45</v>
      </c>
      <c r="K26" s="6"/>
      <c r="L26" s="6"/>
      <c r="M26" s="6"/>
      <c r="N26" s="6"/>
      <c r="O26" s="6"/>
      <c r="P26" s="6"/>
      <c r="Q26" s="6"/>
      <c r="R26" s="6"/>
      <c r="S26" s="6"/>
      <c r="T26" s="6"/>
      <c r="U26" s="6"/>
    </row>
    <row r="27" spans="1:21">
      <c r="A27" s="24" t="s">
        <v>117</v>
      </c>
      <c r="B27" s="25" t="s">
        <v>118</v>
      </c>
      <c r="C27" s="71" t="s">
        <v>110</v>
      </c>
      <c r="D27" s="27" t="s">
        <v>62</v>
      </c>
      <c r="E27" s="25" t="s">
        <v>45</v>
      </c>
      <c r="F27" s="25" t="s">
        <v>45</v>
      </c>
      <c r="G27" s="25" t="s">
        <v>45</v>
      </c>
      <c r="H27" s="25" t="s">
        <v>45</v>
      </c>
      <c r="I27" s="29" t="s">
        <v>45</v>
      </c>
      <c r="J27" s="27" t="s">
        <v>45</v>
      </c>
      <c r="K27" s="6"/>
      <c r="L27" s="6"/>
      <c r="M27" s="6"/>
      <c r="N27" s="6"/>
      <c r="O27" s="6"/>
      <c r="P27" s="6"/>
      <c r="Q27" s="6"/>
      <c r="R27" s="6"/>
      <c r="S27" s="6"/>
      <c r="T27" s="6"/>
      <c r="U27" s="6"/>
    </row>
    <row r="28" spans="1:21">
      <c r="A28" s="12" t="s">
        <v>119</v>
      </c>
      <c r="B28" s="13" t="s">
        <v>120</v>
      </c>
      <c r="C28" s="69" t="s">
        <v>121</v>
      </c>
      <c r="D28" s="15"/>
      <c r="E28" s="13" t="s">
        <v>45</v>
      </c>
      <c r="F28" s="13" t="s">
        <v>45</v>
      </c>
      <c r="G28" s="13" t="s">
        <v>45</v>
      </c>
      <c r="H28" s="13" t="s">
        <v>45</v>
      </c>
      <c r="I28" s="17" t="s">
        <v>45</v>
      </c>
      <c r="J28" s="15" t="s">
        <v>45</v>
      </c>
      <c r="K28" s="6"/>
      <c r="L28" s="6"/>
      <c r="M28" s="6"/>
      <c r="N28" s="6"/>
      <c r="O28" s="6"/>
      <c r="P28" s="6"/>
      <c r="Q28" s="6"/>
      <c r="R28" s="6"/>
      <c r="S28" s="6"/>
      <c r="T28" s="6"/>
      <c r="U28" s="6"/>
    </row>
    <row r="29" spans="1:21">
      <c r="A29" s="18" t="s">
        <v>122</v>
      </c>
      <c r="B29" s="19" t="s">
        <v>123</v>
      </c>
      <c r="C29" s="70" t="s">
        <v>121</v>
      </c>
      <c r="D29" s="21"/>
      <c r="E29" s="19" t="s">
        <v>45</v>
      </c>
      <c r="F29" s="19" t="s">
        <v>45</v>
      </c>
      <c r="G29" s="19" t="s">
        <v>45</v>
      </c>
      <c r="H29" s="19" t="s">
        <v>45</v>
      </c>
      <c r="I29" s="23" t="s">
        <v>45</v>
      </c>
      <c r="J29" s="21" t="s">
        <v>45</v>
      </c>
      <c r="K29" s="6"/>
      <c r="L29" s="6"/>
      <c r="M29" s="6"/>
      <c r="N29" s="6"/>
      <c r="O29" s="6"/>
      <c r="P29" s="6"/>
      <c r="Q29" s="6"/>
      <c r="R29" s="6"/>
      <c r="S29" s="6"/>
      <c r="T29" s="6"/>
      <c r="U29" s="6"/>
    </row>
    <row r="30" spans="1:21">
      <c r="A30" s="24" t="s">
        <v>124</v>
      </c>
      <c r="B30" s="25" t="s">
        <v>125</v>
      </c>
      <c r="C30" s="71" t="s">
        <v>121</v>
      </c>
      <c r="D30" s="27"/>
      <c r="E30" s="25" t="s">
        <v>45</v>
      </c>
      <c r="F30" s="25" t="s">
        <v>45</v>
      </c>
      <c r="G30" s="25" t="s">
        <v>45</v>
      </c>
      <c r="H30" s="25" t="s">
        <v>45</v>
      </c>
      <c r="I30" s="29" t="s">
        <v>45</v>
      </c>
      <c r="J30" s="27" t="s">
        <v>45</v>
      </c>
      <c r="K30" s="6"/>
      <c r="L30" s="6"/>
      <c r="M30" s="6"/>
      <c r="N30" s="6"/>
      <c r="O30" s="6"/>
      <c r="P30" s="6"/>
      <c r="Q30" s="6"/>
      <c r="R30" s="6"/>
      <c r="S30" s="6"/>
      <c r="T30" s="6"/>
      <c r="U30" s="6"/>
    </row>
    <row r="31" spans="1:21">
      <c r="A31" s="12" t="s">
        <v>126</v>
      </c>
      <c r="B31" s="13" t="s">
        <v>127</v>
      </c>
      <c r="C31" s="69" t="s">
        <v>128</v>
      </c>
      <c r="D31" s="15" t="s">
        <v>62</v>
      </c>
      <c r="E31" s="13">
        <v>27</v>
      </c>
      <c r="F31" s="13" t="s">
        <v>22</v>
      </c>
      <c r="G31" s="13" t="s">
        <v>35</v>
      </c>
      <c r="H31" s="72">
        <v>0.1</v>
      </c>
      <c r="I31" s="17" t="s">
        <v>129</v>
      </c>
      <c r="J31" s="15"/>
      <c r="K31" s="6"/>
      <c r="L31" s="6"/>
      <c r="M31" s="6"/>
      <c r="N31" s="6"/>
      <c r="O31" s="6"/>
      <c r="P31" s="6"/>
      <c r="Q31" s="6"/>
      <c r="R31" s="6"/>
      <c r="S31" s="6"/>
      <c r="T31" s="6"/>
      <c r="U31" s="6"/>
    </row>
    <row r="32" spans="1:21">
      <c r="A32" s="18" t="s">
        <v>130</v>
      </c>
      <c r="B32" s="19" t="s">
        <v>131</v>
      </c>
      <c r="C32" s="70" t="s">
        <v>128</v>
      </c>
      <c r="D32" s="21" t="s">
        <v>62</v>
      </c>
      <c r="E32" s="19">
        <v>25</v>
      </c>
      <c r="F32" s="19" t="s">
        <v>22</v>
      </c>
      <c r="G32" s="19" t="s">
        <v>35</v>
      </c>
      <c r="H32" s="22">
        <v>0.2</v>
      </c>
      <c r="I32" s="23" t="s">
        <v>132</v>
      </c>
      <c r="J32" s="21"/>
      <c r="K32" s="6"/>
      <c r="L32" s="6"/>
      <c r="M32" s="6"/>
      <c r="N32" s="6"/>
      <c r="O32" s="6"/>
      <c r="P32" s="6"/>
      <c r="Q32" s="6"/>
      <c r="R32" s="6"/>
      <c r="S32" s="6"/>
      <c r="T32" s="6"/>
      <c r="U32" s="6"/>
    </row>
    <row r="33" spans="1:21">
      <c r="A33" s="24" t="s">
        <v>133</v>
      </c>
      <c r="B33" s="25" t="s">
        <v>134</v>
      </c>
      <c r="C33" s="71" t="s">
        <v>128</v>
      </c>
      <c r="D33" s="27" t="s">
        <v>62</v>
      </c>
      <c r="E33" s="25">
        <v>42</v>
      </c>
      <c r="F33" s="25" t="s">
        <v>22</v>
      </c>
      <c r="G33" s="25" t="s">
        <v>35</v>
      </c>
      <c r="H33" s="63">
        <v>0.15</v>
      </c>
      <c r="I33" s="29" t="s">
        <v>135</v>
      </c>
      <c r="J33" s="27"/>
      <c r="K33" s="6"/>
      <c r="L33" s="6"/>
      <c r="M33" s="6"/>
      <c r="N33" s="6"/>
      <c r="O33" s="6"/>
      <c r="P33" s="6"/>
      <c r="Q33" s="6"/>
      <c r="R33" s="6"/>
      <c r="S33" s="6"/>
      <c r="T33" s="6"/>
      <c r="U33" s="6"/>
    </row>
    <row r="34" spans="1:21">
      <c r="A34" s="12" t="s">
        <v>136</v>
      </c>
      <c r="B34" s="13" t="s">
        <v>137</v>
      </c>
      <c r="C34" s="69" t="s">
        <v>138</v>
      </c>
      <c r="D34" s="15" t="s">
        <v>62</v>
      </c>
      <c r="E34" s="13" t="s">
        <v>45</v>
      </c>
      <c r="F34" s="13" t="s">
        <v>45</v>
      </c>
      <c r="G34" s="13" t="s">
        <v>45</v>
      </c>
      <c r="H34" s="13" t="s">
        <v>45</v>
      </c>
      <c r="I34" s="17" t="s">
        <v>45</v>
      </c>
      <c r="J34" s="15" t="s">
        <v>45</v>
      </c>
      <c r="K34" s="6"/>
      <c r="L34" s="6"/>
      <c r="M34" s="6"/>
      <c r="N34" s="6"/>
      <c r="O34" s="6"/>
      <c r="P34" s="6"/>
      <c r="Q34" s="6"/>
      <c r="R34" s="6"/>
      <c r="S34" s="6"/>
      <c r="T34" s="6"/>
      <c r="U34" s="6"/>
    </row>
    <row r="35" spans="1:21">
      <c r="A35" s="18" t="s">
        <v>139</v>
      </c>
      <c r="B35" s="19" t="s">
        <v>140</v>
      </c>
      <c r="C35" s="70" t="s">
        <v>138</v>
      </c>
      <c r="D35" s="21" t="s">
        <v>62</v>
      </c>
      <c r="E35" s="19" t="s">
        <v>45</v>
      </c>
      <c r="F35" s="19" t="s">
        <v>45</v>
      </c>
      <c r="G35" s="19" t="s">
        <v>45</v>
      </c>
      <c r="H35" s="19" t="s">
        <v>45</v>
      </c>
      <c r="I35" s="23" t="s">
        <v>45</v>
      </c>
      <c r="J35" s="21" t="s">
        <v>45</v>
      </c>
      <c r="K35" s="6"/>
      <c r="L35" s="6"/>
      <c r="M35" s="6"/>
      <c r="N35" s="6"/>
      <c r="O35" s="6"/>
      <c r="P35" s="6"/>
      <c r="Q35" s="6"/>
      <c r="R35" s="6"/>
      <c r="S35" s="6"/>
      <c r="T35" s="6"/>
      <c r="U35" s="6"/>
    </row>
    <row r="36" spans="1:21">
      <c r="A36" s="38" t="s">
        <v>141</v>
      </c>
      <c r="B36" s="39" t="s">
        <v>142</v>
      </c>
      <c r="C36" s="74" t="s">
        <v>138</v>
      </c>
      <c r="D36" s="41" t="s">
        <v>62</v>
      </c>
      <c r="E36" s="39" t="s">
        <v>45</v>
      </c>
      <c r="F36" s="39" t="s">
        <v>45</v>
      </c>
      <c r="G36" s="39" t="s">
        <v>45</v>
      </c>
      <c r="H36" s="39" t="s">
        <v>45</v>
      </c>
      <c r="I36" s="43" t="s">
        <v>45</v>
      </c>
      <c r="J36" s="41" t="s">
        <v>45</v>
      </c>
      <c r="K36" s="6"/>
      <c r="L36" s="6"/>
      <c r="M36" s="6"/>
      <c r="N36" s="6"/>
      <c r="O36" s="6"/>
      <c r="P36" s="6"/>
      <c r="Q36" s="6"/>
      <c r="R36" s="6"/>
      <c r="S36" s="6"/>
      <c r="T36" s="6"/>
      <c r="U36" s="6"/>
    </row>
    <row r="37" spans="1:21">
      <c r="A37" s="12" t="s">
        <v>143</v>
      </c>
      <c r="B37" s="13" t="s">
        <v>144</v>
      </c>
      <c r="C37" s="69" t="s">
        <v>145</v>
      </c>
      <c r="D37" s="13"/>
      <c r="E37" s="13">
        <v>29</v>
      </c>
      <c r="F37" s="13" t="s">
        <v>73</v>
      </c>
      <c r="G37" s="13" t="s">
        <v>35</v>
      </c>
      <c r="H37" s="72">
        <v>0.2</v>
      </c>
      <c r="I37" s="17" t="s">
        <v>146</v>
      </c>
      <c r="J37" s="15" t="s">
        <v>45</v>
      </c>
      <c r="K37" s="6"/>
      <c r="L37" s="6"/>
      <c r="M37" s="6"/>
      <c r="N37" s="6"/>
      <c r="O37" s="6"/>
      <c r="P37" s="6"/>
      <c r="Q37" s="6"/>
      <c r="R37" s="6"/>
      <c r="S37" s="6"/>
      <c r="T37" s="6"/>
      <c r="U37" s="6"/>
    </row>
    <row r="38" spans="1:21">
      <c r="A38" s="18" t="s">
        <v>147</v>
      </c>
      <c r="B38" s="19" t="s">
        <v>148</v>
      </c>
      <c r="C38" s="70" t="s">
        <v>145</v>
      </c>
      <c r="D38" s="19"/>
      <c r="E38" s="19" t="s">
        <v>45</v>
      </c>
      <c r="F38" s="19" t="s">
        <v>45</v>
      </c>
      <c r="G38" s="19" t="s">
        <v>45</v>
      </c>
      <c r="H38" s="19" t="s">
        <v>45</v>
      </c>
      <c r="I38" s="23" t="s">
        <v>45</v>
      </c>
      <c r="J38" s="21" t="s">
        <v>45</v>
      </c>
      <c r="K38" s="6"/>
      <c r="L38" s="6"/>
      <c r="M38" s="6"/>
      <c r="N38" s="6"/>
      <c r="O38" s="6"/>
      <c r="P38" s="6"/>
      <c r="Q38" s="6"/>
      <c r="R38" s="6"/>
      <c r="S38" s="6"/>
      <c r="T38" s="6"/>
      <c r="U38" s="6"/>
    </row>
    <row r="39" spans="1:21">
      <c r="A39" s="38" t="s">
        <v>149</v>
      </c>
      <c r="B39" s="39" t="s">
        <v>150</v>
      </c>
      <c r="C39" s="74" t="s">
        <v>145</v>
      </c>
      <c r="D39" s="39"/>
      <c r="E39" s="39" t="s">
        <v>45</v>
      </c>
      <c r="F39" s="39" t="s">
        <v>45</v>
      </c>
      <c r="G39" s="39" t="s">
        <v>45</v>
      </c>
      <c r="H39" s="39" t="s">
        <v>45</v>
      </c>
      <c r="I39" s="43" t="s">
        <v>45</v>
      </c>
      <c r="J39" s="41" t="s">
        <v>45</v>
      </c>
      <c r="K39" s="6"/>
      <c r="L39" s="6"/>
      <c r="M39" s="6"/>
      <c r="N39" s="6"/>
      <c r="O39" s="6"/>
      <c r="P39" s="6"/>
      <c r="Q39" s="6"/>
      <c r="R39" s="6"/>
      <c r="S39" s="6"/>
      <c r="T39" s="6"/>
      <c r="U39" s="6"/>
    </row>
    <row r="40" spans="1:21">
      <c r="A40" s="12" t="s">
        <v>151</v>
      </c>
      <c r="B40" s="13" t="s">
        <v>152</v>
      </c>
      <c r="C40" s="69" t="s">
        <v>153</v>
      </c>
      <c r="D40" s="13"/>
      <c r="E40" s="13">
        <v>20</v>
      </c>
      <c r="F40" s="13" t="s">
        <v>45</v>
      </c>
      <c r="G40" s="13" t="s">
        <v>35</v>
      </c>
      <c r="H40" s="72">
        <v>0.2</v>
      </c>
      <c r="I40" s="13" t="s">
        <v>154</v>
      </c>
      <c r="J40" s="15"/>
      <c r="K40" s="6"/>
      <c r="L40" s="6"/>
      <c r="M40" s="6"/>
      <c r="N40" s="6"/>
      <c r="O40" s="6"/>
      <c r="P40" s="6"/>
      <c r="Q40" s="6"/>
      <c r="R40" s="6"/>
      <c r="S40" s="6"/>
      <c r="T40" s="6"/>
      <c r="U40" s="6"/>
    </row>
    <row r="41" spans="1:21">
      <c r="A41" s="18" t="s">
        <v>155</v>
      </c>
      <c r="B41" s="19" t="s">
        <v>156</v>
      </c>
      <c r="C41" s="70" t="s">
        <v>153</v>
      </c>
      <c r="D41" s="19"/>
      <c r="E41" s="19" t="s">
        <v>45</v>
      </c>
      <c r="F41" s="19" t="s">
        <v>45</v>
      </c>
      <c r="G41" s="19" t="s">
        <v>45</v>
      </c>
      <c r="H41" s="19" t="s">
        <v>45</v>
      </c>
      <c r="I41" s="19" t="s">
        <v>45</v>
      </c>
      <c r="J41" s="21" t="s">
        <v>45</v>
      </c>
      <c r="K41" s="6"/>
      <c r="L41" s="6"/>
      <c r="M41" s="6"/>
      <c r="N41" s="6"/>
      <c r="O41" s="6"/>
      <c r="P41" s="6"/>
      <c r="Q41" s="6"/>
      <c r="R41" s="6"/>
      <c r="S41" s="6"/>
      <c r="T41" s="6"/>
      <c r="U41" s="6"/>
    </row>
    <row r="42" spans="1:21">
      <c r="A42" s="38" t="s">
        <v>157</v>
      </c>
      <c r="B42" s="39" t="s">
        <v>158</v>
      </c>
      <c r="C42" s="74" t="s">
        <v>153</v>
      </c>
      <c r="D42" s="39"/>
      <c r="E42" s="39" t="s">
        <v>45</v>
      </c>
      <c r="F42" s="39" t="s">
        <v>45</v>
      </c>
      <c r="G42" s="39" t="s">
        <v>45</v>
      </c>
      <c r="H42" s="39" t="s">
        <v>45</v>
      </c>
      <c r="I42" s="39" t="s">
        <v>45</v>
      </c>
      <c r="J42" s="41" t="s">
        <v>45</v>
      </c>
      <c r="K42" s="6"/>
      <c r="L42" s="6"/>
      <c r="M42" s="6"/>
      <c r="N42" s="6"/>
      <c r="O42" s="6"/>
      <c r="P42" s="6"/>
      <c r="Q42" s="6"/>
      <c r="R42" s="6"/>
      <c r="S42" s="6"/>
      <c r="T42" s="6"/>
      <c r="U42" s="6"/>
    </row>
    <row r="43" spans="1:21">
      <c r="A43" s="12" t="s">
        <v>159</v>
      </c>
      <c r="B43" s="13" t="s">
        <v>160</v>
      </c>
      <c r="C43" s="69" t="s">
        <v>161</v>
      </c>
      <c r="D43" s="13"/>
      <c r="E43" s="13">
        <v>21</v>
      </c>
      <c r="F43" s="13" t="s">
        <v>162</v>
      </c>
      <c r="G43" s="13" t="s">
        <v>163</v>
      </c>
      <c r="H43" s="13" t="s">
        <v>164</v>
      </c>
      <c r="I43" s="13" t="s">
        <v>45</v>
      </c>
      <c r="J43" s="15" t="s">
        <v>45</v>
      </c>
      <c r="K43" s="6"/>
      <c r="L43" s="6"/>
      <c r="M43" s="6"/>
      <c r="N43" s="6"/>
      <c r="O43" s="6"/>
      <c r="P43" s="6"/>
      <c r="Q43" s="6"/>
      <c r="R43" s="6"/>
      <c r="S43" s="6"/>
      <c r="T43" s="6"/>
      <c r="U43" s="6"/>
    </row>
    <row r="44" spans="1:21">
      <c r="A44" s="18" t="s">
        <v>165</v>
      </c>
      <c r="B44" s="19" t="s">
        <v>166</v>
      </c>
      <c r="C44" s="70" t="s">
        <v>161</v>
      </c>
      <c r="D44" s="19"/>
      <c r="E44" s="19" t="s">
        <v>45</v>
      </c>
      <c r="F44" s="19" t="s">
        <v>45</v>
      </c>
      <c r="G44" s="19" t="s">
        <v>45</v>
      </c>
      <c r="H44" s="19" t="s">
        <v>45</v>
      </c>
      <c r="I44" s="19" t="s">
        <v>45</v>
      </c>
      <c r="J44" s="21" t="s">
        <v>45</v>
      </c>
      <c r="K44" s="6"/>
      <c r="L44" s="6"/>
      <c r="M44" s="6"/>
      <c r="N44" s="6"/>
      <c r="O44" s="6"/>
      <c r="P44" s="6"/>
      <c r="Q44" s="6"/>
      <c r="R44" s="6"/>
      <c r="S44" s="6"/>
      <c r="T44" s="6"/>
      <c r="U44" s="6"/>
    </row>
    <row r="45" spans="1:21">
      <c r="A45" s="24" t="s">
        <v>167</v>
      </c>
      <c r="B45" s="25" t="s">
        <v>168</v>
      </c>
      <c r="C45" s="71" t="s">
        <v>161</v>
      </c>
      <c r="D45" s="25"/>
      <c r="E45" s="25" t="s">
        <v>45</v>
      </c>
      <c r="F45" s="25" t="s">
        <v>45</v>
      </c>
      <c r="G45" s="25" t="s">
        <v>45</v>
      </c>
      <c r="H45" s="25" t="s">
        <v>45</v>
      </c>
      <c r="I45" s="25" t="s">
        <v>45</v>
      </c>
      <c r="J45" s="27" t="s">
        <v>45</v>
      </c>
      <c r="K45" s="6"/>
      <c r="L45" s="6"/>
      <c r="M45" s="6"/>
      <c r="N45" s="6"/>
      <c r="O45" s="6"/>
      <c r="P45" s="6"/>
      <c r="Q45" s="6"/>
      <c r="R45" s="6"/>
      <c r="S45" s="6"/>
      <c r="T45" s="6"/>
      <c r="U45" s="6"/>
    </row>
    <row r="46" spans="1:21">
      <c r="A46" s="51" t="s">
        <v>169</v>
      </c>
      <c r="B46" s="52" t="s">
        <v>170</v>
      </c>
      <c r="C46" s="75" t="s">
        <v>171</v>
      </c>
      <c r="D46" s="52"/>
      <c r="E46" s="52">
        <v>14</v>
      </c>
      <c r="F46" s="52" t="s">
        <v>22</v>
      </c>
      <c r="G46" s="52" t="s">
        <v>50</v>
      </c>
      <c r="H46" s="55">
        <v>0.4</v>
      </c>
      <c r="I46" s="56" t="s">
        <v>172</v>
      </c>
      <c r="J46" s="54"/>
      <c r="K46" s="6"/>
      <c r="L46" s="6"/>
      <c r="M46" s="6"/>
      <c r="N46" s="6"/>
      <c r="O46" s="6"/>
      <c r="P46" s="6"/>
      <c r="Q46" s="6"/>
      <c r="R46" s="6"/>
      <c r="S46" s="6"/>
      <c r="T46" s="6"/>
      <c r="U46" s="6"/>
    </row>
    <row r="47" spans="1:21">
      <c r="A47" s="64" t="s">
        <v>173</v>
      </c>
      <c r="B47" s="76" t="s">
        <v>174</v>
      </c>
      <c r="C47" s="66" t="s">
        <v>171</v>
      </c>
      <c r="D47" s="65"/>
      <c r="E47" s="65">
        <v>22</v>
      </c>
      <c r="F47" s="65" t="s">
        <v>22</v>
      </c>
      <c r="G47" s="65" t="s">
        <v>50</v>
      </c>
      <c r="H47" s="77">
        <v>0.3</v>
      </c>
      <c r="I47" s="68" t="s">
        <v>175</v>
      </c>
      <c r="J47" s="67"/>
      <c r="K47" s="6"/>
      <c r="L47" s="6"/>
      <c r="M47" s="6"/>
      <c r="N47" s="6"/>
      <c r="O47" s="6"/>
      <c r="P47" s="6"/>
      <c r="Q47" s="6"/>
      <c r="R47" s="6"/>
      <c r="S47" s="6"/>
      <c r="T47" s="6"/>
      <c r="U47" s="6"/>
    </row>
    <row r="48" spans="1:21">
      <c r="A48" s="290" t="s">
        <v>176</v>
      </c>
      <c r="B48" s="291"/>
      <c r="C48" s="291"/>
      <c r="D48" s="291"/>
      <c r="E48" s="291"/>
      <c r="F48" s="291"/>
      <c r="G48" s="291"/>
      <c r="H48" s="291"/>
      <c r="I48" s="292"/>
      <c r="J48" s="78"/>
      <c r="K48" s="6"/>
      <c r="L48" s="6"/>
      <c r="M48" s="6"/>
      <c r="N48" s="6"/>
      <c r="O48" s="6"/>
      <c r="P48" s="6"/>
      <c r="Q48" s="6"/>
      <c r="R48" s="6"/>
      <c r="S48" s="6"/>
      <c r="T48" s="6"/>
      <c r="U48" s="6"/>
    </row>
    <row r="49" spans="1:21">
      <c r="A49" s="79"/>
      <c r="B49" s="78"/>
      <c r="C49" s="79"/>
      <c r="D49" s="79"/>
      <c r="E49" s="79"/>
      <c r="F49" s="79"/>
      <c r="G49" s="79"/>
      <c r="H49" s="78"/>
      <c r="I49" s="78"/>
      <c r="J49" s="78"/>
      <c r="K49" s="6"/>
      <c r="L49" s="6"/>
      <c r="M49" s="6"/>
      <c r="N49" s="6"/>
      <c r="O49" s="6"/>
      <c r="P49" s="6"/>
      <c r="Q49" s="6"/>
      <c r="R49" s="6"/>
      <c r="S49" s="6"/>
      <c r="T49" s="6"/>
      <c r="U49" s="6"/>
    </row>
    <row r="50" spans="1:21">
      <c r="A50" s="80"/>
      <c r="B50" s="81"/>
      <c r="C50" s="80"/>
      <c r="D50" s="80"/>
      <c r="E50" s="80"/>
      <c r="F50" s="80"/>
      <c r="G50" s="80"/>
      <c r="H50" s="81"/>
      <c r="I50" s="81"/>
      <c r="J50" s="81"/>
      <c r="K50" s="6"/>
      <c r="L50" s="6"/>
      <c r="M50" s="6"/>
      <c r="N50" s="6"/>
      <c r="O50" s="6"/>
      <c r="P50" s="6"/>
      <c r="Q50" s="6"/>
      <c r="R50" s="6"/>
      <c r="S50" s="6"/>
      <c r="T50" s="6"/>
      <c r="U50" s="6"/>
    </row>
    <row r="51" spans="1:21">
      <c r="A51" s="80"/>
      <c r="B51" s="81"/>
      <c r="C51" s="80"/>
      <c r="D51" s="80"/>
      <c r="E51" s="80"/>
      <c r="F51" s="80"/>
      <c r="G51" s="80"/>
      <c r="H51" s="81"/>
      <c r="I51" s="81"/>
      <c r="J51" s="81"/>
      <c r="K51" s="6"/>
      <c r="L51" s="6"/>
      <c r="M51" s="6"/>
      <c r="N51" s="6"/>
      <c r="O51" s="6"/>
      <c r="P51" s="6"/>
      <c r="Q51" s="6"/>
      <c r="R51" s="6"/>
      <c r="S51" s="6"/>
      <c r="T51" s="6"/>
      <c r="U51" s="6"/>
    </row>
    <row r="52" spans="1:21">
      <c r="A52" s="80"/>
      <c r="B52" s="81"/>
      <c r="C52" s="80"/>
      <c r="D52" s="80"/>
      <c r="E52" s="80"/>
      <c r="F52" s="80"/>
      <c r="G52" s="80"/>
      <c r="H52" s="81"/>
      <c r="I52" s="81"/>
      <c r="J52" s="81"/>
      <c r="K52" s="6"/>
      <c r="L52" s="6"/>
      <c r="M52" s="6"/>
      <c r="N52" s="6"/>
      <c r="O52" s="6"/>
      <c r="P52" s="6"/>
      <c r="Q52" s="6"/>
      <c r="R52" s="6"/>
      <c r="S52" s="6"/>
      <c r="T52" s="6"/>
      <c r="U52" s="6"/>
    </row>
    <row r="53" spans="1:21">
      <c r="A53" s="80"/>
      <c r="B53" s="81"/>
      <c r="C53" s="80"/>
      <c r="D53" s="80"/>
      <c r="E53" s="80"/>
      <c r="F53" s="80"/>
      <c r="G53" s="80"/>
      <c r="H53" s="81"/>
      <c r="I53" s="81"/>
      <c r="J53" s="81"/>
      <c r="K53" s="6"/>
      <c r="L53" s="6"/>
      <c r="M53" s="6"/>
      <c r="N53" s="6"/>
      <c r="O53" s="6"/>
      <c r="P53" s="6"/>
      <c r="Q53" s="6"/>
      <c r="R53" s="6"/>
      <c r="S53" s="6"/>
      <c r="T53" s="6"/>
      <c r="U53" s="6"/>
    </row>
    <row r="54" spans="1:21">
      <c r="A54" s="80"/>
      <c r="B54" s="81"/>
      <c r="C54" s="80"/>
      <c r="D54" s="80"/>
      <c r="E54" s="80"/>
      <c r="F54" s="80"/>
      <c r="G54" s="80"/>
      <c r="H54" s="81"/>
      <c r="I54" s="81"/>
      <c r="J54" s="81"/>
      <c r="K54" s="6"/>
      <c r="L54" s="6"/>
      <c r="M54" s="6"/>
      <c r="N54" s="6"/>
      <c r="O54" s="6"/>
      <c r="P54" s="6"/>
      <c r="Q54" s="6"/>
      <c r="R54" s="6"/>
      <c r="S54" s="6"/>
      <c r="T54" s="6"/>
      <c r="U54" s="6"/>
    </row>
    <row r="55" spans="1:21">
      <c r="A55" s="80"/>
      <c r="B55" s="81"/>
      <c r="C55" s="80"/>
      <c r="D55" s="80"/>
      <c r="E55" s="80"/>
      <c r="F55" s="80"/>
      <c r="G55" s="80"/>
      <c r="H55" s="81"/>
      <c r="I55" s="81"/>
      <c r="J55" s="81"/>
      <c r="K55" s="6"/>
      <c r="L55" s="6"/>
      <c r="M55" s="6"/>
      <c r="N55" s="6"/>
      <c r="O55" s="6"/>
      <c r="P55" s="6"/>
      <c r="Q55" s="6"/>
      <c r="R55" s="6"/>
      <c r="S55" s="6"/>
      <c r="T55" s="6"/>
      <c r="U55" s="6"/>
    </row>
    <row r="56" spans="1:21">
      <c r="A56" s="80"/>
      <c r="B56" s="81"/>
      <c r="C56" s="80"/>
      <c r="D56" s="80"/>
      <c r="E56" s="80"/>
      <c r="F56" s="80"/>
      <c r="G56" s="80"/>
      <c r="H56" s="81"/>
      <c r="I56" s="81"/>
      <c r="J56" s="81"/>
      <c r="K56" s="6"/>
      <c r="L56" s="6"/>
      <c r="M56" s="6"/>
      <c r="N56" s="6"/>
      <c r="O56" s="6"/>
      <c r="P56" s="6"/>
      <c r="Q56" s="6"/>
      <c r="R56" s="6"/>
      <c r="S56" s="6"/>
      <c r="T56" s="6"/>
      <c r="U56" s="6"/>
    </row>
    <row r="57" spans="1:21">
      <c r="A57" s="80"/>
      <c r="B57" s="81"/>
      <c r="C57" s="80"/>
      <c r="D57" s="80"/>
      <c r="E57" s="80"/>
      <c r="F57" s="80"/>
      <c r="G57" s="80"/>
      <c r="H57" s="81"/>
      <c r="I57" s="81"/>
      <c r="J57" s="81"/>
      <c r="K57" s="6"/>
      <c r="L57" s="6"/>
      <c r="M57" s="6"/>
      <c r="N57" s="6"/>
      <c r="O57" s="6"/>
      <c r="P57" s="6"/>
      <c r="Q57" s="6"/>
      <c r="R57" s="6"/>
      <c r="S57" s="6"/>
      <c r="T57" s="6"/>
      <c r="U57" s="6"/>
    </row>
    <row r="58" spans="1:21">
      <c r="A58" s="80"/>
      <c r="B58" s="81"/>
      <c r="C58" s="80"/>
      <c r="D58" s="80"/>
      <c r="E58" s="80"/>
      <c r="F58" s="80"/>
      <c r="G58" s="80"/>
      <c r="H58" s="81"/>
      <c r="I58" s="81"/>
      <c r="J58" s="81"/>
      <c r="K58" s="6"/>
      <c r="L58" s="6"/>
      <c r="M58" s="6"/>
      <c r="N58" s="6"/>
      <c r="O58" s="6"/>
      <c r="P58" s="6"/>
      <c r="Q58" s="6"/>
      <c r="R58" s="6"/>
      <c r="S58" s="6"/>
      <c r="T58" s="6"/>
      <c r="U58" s="6"/>
    </row>
    <row r="59" spans="1:21">
      <c r="A59" s="82"/>
      <c r="B59" s="83"/>
      <c r="C59" s="82"/>
      <c r="D59" s="82"/>
      <c r="E59" s="82"/>
      <c r="F59" s="82"/>
      <c r="G59" s="82"/>
      <c r="H59" s="83"/>
      <c r="I59" s="83"/>
      <c r="J59" s="83"/>
      <c r="K59" s="6"/>
      <c r="L59" s="6"/>
      <c r="M59" s="6"/>
      <c r="N59" s="6"/>
      <c r="O59" s="6"/>
      <c r="P59" s="6"/>
      <c r="Q59" s="6"/>
      <c r="R59" s="6"/>
      <c r="S59" s="6"/>
      <c r="T59" s="6"/>
      <c r="U59" s="6"/>
    </row>
    <row r="60" spans="1:21">
      <c r="A60" s="82"/>
      <c r="B60" s="83"/>
      <c r="C60" s="82"/>
      <c r="D60" s="82"/>
      <c r="E60" s="82"/>
      <c r="F60" s="82"/>
      <c r="G60" s="82"/>
      <c r="H60" s="83"/>
      <c r="I60" s="83"/>
      <c r="J60" s="83"/>
      <c r="K60" s="6"/>
      <c r="L60" s="6"/>
      <c r="M60" s="6"/>
      <c r="N60" s="6"/>
      <c r="O60" s="6"/>
      <c r="P60" s="6"/>
      <c r="Q60" s="6"/>
      <c r="R60" s="6"/>
      <c r="S60" s="6"/>
      <c r="T60" s="6"/>
      <c r="U60" s="6"/>
    </row>
    <row r="61" spans="1:21">
      <c r="A61" s="82"/>
      <c r="B61" s="83"/>
      <c r="C61" s="82"/>
      <c r="D61" s="82"/>
      <c r="E61" s="82"/>
      <c r="F61" s="82"/>
      <c r="G61" s="82"/>
      <c r="H61" s="83"/>
      <c r="I61" s="83"/>
      <c r="J61" s="83"/>
      <c r="K61" s="6"/>
      <c r="L61" s="6"/>
      <c r="M61" s="6"/>
      <c r="N61" s="6"/>
      <c r="O61" s="6"/>
      <c r="P61" s="6"/>
      <c r="Q61" s="6"/>
      <c r="R61" s="6"/>
      <c r="S61" s="6"/>
      <c r="T61" s="6"/>
      <c r="U61" s="6"/>
    </row>
    <row r="62" spans="1:21">
      <c r="A62" s="82"/>
      <c r="B62" s="83"/>
      <c r="C62" s="82"/>
      <c r="D62" s="82"/>
      <c r="E62" s="82"/>
      <c r="F62" s="82"/>
      <c r="G62" s="82"/>
      <c r="H62" s="83"/>
      <c r="I62" s="83"/>
      <c r="J62" s="83"/>
      <c r="K62" s="6"/>
      <c r="L62" s="6"/>
      <c r="M62" s="6"/>
      <c r="N62" s="6"/>
      <c r="O62" s="6"/>
      <c r="P62" s="6"/>
      <c r="Q62" s="6"/>
      <c r="R62" s="6"/>
      <c r="S62" s="6"/>
      <c r="T62" s="6"/>
      <c r="U62" s="6"/>
    </row>
    <row r="63" spans="1:21">
      <c r="A63" s="82"/>
      <c r="B63" s="83"/>
      <c r="C63" s="82"/>
      <c r="D63" s="82"/>
      <c r="E63" s="82"/>
      <c r="F63" s="82"/>
      <c r="G63" s="82"/>
      <c r="H63" s="83"/>
      <c r="I63" s="83"/>
      <c r="J63" s="83"/>
      <c r="K63" s="6"/>
      <c r="L63" s="6"/>
      <c r="M63" s="6"/>
      <c r="N63" s="6"/>
      <c r="O63" s="6"/>
      <c r="P63" s="6"/>
      <c r="Q63" s="6"/>
      <c r="R63" s="6"/>
      <c r="S63" s="6"/>
      <c r="T63" s="6"/>
      <c r="U63" s="6"/>
    </row>
    <row r="64" spans="1:21">
      <c r="A64" s="82"/>
      <c r="B64" s="83"/>
      <c r="C64" s="82"/>
      <c r="D64" s="82"/>
      <c r="E64" s="82"/>
      <c r="F64" s="82"/>
      <c r="G64" s="82"/>
      <c r="H64" s="83"/>
      <c r="I64" s="83"/>
      <c r="J64" s="83"/>
      <c r="K64" s="6"/>
      <c r="L64" s="6"/>
      <c r="M64" s="6"/>
      <c r="N64" s="6"/>
      <c r="O64" s="6"/>
      <c r="P64" s="6"/>
      <c r="Q64" s="6"/>
      <c r="R64" s="6"/>
      <c r="S64" s="6"/>
      <c r="T64" s="6"/>
      <c r="U64" s="6"/>
    </row>
    <row r="65" spans="1:21">
      <c r="A65" s="82"/>
      <c r="B65" s="83"/>
      <c r="C65" s="82"/>
      <c r="D65" s="82"/>
      <c r="E65" s="82"/>
      <c r="F65" s="82"/>
      <c r="G65" s="82"/>
      <c r="H65" s="83"/>
      <c r="I65" s="83"/>
      <c r="J65" s="83"/>
      <c r="K65" s="6"/>
      <c r="L65" s="6"/>
      <c r="M65" s="6"/>
      <c r="N65" s="6"/>
      <c r="O65" s="6"/>
      <c r="P65" s="6"/>
      <c r="Q65" s="6"/>
      <c r="R65" s="6"/>
      <c r="S65" s="6"/>
      <c r="T65" s="6"/>
      <c r="U65" s="6"/>
    </row>
    <row r="66" spans="1:21">
      <c r="A66" s="82"/>
      <c r="B66" s="83"/>
      <c r="C66" s="82"/>
      <c r="D66" s="82"/>
      <c r="E66" s="82"/>
      <c r="F66" s="82"/>
      <c r="G66" s="82"/>
      <c r="H66" s="83"/>
      <c r="I66" s="83"/>
      <c r="J66" s="83"/>
      <c r="K66" s="6"/>
      <c r="L66" s="6"/>
      <c r="M66" s="6"/>
      <c r="N66" s="6"/>
      <c r="O66" s="6"/>
      <c r="P66" s="6"/>
      <c r="Q66" s="6"/>
      <c r="R66" s="6"/>
      <c r="S66" s="6"/>
      <c r="T66" s="6"/>
      <c r="U66" s="6"/>
    </row>
    <row r="67" spans="1:21">
      <c r="A67" s="82"/>
      <c r="B67" s="83"/>
      <c r="C67" s="82"/>
      <c r="D67" s="82"/>
      <c r="E67" s="82"/>
      <c r="F67" s="82"/>
      <c r="G67" s="82"/>
      <c r="H67" s="83"/>
      <c r="I67" s="83"/>
      <c r="J67" s="83"/>
      <c r="K67" s="6"/>
      <c r="L67" s="6"/>
      <c r="M67" s="6"/>
      <c r="N67" s="6"/>
      <c r="O67" s="6"/>
      <c r="P67" s="6"/>
      <c r="Q67" s="6"/>
      <c r="R67" s="6"/>
      <c r="S67" s="6"/>
      <c r="T67" s="6"/>
      <c r="U67" s="6"/>
    </row>
    <row r="68" spans="1:21">
      <c r="A68" s="82"/>
      <c r="B68" s="83"/>
      <c r="C68" s="82"/>
      <c r="D68" s="82"/>
      <c r="E68" s="82"/>
      <c r="F68" s="82"/>
      <c r="G68" s="82"/>
      <c r="H68" s="83"/>
      <c r="I68" s="83"/>
      <c r="J68" s="83"/>
      <c r="K68" s="6"/>
      <c r="L68" s="6"/>
      <c r="M68" s="6"/>
      <c r="N68" s="6"/>
      <c r="O68" s="6"/>
      <c r="P68" s="6"/>
      <c r="Q68" s="6"/>
      <c r="R68" s="6"/>
      <c r="S68" s="6"/>
      <c r="T68" s="6"/>
      <c r="U68" s="6"/>
    </row>
    <row r="69" spans="1:21">
      <c r="A69" s="82"/>
      <c r="B69" s="83"/>
      <c r="C69" s="82"/>
      <c r="D69" s="82"/>
      <c r="E69" s="82"/>
      <c r="F69" s="82"/>
      <c r="G69" s="82"/>
      <c r="H69" s="83"/>
      <c r="I69" s="83"/>
      <c r="J69" s="83"/>
      <c r="K69" s="6"/>
      <c r="L69" s="6"/>
      <c r="M69" s="6"/>
      <c r="N69" s="6"/>
      <c r="O69" s="6"/>
      <c r="P69" s="6"/>
      <c r="Q69" s="6"/>
      <c r="R69" s="6"/>
      <c r="S69" s="6"/>
      <c r="T69" s="6"/>
      <c r="U69" s="6"/>
    </row>
    <row r="70" spans="1:21">
      <c r="A70" s="82"/>
      <c r="B70" s="83"/>
      <c r="C70" s="82"/>
      <c r="D70" s="82"/>
      <c r="E70" s="82"/>
      <c r="F70" s="82"/>
      <c r="G70" s="82"/>
      <c r="H70" s="83"/>
      <c r="I70" s="83"/>
      <c r="J70" s="83"/>
      <c r="K70" s="6"/>
      <c r="L70" s="6"/>
      <c r="M70" s="6"/>
      <c r="N70" s="6"/>
      <c r="O70" s="6"/>
      <c r="P70" s="6"/>
      <c r="Q70" s="6"/>
      <c r="R70" s="6"/>
      <c r="S70" s="6"/>
      <c r="T70" s="6"/>
      <c r="U70" s="6"/>
    </row>
    <row r="71" spans="1:21">
      <c r="A71" s="82"/>
      <c r="B71" s="83"/>
      <c r="C71" s="82"/>
      <c r="D71" s="82"/>
      <c r="E71" s="82"/>
      <c r="F71" s="82"/>
      <c r="G71" s="82"/>
      <c r="H71" s="83"/>
      <c r="I71" s="83"/>
      <c r="J71" s="83"/>
      <c r="K71" s="6"/>
      <c r="L71" s="6"/>
      <c r="M71" s="6"/>
      <c r="N71" s="6"/>
      <c r="O71" s="6"/>
      <c r="P71" s="6"/>
      <c r="Q71" s="6"/>
      <c r="R71" s="6"/>
      <c r="S71" s="6"/>
      <c r="T71" s="6"/>
      <c r="U71" s="6"/>
    </row>
    <row r="72" spans="1:21">
      <c r="A72" s="82"/>
      <c r="B72" s="83"/>
      <c r="C72" s="82"/>
      <c r="D72" s="82"/>
      <c r="E72" s="82"/>
      <c r="F72" s="82"/>
      <c r="G72" s="82"/>
      <c r="H72" s="83"/>
      <c r="I72" s="83"/>
      <c r="J72" s="83"/>
      <c r="K72" s="6"/>
      <c r="L72" s="6"/>
      <c r="M72" s="6"/>
      <c r="N72" s="6"/>
      <c r="O72" s="6"/>
      <c r="P72" s="6"/>
      <c r="Q72" s="6"/>
      <c r="R72" s="6"/>
      <c r="S72" s="6"/>
      <c r="T72" s="6"/>
      <c r="U72" s="6"/>
    </row>
    <row r="73" spans="1:21">
      <c r="A73" s="82"/>
      <c r="B73" s="83"/>
      <c r="C73" s="82"/>
      <c r="D73" s="82"/>
      <c r="E73" s="82"/>
      <c r="F73" s="82"/>
      <c r="G73" s="82"/>
      <c r="H73" s="83"/>
      <c r="I73" s="83"/>
      <c r="J73" s="83"/>
      <c r="K73" s="6"/>
      <c r="L73" s="6"/>
      <c r="M73" s="6"/>
      <c r="N73" s="6"/>
      <c r="O73" s="6"/>
      <c r="P73" s="6"/>
      <c r="Q73" s="6"/>
      <c r="R73" s="6"/>
      <c r="S73" s="6"/>
      <c r="T73" s="6"/>
      <c r="U73" s="6"/>
    </row>
    <row r="74" spans="1:21">
      <c r="A74" s="82"/>
      <c r="B74" s="83"/>
      <c r="C74" s="82"/>
      <c r="D74" s="82"/>
      <c r="E74" s="82"/>
      <c r="F74" s="82"/>
      <c r="G74" s="82"/>
      <c r="H74" s="83"/>
      <c r="I74" s="83"/>
      <c r="J74" s="83"/>
      <c r="K74" s="6"/>
      <c r="L74" s="6"/>
      <c r="M74" s="6"/>
      <c r="N74" s="6"/>
      <c r="O74" s="6"/>
      <c r="P74" s="6"/>
      <c r="Q74" s="6"/>
      <c r="R74" s="6"/>
      <c r="S74" s="6"/>
      <c r="T74" s="6"/>
      <c r="U74" s="6"/>
    </row>
    <row r="75" spans="1:21">
      <c r="A75" s="82"/>
      <c r="B75" s="83"/>
      <c r="C75" s="82"/>
      <c r="D75" s="82"/>
      <c r="E75" s="82"/>
      <c r="F75" s="82"/>
      <c r="G75" s="82"/>
      <c r="H75" s="83"/>
      <c r="I75" s="83"/>
      <c r="J75" s="83"/>
      <c r="K75" s="6"/>
      <c r="L75" s="6"/>
      <c r="M75" s="6"/>
      <c r="N75" s="6"/>
      <c r="O75" s="6"/>
      <c r="P75" s="6"/>
      <c r="Q75" s="6"/>
      <c r="R75" s="6"/>
      <c r="S75" s="6"/>
      <c r="T75" s="6"/>
      <c r="U75" s="6"/>
    </row>
    <row r="76" spans="1:21">
      <c r="A76" s="82"/>
      <c r="B76" s="83"/>
      <c r="C76" s="82"/>
      <c r="D76" s="82"/>
      <c r="E76" s="82"/>
      <c r="F76" s="82"/>
      <c r="G76" s="82"/>
      <c r="H76" s="83"/>
      <c r="I76" s="83"/>
      <c r="J76" s="83"/>
      <c r="K76" s="6"/>
      <c r="L76" s="6"/>
      <c r="M76" s="6"/>
      <c r="N76" s="6"/>
      <c r="O76" s="6"/>
      <c r="P76" s="6"/>
      <c r="Q76" s="6"/>
      <c r="R76" s="6"/>
      <c r="S76" s="6"/>
      <c r="T76" s="6"/>
      <c r="U76" s="6"/>
    </row>
    <row r="77" spans="1:21">
      <c r="A77" s="82"/>
      <c r="B77" s="83"/>
      <c r="C77" s="82"/>
      <c r="D77" s="82"/>
      <c r="E77" s="82"/>
      <c r="F77" s="82"/>
      <c r="G77" s="82"/>
      <c r="H77" s="83"/>
      <c r="I77" s="83"/>
      <c r="J77" s="83"/>
      <c r="K77" s="6"/>
      <c r="L77" s="6"/>
      <c r="M77" s="6"/>
      <c r="N77" s="6"/>
      <c r="O77" s="6"/>
      <c r="P77" s="6"/>
      <c r="Q77" s="6"/>
      <c r="R77" s="6"/>
      <c r="S77" s="6"/>
      <c r="T77" s="6"/>
      <c r="U77" s="6"/>
    </row>
    <row r="78" spans="1:21">
      <c r="A78" s="82"/>
      <c r="B78" s="83"/>
      <c r="C78" s="82"/>
      <c r="D78" s="82"/>
      <c r="E78" s="82"/>
      <c r="F78" s="82"/>
      <c r="G78" s="82"/>
      <c r="H78" s="83"/>
      <c r="I78" s="83"/>
      <c r="J78" s="83"/>
      <c r="K78" s="6"/>
      <c r="L78" s="6"/>
      <c r="M78" s="6"/>
      <c r="N78" s="6"/>
      <c r="O78" s="6"/>
      <c r="P78" s="6"/>
      <c r="Q78" s="6"/>
      <c r="R78" s="6"/>
      <c r="S78" s="6"/>
      <c r="T78" s="6"/>
      <c r="U78" s="6"/>
    </row>
    <row r="79" spans="1:21">
      <c r="A79" s="82"/>
      <c r="B79" s="83"/>
      <c r="C79" s="82"/>
      <c r="D79" s="82"/>
      <c r="E79" s="82"/>
      <c r="F79" s="82"/>
      <c r="G79" s="82"/>
      <c r="H79" s="83"/>
      <c r="I79" s="83"/>
      <c r="J79" s="83"/>
      <c r="K79" s="6"/>
      <c r="L79" s="6"/>
      <c r="M79" s="6"/>
      <c r="N79" s="6"/>
      <c r="O79" s="6"/>
      <c r="P79" s="6"/>
      <c r="Q79" s="6"/>
      <c r="R79" s="6"/>
      <c r="S79" s="6"/>
      <c r="T79" s="6"/>
      <c r="U79" s="6"/>
    </row>
    <row r="80" spans="1:21">
      <c r="A80" s="82"/>
      <c r="B80" s="83"/>
      <c r="C80" s="82"/>
      <c r="D80" s="82"/>
      <c r="E80" s="82"/>
      <c r="F80" s="82"/>
      <c r="G80" s="82"/>
      <c r="H80" s="83"/>
      <c r="I80" s="83"/>
      <c r="J80" s="83"/>
      <c r="K80" s="6"/>
      <c r="L80" s="6"/>
      <c r="M80" s="6"/>
      <c r="N80" s="6"/>
      <c r="O80" s="6"/>
      <c r="P80" s="6"/>
      <c r="Q80" s="6"/>
      <c r="R80" s="6"/>
      <c r="S80" s="6"/>
      <c r="T80" s="6"/>
      <c r="U80" s="6"/>
    </row>
    <row r="81" spans="1:21">
      <c r="A81" s="82"/>
      <c r="B81" s="83"/>
      <c r="C81" s="82"/>
      <c r="D81" s="82"/>
      <c r="E81" s="82"/>
      <c r="F81" s="82"/>
      <c r="G81" s="82"/>
      <c r="H81" s="83"/>
      <c r="I81" s="83"/>
      <c r="J81" s="83"/>
      <c r="K81" s="6"/>
      <c r="L81" s="6"/>
      <c r="M81" s="6"/>
      <c r="N81" s="6"/>
      <c r="O81" s="6"/>
      <c r="P81" s="6"/>
      <c r="Q81" s="6"/>
      <c r="R81" s="6"/>
      <c r="S81" s="6"/>
      <c r="T81" s="6"/>
      <c r="U81" s="6"/>
    </row>
    <row r="82" spans="1:21">
      <c r="A82" s="82"/>
      <c r="B82" s="83"/>
      <c r="C82" s="82"/>
      <c r="D82" s="82"/>
      <c r="E82" s="82"/>
      <c r="F82" s="82"/>
      <c r="G82" s="82"/>
      <c r="H82" s="83"/>
      <c r="I82" s="83"/>
      <c r="J82" s="83"/>
      <c r="K82" s="6"/>
      <c r="L82" s="6"/>
      <c r="M82" s="6"/>
      <c r="N82" s="6"/>
      <c r="O82" s="6"/>
      <c r="P82" s="6"/>
      <c r="Q82" s="6"/>
      <c r="R82" s="6"/>
      <c r="S82" s="6"/>
      <c r="T82" s="6"/>
      <c r="U82" s="6"/>
    </row>
    <row r="83" spans="1:21">
      <c r="A83" s="82"/>
      <c r="B83" s="83"/>
      <c r="C83" s="82"/>
      <c r="D83" s="82"/>
      <c r="E83" s="82"/>
      <c r="F83" s="82"/>
      <c r="G83" s="82"/>
      <c r="H83" s="83"/>
      <c r="I83" s="83"/>
      <c r="J83" s="83"/>
      <c r="K83" s="6"/>
      <c r="L83" s="6"/>
      <c r="M83" s="6"/>
      <c r="N83" s="6"/>
      <c r="O83" s="6"/>
      <c r="P83" s="6"/>
      <c r="Q83" s="6"/>
      <c r="R83" s="6"/>
      <c r="S83" s="6"/>
      <c r="T83" s="6"/>
      <c r="U83" s="6"/>
    </row>
    <row r="84" spans="1:21">
      <c r="A84" s="82"/>
      <c r="B84" s="83"/>
      <c r="C84" s="82"/>
      <c r="D84" s="82"/>
      <c r="E84" s="82"/>
      <c r="F84" s="82"/>
      <c r="G84" s="82"/>
      <c r="H84" s="83"/>
      <c r="I84" s="83"/>
      <c r="J84" s="83"/>
      <c r="K84" s="6"/>
      <c r="L84" s="6"/>
      <c r="M84" s="6"/>
      <c r="N84" s="6"/>
      <c r="O84" s="6"/>
      <c r="P84" s="6"/>
      <c r="Q84" s="6"/>
      <c r="R84" s="6"/>
      <c r="S84" s="6"/>
      <c r="T84" s="6"/>
      <c r="U84" s="6"/>
    </row>
    <row r="85" spans="1:21">
      <c r="A85" s="82"/>
      <c r="B85" s="83"/>
      <c r="C85" s="82"/>
      <c r="D85" s="82"/>
      <c r="E85" s="82"/>
      <c r="F85" s="82"/>
      <c r="G85" s="82"/>
      <c r="H85" s="83"/>
      <c r="I85" s="83"/>
      <c r="J85" s="83"/>
      <c r="K85" s="6"/>
      <c r="L85" s="6"/>
      <c r="M85" s="6"/>
      <c r="N85" s="6"/>
      <c r="O85" s="6"/>
      <c r="P85" s="6"/>
      <c r="Q85" s="6"/>
      <c r="R85" s="6"/>
      <c r="S85" s="6"/>
      <c r="T85" s="6"/>
      <c r="U85" s="6"/>
    </row>
    <row r="86" spans="1:21">
      <c r="A86" s="82"/>
      <c r="B86" s="83"/>
      <c r="C86" s="82"/>
      <c r="D86" s="82"/>
      <c r="E86" s="82"/>
      <c r="F86" s="82"/>
      <c r="G86" s="82"/>
      <c r="H86" s="83"/>
      <c r="I86" s="83"/>
      <c r="J86" s="83"/>
      <c r="K86" s="6"/>
      <c r="L86" s="6"/>
      <c r="M86" s="6"/>
      <c r="N86" s="6"/>
      <c r="O86" s="6"/>
      <c r="P86" s="6"/>
      <c r="Q86" s="6"/>
      <c r="R86" s="6"/>
      <c r="S86" s="6"/>
      <c r="T86" s="6"/>
      <c r="U86" s="6"/>
    </row>
    <row r="87" spans="1:21">
      <c r="A87" s="82"/>
      <c r="B87" s="83"/>
      <c r="C87" s="82"/>
      <c r="D87" s="82"/>
      <c r="E87" s="82"/>
      <c r="F87" s="82"/>
      <c r="G87" s="82"/>
      <c r="H87" s="83"/>
      <c r="I87" s="83"/>
      <c r="J87" s="83"/>
      <c r="K87" s="6"/>
      <c r="L87" s="6"/>
      <c r="M87" s="6"/>
      <c r="N87" s="6"/>
      <c r="O87" s="6"/>
      <c r="P87" s="6"/>
      <c r="Q87" s="6"/>
      <c r="R87" s="6"/>
      <c r="S87" s="6"/>
      <c r="T87" s="6"/>
      <c r="U87" s="6"/>
    </row>
    <row r="88" spans="1:21">
      <c r="A88" s="82"/>
      <c r="B88" s="83"/>
      <c r="C88" s="82"/>
      <c r="D88" s="82"/>
      <c r="E88" s="82"/>
      <c r="F88" s="82"/>
      <c r="G88" s="82"/>
      <c r="H88" s="83"/>
      <c r="I88" s="83"/>
      <c r="J88" s="83"/>
      <c r="K88" s="6"/>
      <c r="L88" s="6"/>
      <c r="M88" s="6"/>
      <c r="N88" s="6"/>
      <c r="O88" s="6"/>
      <c r="P88" s="6"/>
      <c r="Q88" s="6"/>
      <c r="R88" s="6"/>
      <c r="S88" s="6"/>
      <c r="T88" s="6"/>
      <c r="U88" s="6"/>
    </row>
    <row r="89" spans="1:21">
      <c r="A89" s="82"/>
      <c r="B89" s="83"/>
      <c r="C89" s="82"/>
      <c r="D89" s="82"/>
      <c r="E89" s="82"/>
      <c r="F89" s="82"/>
      <c r="G89" s="82"/>
      <c r="H89" s="83"/>
      <c r="I89" s="83"/>
      <c r="J89" s="83"/>
      <c r="K89" s="6"/>
      <c r="L89" s="6"/>
      <c r="M89" s="6"/>
      <c r="N89" s="6"/>
      <c r="O89" s="6"/>
      <c r="P89" s="6"/>
      <c r="Q89" s="6"/>
      <c r="R89" s="6"/>
      <c r="S89" s="6"/>
      <c r="T89" s="6"/>
      <c r="U89" s="6"/>
    </row>
    <row r="90" spans="1:21">
      <c r="A90" s="82"/>
      <c r="B90" s="83"/>
      <c r="C90" s="82"/>
      <c r="D90" s="82"/>
      <c r="E90" s="82"/>
      <c r="F90" s="82"/>
      <c r="G90" s="82"/>
      <c r="H90" s="83"/>
      <c r="I90" s="83"/>
      <c r="J90" s="83"/>
      <c r="K90" s="6"/>
      <c r="L90" s="6"/>
      <c r="M90" s="6"/>
      <c r="N90" s="6"/>
      <c r="O90" s="6"/>
      <c r="P90" s="6"/>
      <c r="Q90" s="6"/>
      <c r="R90" s="6"/>
      <c r="S90" s="6"/>
      <c r="T90" s="6"/>
      <c r="U90" s="6"/>
    </row>
    <row r="91" spans="1:21">
      <c r="A91" s="82"/>
      <c r="B91" s="83"/>
      <c r="C91" s="82"/>
      <c r="D91" s="82"/>
      <c r="E91" s="82"/>
      <c r="F91" s="82"/>
      <c r="G91" s="82"/>
      <c r="H91" s="83"/>
      <c r="I91" s="83"/>
      <c r="J91" s="83"/>
      <c r="K91" s="6"/>
      <c r="L91" s="6"/>
      <c r="M91" s="6"/>
      <c r="N91" s="6"/>
      <c r="O91" s="6"/>
      <c r="P91" s="6"/>
      <c r="Q91" s="6"/>
      <c r="R91" s="6"/>
      <c r="S91" s="6"/>
      <c r="T91" s="6"/>
      <c r="U91" s="6"/>
    </row>
    <row r="92" spans="1:21">
      <c r="A92" s="82"/>
      <c r="B92" s="83"/>
      <c r="C92" s="82"/>
      <c r="D92" s="82"/>
      <c r="E92" s="82"/>
      <c r="F92" s="82"/>
      <c r="G92" s="82"/>
      <c r="H92" s="83"/>
      <c r="I92" s="83"/>
      <c r="J92" s="83"/>
      <c r="K92" s="6"/>
      <c r="L92" s="6"/>
      <c r="M92" s="6"/>
      <c r="N92" s="6"/>
      <c r="O92" s="6"/>
      <c r="P92" s="6"/>
      <c r="Q92" s="6"/>
      <c r="R92" s="6"/>
      <c r="S92" s="6"/>
      <c r="T92" s="6"/>
      <c r="U92" s="6"/>
    </row>
    <row r="93" spans="1:21">
      <c r="A93" s="82"/>
      <c r="B93" s="83"/>
      <c r="C93" s="82"/>
      <c r="D93" s="82"/>
      <c r="E93" s="82"/>
      <c r="F93" s="82"/>
      <c r="G93" s="82"/>
      <c r="H93" s="83"/>
      <c r="I93" s="83"/>
      <c r="J93" s="83"/>
      <c r="K93" s="6"/>
      <c r="L93" s="6"/>
      <c r="M93" s="6"/>
      <c r="N93" s="6"/>
      <c r="O93" s="6"/>
      <c r="P93" s="6"/>
      <c r="Q93" s="6"/>
      <c r="R93" s="6"/>
      <c r="S93" s="6"/>
      <c r="T93" s="6"/>
      <c r="U93" s="6"/>
    </row>
    <row r="94" spans="1:21">
      <c r="A94" s="82"/>
      <c r="B94" s="83"/>
      <c r="C94" s="82"/>
      <c r="D94" s="82"/>
      <c r="E94" s="82"/>
      <c r="F94" s="82"/>
      <c r="G94" s="82"/>
      <c r="H94" s="83"/>
      <c r="I94" s="83"/>
      <c r="J94" s="83"/>
      <c r="K94" s="6"/>
      <c r="L94" s="6"/>
      <c r="M94" s="6"/>
      <c r="N94" s="6"/>
      <c r="O94" s="6"/>
      <c r="P94" s="6"/>
      <c r="Q94" s="6"/>
      <c r="R94" s="6"/>
      <c r="S94" s="6"/>
      <c r="T94" s="6"/>
      <c r="U94" s="6"/>
    </row>
    <row r="95" spans="1:21">
      <c r="A95" s="82"/>
      <c r="B95" s="83"/>
      <c r="C95" s="82"/>
      <c r="D95" s="82"/>
      <c r="E95" s="82"/>
      <c r="F95" s="82"/>
      <c r="G95" s="82"/>
      <c r="H95" s="83"/>
      <c r="I95" s="83"/>
      <c r="J95" s="83"/>
      <c r="K95" s="6"/>
      <c r="L95" s="6"/>
      <c r="M95" s="6"/>
      <c r="N95" s="6"/>
      <c r="O95" s="6"/>
      <c r="P95" s="6"/>
      <c r="Q95" s="6"/>
      <c r="R95" s="6"/>
      <c r="S95" s="6"/>
      <c r="T95" s="6"/>
      <c r="U95" s="6"/>
    </row>
    <row r="96" spans="1:21">
      <c r="A96" s="82"/>
      <c r="B96" s="83"/>
      <c r="C96" s="82"/>
      <c r="D96" s="82"/>
      <c r="E96" s="82"/>
      <c r="F96" s="82"/>
      <c r="G96" s="82"/>
      <c r="H96" s="83"/>
      <c r="I96" s="83"/>
      <c r="J96" s="83"/>
      <c r="K96" s="6"/>
      <c r="L96" s="6"/>
      <c r="M96" s="6"/>
      <c r="N96" s="6"/>
      <c r="O96" s="6"/>
      <c r="P96" s="6"/>
      <c r="Q96" s="6"/>
      <c r="R96" s="6"/>
      <c r="S96" s="6"/>
      <c r="T96" s="6"/>
      <c r="U96" s="6"/>
    </row>
    <row r="97" spans="1:21">
      <c r="A97" s="82"/>
      <c r="B97" s="83"/>
      <c r="C97" s="82"/>
      <c r="D97" s="82"/>
      <c r="E97" s="82"/>
      <c r="F97" s="82"/>
      <c r="G97" s="82"/>
      <c r="H97" s="83"/>
      <c r="I97" s="83"/>
      <c r="J97" s="83"/>
      <c r="K97" s="6"/>
      <c r="L97" s="6"/>
      <c r="M97" s="6"/>
      <c r="N97" s="6"/>
      <c r="O97" s="6"/>
      <c r="P97" s="6"/>
      <c r="Q97" s="6"/>
      <c r="R97" s="6"/>
      <c r="S97" s="6"/>
      <c r="T97" s="6"/>
      <c r="U97" s="6"/>
    </row>
    <row r="98" spans="1:21">
      <c r="A98" s="82"/>
      <c r="B98" s="83"/>
      <c r="C98" s="82"/>
      <c r="D98" s="82"/>
      <c r="E98" s="82"/>
      <c r="F98" s="82"/>
      <c r="G98" s="82"/>
      <c r="H98" s="83"/>
      <c r="I98" s="83"/>
      <c r="J98" s="83"/>
      <c r="K98" s="6"/>
      <c r="L98" s="6"/>
      <c r="M98" s="6"/>
      <c r="N98" s="6"/>
      <c r="O98" s="6"/>
      <c r="P98" s="6"/>
      <c r="Q98" s="6"/>
      <c r="R98" s="6"/>
      <c r="S98" s="6"/>
      <c r="T98" s="6"/>
      <c r="U98" s="6"/>
    </row>
    <row r="99" spans="1:21">
      <c r="A99" s="82"/>
      <c r="B99" s="83"/>
      <c r="C99" s="82"/>
      <c r="D99" s="82"/>
      <c r="E99" s="82"/>
      <c r="F99" s="82"/>
      <c r="G99" s="82"/>
      <c r="H99" s="83"/>
      <c r="I99" s="83"/>
      <c r="J99" s="83"/>
      <c r="K99" s="6"/>
      <c r="L99" s="6"/>
      <c r="M99" s="6"/>
      <c r="N99" s="6"/>
      <c r="O99" s="6"/>
      <c r="P99" s="6"/>
      <c r="Q99" s="6"/>
      <c r="R99" s="6"/>
      <c r="S99" s="6"/>
      <c r="T99" s="6"/>
      <c r="U99" s="6"/>
    </row>
    <row r="100" spans="1:21">
      <c r="A100" s="82"/>
      <c r="B100" s="83"/>
      <c r="C100" s="82"/>
      <c r="D100" s="82"/>
      <c r="E100" s="82"/>
      <c r="F100" s="82"/>
      <c r="G100" s="82"/>
      <c r="H100" s="83"/>
      <c r="I100" s="83"/>
      <c r="J100" s="83"/>
      <c r="K100" s="6"/>
      <c r="L100" s="6"/>
      <c r="M100" s="6"/>
      <c r="N100" s="6"/>
      <c r="O100" s="6"/>
      <c r="P100" s="6"/>
      <c r="Q100" s="6"/>
      <c r="R100" s="6"/>
      <c r="S100" s="6"/>
      <c r="T100" s="6"/>
      <c r="U100" s="6"/>
    </row>
    <row r="101" spans="1:21">
      <c r="A101" s="82"/>
      <c r="B101" s="83"/>
      <c r="C101" s="82"/>
      <c r="D101" s="82"/>
      <c r="E101" s="82"/>
      <c r="F101" s="82"/>
      <c r="G101" s="82"/>
      <c r="H101" s="83"/>
      <c r="I101" s="83"/>
      <c r="J101" s="83"/>
      <c r="K101" s="6"/>
      <c r="L101" s="6"/>
      <c r="M101" s="6"/>
      <c r="N101" s="6"/>
      <c r="O101" s="6"/>
      <c r="P101" s="6"/>
      <c r="Q101" s="6"/>
      <c r="R101" s="6"/>
      <c r="S101" s="6"/>
      <c r="T101" s="6"/>
      <c r="U101" s="6"/>
    </row>
    <row r="102" spans="1:21">
      <c r="A102" s="82"/>
      <c r="B102" s="83"/>
      <c r="C102" s="82"/>
      <c r="D102" s="82"/>
      <c r="E102" s="82"/>
      <c r="F102" s="82"/>
      <c r="G102" s="82"/>
      <c r="H102" s="83"/>
      <c r="I102" s="83"/>
      <c r="J102" s="83"/>
      <c r="K102" s="6"/>
      <c r="L102" s="6"/>
      <c r="M102" s="6"/>
      <c r="N102" s="6"/>
      <c r="O102" s="6"/>
      <c r="P102" s="6"/>
      <c r="Q102" s="6"/>
      <c r="R102" s="6"/>
      <c r="S102" s="6"/>
      <c r="T102" s="6"/>
      <c r="U102" s="6"/>
    </row>
    <row r="103" spans="1:21">
      <c r="A103" s="82"/>
      <c r="B103" s="83"/>
      <c r="C103" s="82"/>
      <c r="D103" s="82"/>
      <c r="E103" s="82"/>
      <c r="F103" s="82"/>
      <c r="G103" s="82"/>
      <c r="H103" s="83"/>
      <c r="I103" s="83"/>
      <c r="J103" s="83"/>
      <c r="K103" s="6"/>
      <c r="L103" s="6"/>
      <c r="M103" s="6"/>
      <c r="N103" s="6"/>
      <c r="O103" s="6"/>
      <c r="P103" s="6"/>
      <c r="Q103" s="6"/>
      <c r="R103" s="6"/>
      <c r="S103" s="6"/>
      <c r="T103" s="6"/>
      <c r="U103" s="6"/>
    </row>
    <row r="104" spans="1:21">
      <c r="A104" s="82"/>
      <c r="B104" s="83"/>
      <c r="C104" s="82"/>
      <c r="D104" s="82"/>
      <c r="E104" s="82"/>
      <c r="F104" s="82"/>
      <c r="G104" s="82"/>
      <c r="H104" s="83"/>
      <c r="I104" s="83"/>
      <c r="J104" s="83"/>
      <c r="K104" s="6"/>
      <c r="L104" s="6"/>
      <c r="M104" s="6"/>
      <c r="N104" s="6"/>
      <c r="O104" s="6"/>
      <c r="P104" s="6"/>
      <c r="Q104" s="6"/>
      <c r="R104" s="6"/>
      <c r="S104" s="6"/>
      <c r="T104" s="6"/>
      <c r="U104" s="6"/>
    </row>
    <row r="105" spans="1:21">
      <c r="A105" s="82"/>
      <c r="B105" s="83"/>
      <c r="C105" s="82"/>
      <c r="D105" s="82"/>
      <c r="E105" s="82"/>
      <c r="F105" s="82"/>
      <c r="G105" s="82"/>
      <c r="H105" s="83"/>
      <c r="I105" s="83"/>
      <c r="J105" s="83"/>
      <c r="K105" s="6"/>
      <c r="L105" s="6"/>
      <c r="M105" s="6"/>
      <c r="N105" s="6"/>
      <c r="O105" s="6"/>
      <c r="P105" s="6"/>
      <c r="Q105" s="6"/>
      <c r="R105" s="6"/>
      <c r="S105" s="6"/>
      <c r="T105" s="6"/>
      <c r="U105" s="6"/>
    </row>
    <row r="106" spans="1:21">
      <c r="A106" s="82"/>
      <c r="B106" s="83"/>
      <c r="C106" s="82"/>
      <c r="D106" s="82"/>
      <c r="E106" s="82"/>
      <c r="F106" s="82"/>
      <c r="G106" s="82"/>
      <c r="H106" s="83"/>
      <c r="I106" s="83"/>
      <c r="J106" s="83"/>
      <c r="K106" s="6"/>
      <c r="L106" s="6"/>
      <c r="M106" s="6"/>
      <c r="N106" s="6"/>
      <c r="O106" s="6"/>
      <c r="P106" s="6"/>
      <c r="Q106" s="6"/>
      <c r="R106" s="6"/>
      <c r="S106" s="6"/>
      <c r="T106" s="6"/>
      <c r="U106" s="6"/>
    </row>
    <row r="107" spans="1:21">
      <c r="A107" s="82"/>
      <c r="B107" s="83"/>
      <c r="C107" s="82"/>
      <c r="D107" s="82"/>
      <c r="E107" s="82"/>
      <c r="F107" s="82"/>
      <c r="G107" s="82"/>
      <c r="H107" s="83"/>
      <c r="I107" s="83"/>
      <c r="J107" s="83"/>
      <c r="K107" s="6"/>
      <c r="L107" s="6"/>
      <c r="M107" s="6"/>
      <c r="N107" s="6"/>
      <c r="O107" s="6"/>
      <c r="P107" s="6"/>
      <c r="Q107" s="6"/>
      <c r="R107" s="6"/>
      <c r="S107" s="6"/>
      <c r="T107" s="6"/>
      <c r="U107" s="6"/>
    </row>
    <row r="108" spans="1:21">
      <c r="A108" s="82"/>
      <c r="B108" s="83"/>
      <c r="C108" s="82"/>
      <c r="D108" s="82"/>
      <c r="E108" s="82"/>
      <c r="F108" s="82"/>
      <c r="G108" s="82"/>
      <c r="H108" s="83"/>
      <c r="I108" s="83"/>
      <c r="J108" s="83"/>
      <c r="K108" s="6"/>
      <c r="L108" s="6"/>
      <c r="M108" s="6"/>
      <c r="N108" s="6"/>
      <c r="O108" s="6"/>
      <c r="P108" s="6"/>
      <c r="Q108" s="6"/>
      <c r="R108" s="6"/>
      <c r="S108" s="6"/>
      <c r="T108" s="6"/>
      <c r="U108" s="6"/>
    </row>
    <row r="109" spans="1:21">
      <c r="A109" s="82"/>
      <c r="B109" s="83"/>
      <c r="C109" s="82"/>
      <c r="D109" s="82"/>
      <c r="E109" s="82"/>
      <c r="F109" s="82"/>
      <c r="G109" s="82"/>
      <c r="H109" s="83"/>
      <c r="I109" s="83"/>
      <c r="J109" s="83"/>
      <c r="K109" s="6"/>
      <c r="L109" s="6"/>
      <c r="M109" s="6"/>
      <c r="N109" s="6"/>
      <c r="O109" s="6"/>
      <c r="P109" s="6"/>
      <c r="Q109" s="6"/>
      <c r="R109" s="6"/>
      <c r="S109" s="6"/>
      <c r="T109" s="6"/>
      <c r="U109" s="6"/>
    </row>
    <row r="110" spans="1:21">
      <c r="A110" s="82"/>
      <c r="B110" s="83"/>
      <c r="C110" s="82"/>
      <c r="D110" s="82"/>
      <c r="E110" s="82"/>
      <c r="F110" s="82"/>
      <c r="G110" s="82"/>
      <c r="H110" s="83"/>
      <c r="I110" s="83"/>
      <c r="J110" s="83"/>
      <c r="K110" s="6"/>
      <c r="L110" s="6"/>
      <c r="M110" s="6"/>
      <c r="N110" s="6"/>
      <c r="O110" s="6"/>
      <c r="P110" s="6"/>
      <c r="Q110" s="6"/>
      <c r="R110" s="6"/>
      <c r="S110" s="6"/>
      <c r="T110" s="6"/>
      <c r="U110" s="6"/>
    </row>
    <row r="111" spans="1:21">
      <c r="A111" s="82"/>
      <c r="B111" s="83"/>
      <c r="C111" s="82"/>
      <c r="D111" s="82"/>
      <c r="E111" s="82"/>
      <c r="F111" s="82"/>
      <c r="G111" s="82"/>
      <c r="H111" s="83"/>
      <c r="I111" s="83"/>
      <c r="J111" s="83"/>
      <c r="K111" s="6"/>
      <c r="L111" s="6"/>
      <c r="M111" s="6"/>
      <c r="N111" s="6"/>
      <c r="O111" s="6"/>
      <c r="P111" s="6"/>
      <c r="Q111" s="6"/>
      <c r="R111" s="6"/>
      <c r="S111" s="6"/>
      <c r="T111" s="6"/>
      <c r="U111" s="6"/>
    </row>
    <row r="112" spans="1:21">
      <c r="A112" s="82"/>
      <c r="B112" s="83"/>
      <c r="C112" s="82"/>
      <c r="D112" s="82"/>
      <c r="E112" s="82"/>
      <c r="F112" s="82"/>
      <c r="G112" s="82"/>
      <c r="H112" s="83"/>
      <c r="I112" s="83"/>
      <c r="J112" s="83"/>
      <c r="K112" s="6"/>
      <c r="L112" s="6"/>
      <c r="M112" s="6"/>
      <c r="N112" s="6"/>
      <c r="O112" s="6"/>
      <c r="P112" s="6"/>
      <c r="Q112" s="6"/>
      <c r="R112" s="6"/>
      <c r="S112" s="6"/>
      <c r="T112" s="6"/>
      <c r="U112" s="6"/>
    </row>
    <row r="113" spans="1:21">
      <c r="A113" s="82"/>
      <c r="B113" s="83"/>
      <c r="C113" s="82"/>
      <c r="D113" s="82"/>
      <c r="E113" s="82"/>
      <c r="F113" s="82"/>
      <c r="G113" s="82"/>
      <c r="H113" s="83"/>
      <c r="I113" s="83"/>
      <c r="J113" s="83"/>
      <c r="K113" s="6"/>
      <c r="L113" s="6"/>
      <c r="M113" s="6"/>
      <c r="N113" s="6"/>
      <c r="O113" s="6"/>
      <c r="P113" s="6"/>
      <c r="Q113" s="6"/>
      <c r="R113" s="6"/>
      <c r="S113" s="6"/>
      <c r="T113" s="6"/>
      <c r="U113" s="6"/>
    </row>
    <row r="114" spans="1:21">
      <c r="A114" s="82"/>
      <c r="B114" s="83"/>
      <c r="C114" s="82"/>
      <c r="D114" s="82"/>
      <c r="E114" s="82"/>
      <c r="F114" s="82"/>
      <c r="G114" s="82"/>
      <c r="H114" s="83"/>
      <c r="I114" s="83"/>
      <c r="J114" s="83"/>
      <c r="K114" s="6"/>
      <c r="L114" s="6"/>
      <c r="M114" s="6"/>
      <c r="N114" s="6"/>
      <c r="O114" s="6"/>
      <c r="P114" s="6"/>
      <c r="Q114" s="6"/>
      <c r="R114" s="6"/>
      <c r="S114" s="6"/>
      <c r="T114" s="6"/>
      <c r="U114" s="6"/>
    </row>
    <row r="115" spans="1:21">
      <c r="A115" s="82"/>
      <c r="B115" s="83"/>
      <c r="C115" s="82"/>
      <c r="D115" s="82"/>
      <c r="E115" s="82"/>
      <c r="F115" s="82"/>
      <c r="G115" s="82"/>
      <c r="H115" s="83"/>
      <c r="I115" s="83"/>
      <c r="J115" s="83"/>
      <c r="K115" s="6"/>
      <c r="L115" s="6"/>
      <c r="M115" s="6"/>
      <c r="N115" s="6"/>
      <c r="O115" s="6"/>
      <c r="P115" s="6"/>
      <c r="Q115" s="6"/>
      <c r="R115" s="6"/>
      <c r="S115" s="6"/>
      <c r="T115" s="6"/>
      <c r="U115" s="6"/>
    </row>
    <row r="116" spans="1:21">
      <c r="A116" s="82"/>
      <c r="B116" s="83"/>
      <c r="C116" s="82"/>
      <c r="D116" s="82"/>
      <c r="E116" s="82"/>
      <c r="F116" s="82"/>
      <c r="G116" s="82"/>
      <c r="H116" s="83"/>
      <c r="I116" s="83"/>
      <c r="J116" s="83"/>
      <c r="K116" s="6"/>
      <c r="L116" s="6"/>
      <c r="M116" s="6"/>
      <c r="N116" s="6"/>
      <c r="O116" s="6"/>
      <c r="P116" s="6"/>
      <c r="Q116" s="6"/>
      <c r="R116" s="6"/>
      <c r="S116" s="6"/>
      <c r="T116" s="6"/>
      <c r="U116" s="6"/>
    </row>
    <row r="117" spans="1:21">
      <c r="A117" s="82"/>
      <c r="B117" s="83"/>
      <c r="C117" s="82"/>
      <c r="D117" s="82"/>
      <c r="E117" s="82"/>
      <c r="F117" s="82"/>
      <c r="G117" s="82"/>
      <c r="H117" s="83"/>
      <c r="I117" s="83"/>
      <c r="J117" s="83"/>
      <c r="K117" s="6"/>
      <c r="L117" s="6"/>
      <c r="M117" s="6"/>
      <c r="N117" s="6"/>
      <c r="O117" s="6"/>
      <c r="P117" s="6"/>
      <c r="Q117" s="6"/>
      <c r="R117" s="6"/>
      <c r="S117" s="6"/>
      <c r="T117" s="6"/>
      <c r="U117" s="6"/>
    </row>
    <row r="118" spans="1:21">
      <c r="A118" s="82"/>
      <c r="B118" s="83"/>
      <c r="C118" s="82"/>
      <c r="D118" s="82"/>
      <c r="E118" s="82"/>
      <c r="F118" s="82"/>
      <c r="G118" s="82"/>
      <c r="H118" s="83"/>
      <c r="I118" s="83"/>
      <c r="J118" s="83"/>
      <c r="K118" s="6"/>
      <c r="L118" s="6"/>
      <c r="M118" s="6"/>
      <c r="N118" s="6"/>
      <c r="O118" s="6"/>
      <c r="P118" s="6"/>
      <c r="Q118" s="6"/>
      <c r="R118" s="6"/>
      <c r="S118" s="6"/>
      <c r="T118" s="6"/>
      <c r="U118" s="6"/>
    </row>
    <row r="119" spans="1:21">
      <c r="A119" s="82"/>
      <c r="B119" s="83"/>
      <c r="C119" s="82"/>
      <c r="D119" s="82"/>
      <c r="E119" s="82"/>
      <c r="F119" s="82"/>
      <c r="G119" s="82"/>
      <c r="H119" s="83"/>
      <c r="I119" s="83"/>
      <c r="J119" s="83"/>
      <c r="K119" s="6"/>
      <c r="L119" s="6"/>
      <c r="M119" s="6"/>
      <c r="N119" s="6"/>
      <c r="O119" s="6"/>
      <c r="P119" s="6"/>
      <c r="Q119" s="6"/>
      <c r="R119" s="6"/>
      <c r="S119" s="6"/>
      <c r="T119" s="6"/>
      <c r="U119" s="6"/>
    </row>
    <row r="120" spans="1:21">
      <c r="A120" s="82"/>
      <c r="B120" s="83"/>
      <c r="C120" s="82"/>
      <c r="D120" s="82"/>
      <c r="E120" s="82"/>
      <c r="F120" s="82"/>
      <c r="G120" s="82"/>
      <c r="H120" s="83"/>
      <c r="I120" s="83"/>
      <c r="J120" s="83"/>
      <c r="K120" s="6"/>
      <c r="L120" s="6"/>
      <c r="M120" s="6"/>
      <c r="N120" s="6"/>
      <c r="O120" s="6"/>
      <c r="P120" s="6"/>
      <c r="Q120" s="6"/>
      <c r="R120" s="6"/>
      <c r="S120" s="6"/>
      <c r="T120" s="6"/>
      <c r="U120" s="6"/>
    </row>
    <row r="121" spans="1:21">
      <c r="A121" s="82"/>
      <c r="B121" s="83"/>
      <c r="C121" s="82"/>
      <c r="D121" s="82"/>
      <c r="E121" s="82"/>
      <c r="F121" s="82"/>
      <c r="G121" s="82"/>
      <c r="H121" s="83"/>
      <c r="I121" s="83"/>
      <c r="J121" s="83"/>
      <c r="K121" s="6"/>
      <c r="L121" s="6"/>
      <c r="M121" s="6"/>
      <c r="N121" s="6"/>
      <c r="O121" s="6"/>
      <c r="P121" s="6"/>
      <c r="Q121" s="6"/>
      <c r="R121" s="6"/>
      <c r="S121" s="6"/>
      <c r="T121" s="6"/>
      <c r="U121" s="6"/>
    </row>
    <row r="122" spans="1:21">
      <c r="A122" s="82"/>
      <c r="B122" s="83"/>
      <c r="C122" s="82"/>
      <c r="D122" s="82"/>
      <c r="E122" s="82"/>
      <c r="F122" s="82"/>
      <c r="G122" s="82"/>
      <c r="H122" s="83"/>
      <c r="I122" s="83"/>
      <c r="J122" s="83"/>
      <c r="K122" s="6"/>
      <c r="L122" s="6"/>
      <c r="M122" s="6"/>
      <c r="N122" s="6"/>
      <c r="O122" s="6"/>
      <c r="P122" s="6"/>
      <c r="Q122" s="6"/>
      <c r="R122" s="6"/>
      <c r="S122" s="6"/>
      <c r="T122" s="6"/>
      <c r="U122" s="6"/>
    </row>
    <row r="123" spans="1:21">
      <c r="A123" s="82"/>
      <c r="B123" s="83"/>
      <c r="C123" s="82"/>
      <c r="D123" s="82"/>
      <c r="E123" s="82"/>
      <c r="F123" s="82"/>
      <c r="G123" s="82"/>
      <c r="H123" s="83"/>
      <c r="I123" s="83"/>
      <c r="J123" s="83"/>
      <c r="K123" s="6"/>
      <c r="L123" s="6"/>
      <c r="M123" s="6"/>
      <c r="N123" s="6"/>
      <c r="O123" s="6"/>
      <c r="P123" s="6"/>
      <c r="Q123" s="6"/>
      <c r="R123" s="6"/>
      <c r="S123" s="6"/>
      <c r="T123" s="6"/>
      <c r="U123" s="6"/>
    </row>
    <row r="124" spans="1:21">
      <c r="A124" s="82"/>
      <c r="B124" s="83"/>
      <c r="C124" s="82"/>
      <c r="D124" s="82"/>
      <c r="E124" s="82"/>
      <c r="F124" s="82"/>
      <c r="G124" s="82"/>
      <c r="H124" s="83"/>
      <c r="I124" s="83"/>
      <c r="J124" s="83"/>
      <c r="K124" s="6"/>
      <c r="L124" s="6"/>
      <c r="M124" s="6"/>
      <c r="N124" s="6"/>
      <c r="O124" s="6"/>
      <c r="P124" s="6"/>
      <c r="Q124" s="6"/>
      <c r="R124" s="6"/>
      <c r="S124" s="6"/>
      <c r="T124" s="6"/>
      <c r="U124" s="6"/>
    </row>
    <row r="125" spans="1:21">
      <c r="A125" s="82"/>
      <c r="B125" s="83"/>
      <c r="C125" s="82"/>
      <c r="D125" s="82"/>
      <c r="E125" s="82"/>
      <c r="F125" s="82"/>
      <c r="G125" s="82"/>
      <c r="H125" s="83"/>
      <c r="I125" s="83"/>
      <c r="J125" s="83"/>
      <c r="K125" s="6"/>
      <c r="L125" s="6"/>
      <c r="M125" s="6"/>
      <c r="N125" s="6"/>
      <c r="O125" s="6"/>
      <c r="P125" s="6"/>
      <c r="Q125" s="6"/>
      <c r="R125" s="6"/>
      <c r="S125" s="6"/>
      <c r="T125" s="6"/>
      <c r="U125" s="6"/>
    </row>
    <row r="126" spans="1:21">
      <c r="A126" s="82"/>
      <c r="B126" s="83"/>
      <c r="C126" s="82"/>
      <c r="D126" s="82"/>
      <c r="E126" s="82"/>
      <c r="F126" s="82"/>
      <c r="G126" s="82"/>
      <c r="H126" s="83"/>
      <c r="I126" s="83"/>
      <c r="J126" s="83"/>
      <c r="K126" s="6"/>
      <c r="L126" s="6"/>
      <c r="M126" s="6"/>
      <c r="N126" s="6"/>
      <c r="O126" s="6"/>
      <c r="P126" s="6"/>
      <c r="Q126" s="6"/>
      <c r="R126" s="6"/>
      <c r="S126" s="6"/>
      <c r="T126" s="6"/>
      <c r="U126" s="6"/>
    </row>
    <row r="127" spans="1:21">
      <c r="A127" s="82"/>
      <c r="B127" s="83"/>
      <c r="C127" s="82"/>
      <c r="D127" s="82"/>
      <c r="E127" s="82"/>
      <c r="F127" s="82"/>
      <c r="G127" s="82"/>
      <c r="H127" s="83"/>
      <c r="I127" s="83"/>
      <c r="J127" s="83"/>
      <c r="K127" s="6"/>
      <c r="L127" s="6"/>
      <c r="M127" s="6"/>
      <c r="N127" s="6"/>
      <c r="O127" s="6"/>
      <c r="P127" s="6"/>
      <c r="Q127" s="6"/>
      <c r="R127" s="6"/>
      <c r="S127" s="6"/>
      <c r="T127" s="6"/>
      <c r="U127" s="6"/>
    </row>
    <row r="128" spans="1:21">
      <c r="A128" s="82"/>
      <c r="B128" s="83"/>
      <c r="C128" s="82"/>
      <c r="D128" s="82"/>
      <c r="E128" s="82"/>
      <c r="F128" s="82"/>
      <c r="G128" s="82"/>
      <c r="H128" s="83"/>
      <c r="I128" s="83"/>
      <c r="J128" s="83"/>
      <c r="K128" s="6"/>
      <c r="L128" s="6"/>
      <c r="M128" s="6"/>
      <c r="N128" s="6"/>
      <c r="O128" s="6"/>
      <c r="P128" s="6"/>
      <c r="Q128" s="6"/>
      <c r="R128" s="6"/>
      <c r="S128" s="6"/>
      <c r="T128" s="6"/>
      <c r="U128" s="6"/>
    </row>
    <row r="129" spans="1:21">
      <c r="A129" s="82"/>
      <c r="B129" s="83"/>
      <c r="C129" s="82"/>
      <c r="D129" s="82"/>
      <c r="E129" s="82"/>
      <c r="F129" s="82"/>
      <c r="G129" s="82"/>
      <c r="H129" s="83"/>
      <c r="I129" s="83"/>
      <c r="J129" s="83"/>
      <c r="K129" s="6"/>
      <c r="L129" s="6"/>
      <c r="M129" s="6"/>
      <c r="N129" s="6"/>
      <c r="O129" s="6"/>
      <c r="P129" s="6"/>
      <c r="Q129" s="6"/>
      <c r="R129" s="6"/>
      <c r="S129" s="6"/>
      <c r="T129" s="6"/>
      <c r="U129" s="6"/>
    </row>
    <row r="130" spans="1:21">
      <c r="A130" s="82"/>
      <c r="B130" s="83"/>
      <c r="C130" s="82"/>
      <c r="D130" s="82"/>
      <c r="E130" s="82"/>
      <c r="F130" s="82"/>
      <c r="G130" s="82"/>
      <c r="H130" s="83"/>
      <c r="I130" s="83"/>
      <c r="J130" s="83"/>
      <c r="K130" s="6"/>
      <c r="L130" s="6"/>
      <c r="M130" s="6"/>
      <c r="N130" s="6"/>
      <c r="O130" s="6"/>
      <c r="P130" s="6"/>
      <c r="Q130" s="6"/>
      <c r="R130" s="6"/>
      <c r="S130" s="6"/>
      <c r="T130" s="6"/>
      <c r="U130" s="6"/>
    </row>
    <row r="131" spans="1:21">
      <c r="A131" s="82"/>
      <c r="B131" s="83"/>
      <c r="C131" s="82"/>
      <c r="D131" s="82"/>
      <c r="E131" s="82"/>
      <c r="F131" s="82"/>
      <c r="G131" s="82"/>
      <c r="H131" s="83"/>
      <c r="I131" s="83"/>
      <c r="J131" s="83"/>
      <c r="K131" s="6"/>
      <c r="L131" s="6"/>
      <c r="M131" s="6"/>
      <c r="N131" s="6"/>
      <c r="O131" s="6"/>
      <c r="P131" s="6"/>
      <c r="Q131" s="6"/>
      <c r="R131" s="6"/>
      <c r="S131" s="6"/>
      <c r="T131" s="6"/>
      <c r="U131" s="6"/>
    </row>
    <row r="132" spans="1:21">
      <c r="A132" s="82"/>
      <c r="B132" s="83"/>
      <c r="C132" s="82"/>
      <c r="D132" s="82"/>
      <c r="E132" s="82"/>
      <c r="F132" s="82"/>
      <c r="G132" s="82"/>
      <c r="H132" s="83"/>
      <c r="I132" s="83"/>
      <c r="J132" s="83"/>
      <c r="K132" s="6"/>
      <c r="L132" s="6"/>
      <c r="M132" s="6"/>
      <c r="N132" s="6"/>
      <c r="O132" s="6"/>
      <c r="P132" s="6"/>
      <c r="Q132" s="6"/>
      <c r="R132" s="6"/>
      <c r="S132" s="6"/>
      <c r="T132" s="6"/>
      <c r="U132" s="6"/>
    </row>
    <row r="133" spans="1:21">
      <c r="A133" s="82"/>
      <c r="B133" s="83"/>
      <c r="C133" s="82"/>
      <c r="D133" s="82"/>
      <c r="E133" s="82"/>
      <c r="F133" s="82"/>
      <c r="G133" s="82"/>
      <c r="H133" s="83"/>
      <c r="I133" s="83"/>
      <c r="J133" s="83"/>
      <c r="K133" s="6"/>
      <c r="L133" s="6"/>
      <c r="M133" s="6"/>
      <c r="N133" s="6"/>
      <c r="O133" s="6"/>
      <c r="P133" s="6"/>
      <c r="Q133" s="6"/>
      <c r="R133" s="6"/>
      <c r="S133" s="6"/>
      <c r="T133" s="6"/>
      <c r="U133" s="6"/>
    </row>
    <row r="134" spans="1:21">
      <c r="A134" s="82"/>
      <c r="B134" s="83"/>
      <c r="C134" s="82"/>
      <c r="D134" s="82"/>
      <c r="E134" s="82"/>
      <c r="F134" s="82"/>
      <c r="G134" s="82"/>
      <c r="H134" s="83"/>
      <c r="I134" s="83"/>
      <c r="J134" s="83"/>
      <c r="K134" s="6"/>
      <c r="L134" s="6"/>
      <c r="M134" s="6"/>
      <c r="N134" s="6"/>
      <c r="O134" s="6"/>
      <c r="P134" s="6"/>
      <c r="Q134" s="6"/>
      <c r="R134" s="6"/>
      <c r="S134" s="6"/>
      <c r="T134" s="6"/>
      <c r="U134" s="6"/>
    </row>
    <row r="135" spans="1:21">
      <c r="A135" s="82"/>
      <c r="B135" s="83"/>
      <c r="C135" s="82"/>
      <c r="D135" s="82"/>
      <c r="E135" s="82"/>
      <c r="F135" s="82"/>
      <c r="G135" s="82"/>
      <c r="H135" s="83"/>
      <c r="I135" s="83"/>
      <c r="J135" s="83"/>
      <c r="K135" s="6"/>
      <c r="L135" s="6"/>
      <c r="M135" s="6"/>
      <c r="N135" s="6"/>
      <c r="O135" s="6"/>
      <c r="P135" s="6"/>
      <c r="Q135" s="6"/>
      <c r="R135" s="6"/>
      <c r="S135" s="6"/>
      <c r="T135" s="6"/>
      <c r="U135" s="6"/>
    </row>
    <row r="136" spans="1:21">
      <c r="A136" s="82"/>
      <c r="B136" s="83"/>
      <c r="C136" s="82"/>
      <c r="D136" s="82"/>
      <c r="E136" s="82"/>
      <c r="F136" s="82"/>
      <c r="G136" s="82"/>
      <c r="H136" s="83"/>
      <c r="I136" s="83"/>
      <c r="J136" s="83"/>
      <c r="K136" s="6"/>
      <c r="L136" s="6"/>
      <c r="M136" s="6"/>
      <c r="N136" s="6"/>
      <c r="O136" s="6"/>
      <c r="P136" s="6"/>
      <c r="Q136" s="6"/>
      <c r="R136" s="6"/>
      <c r="S136" s="6"/>
      <c r="T136" s="6"/>
      <c r="U136" s="6"/>
    </row>
    <row r="137" spans="1:21">
      <c r="A137" s="82"/>
      <c r="B137" s="83"/>
      <c r="C137" s="82"/>
      <c r="D137" s="82"/>
      <c r="E137" s="82"/>
      <c r="F137" s="82"/>
      <c r="G137" s="82"/>
      <c r="H137" s="83"/>
      <c r="I137" s="83"/>
      <c r="J137" s="83"/>
      <c r="K137" s="6"/>
      <c r="L137" s="6"/>
      <c r="M137" s="6"/>
      <c r="N137" s="6"/>
      <c r="O137" s="6"/>
      <c r="P137" s="6"/>
      <c r="Q137" s="6"/>
      <c r="R137" s="6"/>
      <c r="S137" s="6"/>
      <c r="T137" s="6"/>
      <c r="U137" s="6"/>
    </row>
    <row r="138" spans="1:21">
      <c r="A138" s="82"/>
      <c r="B138" s="83"/>
      <c r="C138" s="82"/>
      <c r="D138" s="82"/>
      <c r="E138" s="82"/>
      <c r="F138" s="82"/>
      <c r="G138" s="82"/>
      <c r="H138" s="83"/>
      <c r="I138" s="83"/>
      <c r="J138" s="83"/>
      <c r="K138" s="6"/>
      <c r="L138" s="6"/>
      <c r="M138" s="6"/>
      <c r="N138" s="6"/>
      <c r="O138" s="6"/>
      <c r="P138" s="6"/>
      <c r="Q138" s="6"/>
      <c r="R138" s="6"/>
      <c r="S138" s="6"/>
      <c r="T138" s="6"/>
      <c r="U138" s="6"/>
    </row>
    <row r="139" spans="1:21">
      <c r="A139" s="82"/>
      <c r="B139" s="83"/>
      <c r="C139" s="82"/>
      <c r="D139" s="82"/>
      <c r="E139" s="82"/>
      <c r="F139" s="82"/>
      <c r="G139" s="82"/>
      <c r="H139" s="83"/>
      <c r="I139" s="83"/>
      <c r="J139" s="83"/>
      <c r="K139" s="6"/>
      <c r="L139" s="6"/>
      <c r="M139" s="6"/>
      <c r="N139" s="6"/>
      <c r="O139" s="6"/>
      <c r="P139" s="6"/>
      <c r="Q139" s="6"/>
      <c r="R139" s="6"/>
      <c r="S139" s="6"/>
      <c r="T139" s="6"/>
      <c r="U139" s="6"/>
    </row>
    <row r="140" spans="1:21">
      <c r="A140" s="82"/>
      <c r="B140" s="83"/>
      <c r="C140" s="82"/>
      <c r="D140" s="82"/>
      <c r="E140" s="82"/>
      <c r="F140" s="82"/>
      <c r="G140" s="82"/>
      <c r="H140" s="83"/>
      <c r="I140" s="83"/>
      <c r="J140" s="83"/>
      <c r="K140" s="6"/>
      <c r="L140" s="6"/>
      <c r="M140" s="6"/>
      <c r="N140" s="6"/>
      <c r="O140" s="6"/>
      <c r="P140" s="6"/>
      <c r="Q140" s="6"/>
      <c r="R140" s="6"/>
      <c r="S140" s="6"/>
      <c r="T140" s="6"/>
      <c r="U140" s="6"/>
    </row>
    <row r="141" spans="1:21">
      <c r="A141" s="82"/>
      <c r="B141" s="83"/>
      <c r="C141" s="82"/>
      <c r="D141" s="82"/>
      <c r="E141" s="82"/>
      <c r="F141" s="82"/>
      <c r="G141" s="82"/>
      <c r="H141" s="83"/>
      <c r="I141" s="83"/>
      <c r="J141" s="83"/>
      <c r="K141" s="6"/>
      <c r="L141" s="6"/>
      <c r="M141" s="6"/>
      <c r="N141" s="6"/>
      <c r="O141" s="6"/>
      <c r="P141" s="6"/>
      <c r="Q141" s="6"/>
      <c r="R141" s="6"/>
      <c r="S141" s="6"/>
      <c r="T141" s="6"/>
      <c r="U141" s="6"/>
    </row>
    <row r="142" spans="1:21">
      <c r="A142" s="82"/>
      <c r="B142" s="83"/>
      <c r="C142" s="82"/>
      <c r="D142" s="82"/>
      <c r="E142" s="82"/>
      <c r="F142" s="82"/>
      <c r="G142" s="82"/>
      <c r="H142" s="83"/>
      <c r="I142" s="83"/>
      <c r="J142" s="83"/>
      <c r="K142" s="6"/>
      <c r="L142" s="6"/>
      <c r="M142" s="6"/>
      <c r="N142" s="6"/>
      <c r="O142" s="6"/>
      <c r="P142" s="6"/>
      <c r="Q142" s="6"/>
      <c r="R142" s="6"/>
      <c r="S142" s="6"/>
      <c r="T142" s="6"/>
      <c r="U142" s="6"/>
    </row>
    <row r="143" spans="1:21">
      <c r="A143" s="82"/>
      <c r="B143" s="83"/>
      <c r="C143" s="82"/>
      <c r="D143" s="82"/>
      <c r="E143" s="82"/>
      <c r="F143" s="82"/>
      <c r="G143" s="82"/>
      <c r="H143" s="83"/>
      <c r="I143" s="83"/>
      <c r="J143" s="83"/>
      <c r="K143" s="6"/>
      <c r="L143" s="6"/>
      <c r="M143" s="6"/>
      <c r="N143" s="6"/>
      <c r="O143" s="6"/>
      <c r="P143" s="6"/>
      <c r="Q143" s="6"/>
      <c r="R143" s="6"/>
      <c r="S143" s="6"/>
      <c r="T143" s="6"/>
      <c r="U143" s="6"/>
    </row>
    <row r="144" spans="1:21">
      <c r="A144" s="82"/>
      <c r="B144" s="83"/>
      <c r="C144" s="82"/>
      <c r="D144" s="82"/>
      <c r="E144" s="82"/>
      <c r="F144" s="82"/>
      <c r="G144" s="82"/>
      <c r="H144" s="83"/>
      <c r="I144" s="83"/>
      <c r="J144" s="83"/>
      <c r="K144" s="6"/>
      <c r="L144" s="6"/>
      <c r="M144" s="6"/>
      <c r="N144" s="6"/>
      <c r="O144" s="6"/>
      <c r="P144" s="6"/>
      <c r="Q144" s="6"/>
      <c r="R144" s="6"/>
      <c r="S144" s="6"/>
      <c r="T144" s="6"/>
      <c r="U144" s="6"/>
    </row>
    <row r="145" spans="1:21">
      <c r="A145" s="82"/>
      <c r="B145" s="83"/>
      <c r="C145" s="82"/>
      <c r="D145" s="82"/>
      <c r="E145" s="82"/>
      <c r="F145" s="82"/>
      <c r="G145" s="82"/>
      <c r="H145" s="83"/>
      <c r="I145" s="83"/>
      <c r="J145" s="83"/>
      <c r="K145" s="6"/>
      <c r="L145" s="6"/>
      <c r="M145" s="6"/>
      <c r="N145" s="6"/>
      <c r="O145" s="6"/>
      <c r="P145" s="6"/>
      <c r="Q145" s="6"/>
      <c r="R145" s="6"/>
      <c r="S145" s="6"/>
      <c r="T145" s="6"/>
      <c r="U145" s="6"/>
    </row>
    <row r="146" spans="1:21">
      <c r="A146" s="82"/>
      <c r="B146" s="83"/>
      <c r="C146" s="82"/>
      <c r="D146" s="82"/>
      <c r="E146" s="82"/>
      <c r="F146" s="82"/>
      <c r="G146" s="82"/>
      <c r="H146" s="83"/>
      <c r="I146" s="83"/>
      <c r="J146" s="83"/>
      <c r="K146" s="6"/>
      <c r="L146" s="6"/>
      <c r="M146" s="6"/>
      <c r="N146" s="6"/>
      <c r="O146" s="6"/>
      <c r="P146" s="6"/>
      <c r="Q146" s="6"/>
      <c r="R146" s="6"/>
      <c r="S146" s="6"/>
      <c r="T146" s="6"/>
      <c r="U146" s="6"/>
    </row>
    <row r="147" spans="1:21">
      <c r="A147" s="82"/>
      <c r="B147" s="83"/>
      <c r="C147" s="82"/>
      <c r="D147" s="82"/>
      <c r="E147" s="82"/>
      <c r="F147" s="82"/>
      <c r="G147" s="82"/>
      <c r="H147" s="83"/>
      <c r="I147" s="83"/>
      <c r="J147" s="83"/>
      <c r="K147" s="6"/>
      <c r="L147" s="6"/>
      <c r="M147" s="6"/>
      <c r="N147" s="6"/>
      <c r="O147" s="6"/>
      <c r="P147" s="6"/>
      <c r="Q147" s="6"/>
      <c r="R147" s="6"/>
      <c r="S147" s="6"/>
      <c r="T147" s="6"/>
      <c r="U147" s="6"/>
    </row>
    <row r="148" spans="1:21">
      <c r="A148" s="82"/>
      <c r="B148" s="83"/>
      <c r="C148" s="82"/>
      <c r="D148" s="82"/>
      <c r="E148" s="82"/>
      <c r="F148" s="82"/>
      <c r="G148" s="82"/>
      <c r="H148" s="83"/>
      <c r="I148" s="83"/>
      <c r="J148" s="83"/>
      <c r="K148" s="6"/>
      <c r="L148" s="6"/>
      <c r="M148" s="6"/>
      <c r="N148" s="6"/>
      <c r="O148" s="6"/>
      <c r="P148" s="6"/>
      <c r="Q148" s="6"/>
      <c r="R148" s="6"/>
      <c r="S148" s="6"/>
      <c r="T148" s="6"/>
      <c r="U148" s="6"/>
    </row>
    <row r="149" spans="1:21">
      <c r="A149" s="82"/>
      <c r="B149" s="83"/>
      <c r="C149" s="82"/>
      <c r="D149" s="82"/>
      <c r="E149" s="82"/>
      <c r="F149" s="82"/>
      <c r="G149" s="82"/>
      <c r="H149" s="83"/>
      <c r="I149" s="83"/>
      <c r="J149" s="83"/>
      <c r="K149" s="6"/>
      <c r="L149" s="6"/>
      <c r="M149" s="6"/>
      <c r="N149" s="6"/>
      <c r="O149" s="6"/>
      <c r="P149" s="6"/>
      <c r="Q149" s="6"/>
      <c r="R149" s="6"/>
      <c r="S149" s="6"/>
      <c r="T149" s="6"/>
      <c r="U149" s="6"/>
    </row>
    <row r="150" spans="1:21">
      <c r="A150" s="82"/>
      <c r="B150" s="83"/>
      <c r="C150" s="82"/>
      <c r="D150" s="82"/>
      <c r="E150" s="82"/>
      <c r="F150" s="82"/>
      <c r="G150" s="82"/>
      <c r="H150" s="83"/>
      <c r="I150" s="83"/>
      <c r="J150" s="83"/>
      <c r="K150" s="6"/>
      <c r="L150" s="6"/>
      <c r="M150" s="6"/>
      <c r="N150" s="6"/>
      <c r="O150" s="6"/>
      <c r="P150" s="6"/>
      <c r="Q150" s="6"/>
      <c r="R150" s="6"/>
      <c r="S150" s="6"/>
      <c r="T150" s="6"/>
      <c r="U150" s="6"/>
    </row>
    <row r="151" spans="1:21">
      <c r="A151" s="82"/>
      <c r="B151" s="83"/>
      <c r="C151" s="82"/>
      <c r="D151" s="82"/>
      <c r="E151" s="82"/>
      <c r="F151" s="82"/>
      <c r="G151" s="82"/>
      <c r="H151" s="83"/>
      <c r="I151" s="83"/>
      <c r="J151" s="83"/>
      <c r="K151" s="6"/>
      <c r="L151" s="6"/>
      <c r="M151" s="6"/>
      <c r="N151" s="6"/>
      <c r="O151" s="6"/>
      <c r="P151" s="6"/>
      <c r="Q151" s="6"/>
      <c r="R151" s="6"/>
      <c r="S151" s="6"/>
      <c r="T151" s="6"/>
      <c r="U151" s="6"/>
    </row>
    <row r="152" spans="1:21">
      <c r="A152" s="82"/>
      <c r="B152" s="83"/>
      <c r="C152" s="82"/>
      <c r="D152" s="82"/>
      <c r="E152" s="82"/>
      <c r="F152" s="82"/>
      <c r="G152" s="82"/>
      <c r="H152" s="83"/>
      <c r="I152" s="83"/>
      <c r="J152" s="83"/>
      <c r="K152" s="6"/>
      <c r="L152" s="6"/>
      <c r="M152" s="6"/>
      <c r="N152" s="6"/>
      <c r="O152" s="6"/>
      <c r="P152" s="6"/>
      <c r="Q152" s="6"/>
      <c r="R152" s="6"/>
      <c r="S152" s="6"/>
      <c r="T152" s="6"/>
      <c r="U152" s="6"/>
    </row>
    <row r="153" spans="1:21">
      <c r="A153" s="82"/>
      <c r="B153" s="83"/>
      <c r="C153" s="82"/>
      <c r="D153" s="82"/>
      <c r="E153" s="82"/>
      <c r="F153" s="82"/>
      <c r="G153" s="82"/>
      <c r="H153" s="83"/>
      <c r="I153" s="83"/>
      <c r="J153" s="83"/>
      <c r="K153" s="6"/>
      <c r="L153" s="6"/>
      <c r="M153" s="6"/>
      <c r="N153" s="6"/>
      <c r="O153" s="6"/>
      <c r="P153" s="6"/>
      <c r="Q153" s="6"/>
      <c r="R153" s="6"/>
      <c r="S153" s="6"/>
      <c r="T153" s="6"/>
      <c r="U153" s="6"/>
    </row>
    <row r="154" spans="1:21">
      <c r="A154" s="82"/>
      <c r="B154" s="83"/>
      <c r="C154" s="82"/>
      <c r="D154" s="82"/>
      <c r="E154" s="82"/>
      <c r="F154" s="82"/>
      <c r="G154" s="82"/>
      <c r="H154" s="83"/>
      <c r="I154" s="83"/>
      <c r="J154" s="83"/>
      <c r="K154" s="6"/>
      <c r="L154" s="6"/>
      <c r="M154" s="6"/>
      <c r="N154" s="6"/>
      <c r="O154" s="6"/>
      <c r="P154" s="6"/>
      <c r="Q154" s="6"/>
      <c r="R154" s="6"/>
      <c r="S154" s="6"/>
      <c r="T154" s="6"/>
      <c r="U154" s="6"/>
    </row>
    <row r="155" spans="1:21">
      <c r="A155" s="82"/>
      <c r="B155" s="83"/>
      <c r="C155" s="82"/>
      <c r="D155" s="82"/>
      <c r="E155" s="82"/>
      <c r="F155" s="82"/>
      <c r="G155" s="82"/>
      <c r="H155" s="83"/>
      <c r="I155" s="83"/>
      <c r="J155" s="83"/>
      <c r="K155" s="6"/>
      <c r="L155" s="6"/>
      <c r="M155" s="6"/>
      <c r="N155" s="6"/>
      <c r="O155" s="6"/>
      <c r="P155" s="6"/>
      <c r="Q155" s="6"/>
      <c r="R155" s="6"/>
      <c r="S155" s="6"/>
      <c r="T155" s="6"/>
      <c r="U155" s="6"/>
    </row>
    <row r="156" spans="1:21">
      <c r="A156" s="82"/>
      <c r="B156" s="83"/>
      <c r="C156" s="82"/>
      <c r="D156" s="82"/>
      <c r="E156" s="82"/>
      <c r="F156" s="82"/>
      <c r="G156" s="82"/>
      <c r="H156" s="83"/>
      <c r="I156" s="83"/>
      <c r="J156" s="83"/>
      <c r="K156" s="6"/>
      <c r="L156" s="6"/>
      <c r="M156" s="6"/>
      <c r="N156" s="6"/>
      <c r="O156" s="6"/>
      <c r="P156" s="6"/>
      <c r="Q156" s="6"/>
      <c r="R156" s="6"/>
      <c r="S156" s="6"/>
      <c r="T156" s="6"/>
      <c r="U156" s="6"/>
    </row>
    <row r="157" spans="1:21">
      <c r="A157" s="82"/>
      <c r="B157" s="83"/>
      <c r="C157" s="82"/>
      <c r="D157" s="82"/>
      <c r="E157" s="82"/>
      <c r="F157" s="82"/>
      <c r="G157" s="82"/>
      <c r="H157" s="83"/>
      <c r="I157" s="83"/>
      <c r="J157" s="83"/>
      <c r="K157" s="6"/>
      <c r="L157" s="6"/>
      <c r="M157" s="6"/>
      <c r="N157" s="6"/>
      <c r="O157" s="6"/>
      <c r="P157" s="6"/>
      <c r="Q157" s="6"/>
      <c r="R157" s="6"/>
      <c r="S157" s="6"/>
      <c r="T157" s="6"/>
      <c r="U157" s="6"/>
    </row>
    <row r="158" spans="1:21">
      <c r="A158" s="82"/>
      <c r="B158" s="83"/>
      <c r="C158" s="82"/>
      <c r="D158" s="82"/>
      <c r="E158" s="82"/>
      <c r="F158" s="82"/>
      <c r="G158" s="82"/>
      <c r="H158" s="83"/>
      <c r="I158" s="83"/>
      <c r="J158" s="83"/>
      <c r="K158" s="6"/>
      <c r="L158" s="6"/>
      <c r="M158" s="6"/>
      <c r="N158" s="6"/>
      <c r="O158" s="6"/>
      <c r="P158" s="6"/>
      <c r="Q158" s="6"/>
      <c r="R158" s="6"/>
      <c r="S158" s="6"/>
      <c r="T158" s="6"/>
      <c r="U158" s="6"/>
    </row>
    <row r="159" spans="1:21">
      <c r="A159" s="82"/>
      <c r="B159" s="83"/>
      <c r="C159" s="82"/>
      <c r="D159" s="82"/>
      <c r="E159" s="82"/>
      <c r="F159" s="82"/>
      <c r="G159" s="82"/>
      <c r="H159" s="83"/>
      <c r="I159" s="83"/>
      <c r="J159" s="83"/>
      <c r="K159" s="6"/>
      <c r="L159" s="6"/>
      <c r="M159" s="6"/>
      <c r="N159" s="6"/>
      <c r="O159" s="6"/>
      <c r="P159" s="6"/>
      <c r="Q159" s="6"/>
      <c r="R159" s="6"/>
      <c r="S159" s="6"/>
      <c r="T159" s="6"/>
      <c r="U159" s="6"/>
    </row>
    <row r="160" spans="1:21">
      <c r="A160" s="82"/>
      <c r="B160" s="83"/>
      <c r="C160" s="82"/>
      <c r="D160" s="82"/>
      <c r="E160" s="82"/>
      <c r="F160" s="82"/>
      <c r="G160" s="82"/>
      <c r="H160" s="83"/>
      <c r="I160" s="83"/>
      <c r="J160" s="83"/>
      <c r="K160" s="6"/>
      <c r="L160" s="6"/>
      <c r="M160" s="6"/>
      <c r="N160" s="6"/>
      <c r="O160" s="6"/>
      <c r="P160" s="6"/>
      <c r="Q160" s="6"/>
      <c r="R160" s="6"/>
      <c r="S160" s="6"/>
      <c r="T160" s="6"/>
      <c r="U160" s="6"/>
    </row>
    <row r="161" spans="1:21">
      <c r="A161" s="82"/>
      <c r="B161" s="83"/>
      <c r="C161" s="82"/>
      <c r="D161" s="82"/>
      <c r="E161" s="82"/>
      <c r="F161" s="82"/>
      <c r="G161" s="82"/>
      <c r="H161" s="83"/>
      <c r="I161" s="83"/>
      <c r="J161" s="83"/>
      <c r="K161" s="6"/>
      <c r="L161" s="6"/>
      <c r="M161" s="6"/>
      <c r="N161" s="6"/>
      <c r="O161" s="6"/>
      <c r="P161" s="6"/>
      <c r="Q161" s="6"/>
      <c r="R161" s="6"/>
      <c r="S161" s="6"/>
      <c r="T161" s="6"/>
      <c r="U161" s="6"/>
    </row>
    <row r="162" spans="1:21">
      <c r="A162" s="82"/>
      <c r="B162" s="83"/>
      <c r="C162" s="82"/>
      <c r="D162" s="82"/>
      <c r="E162" s="82"/>
      <c r="F162" s="82"/>
      <c r="G162" s="82"/>
      <c r="H162" s="83"/>
      <c r="I162" s="83"/>
      <c r="J162" s="83"/>
      <c r="K162" s="6"/>
      <c r="L162" s="6"/>
      <c r="M162" s="6"/>
      <c r="N162" s="6"/>
      <c r="O162" s="6"/>
      <c r="P162" s="6"/>
      <c r="Q162" s="6"/>
      <c r="R162" s="6"/>
      <c r="S162" s="6"/>
      <c r="T162" s="6"/>
      <c r="U162" s="6"/>
    </row>
    <row r="163" spans="1:21">
      <c r="A163" s="82"/>
      <c r="B163" s="83"/>
      <c r="C163" s="82"/>
      <c r="D163" s="82"/>
      <c r="E163" s="82"/>
      <c r="F163" s="82"/>
      <c r="G163" s="82"/>
      <c r="H163" s="83"/>
      <c r="I163" s="83"/>
      <c r="J163" s="83"/>
      <c r="K163" s="6"/>
      <c r="L163" s="6"/>
      <c r="M163" s="6"/>
      <c r="N163" s="6"/>
      <c r="O163" s="6"/>
      <c r="P163" s="6"/>
      <c r="Q163" s="6"/>
      <c r="R163" s="6"/>
      <c r="S163" s="6"/>
      <c r="T163" s="6"/>
      <c r="U163" s="6"/>
    </row>
    <row r="164" spans="1:21">
      <c r="A164" s="82"/>
      <c r="B164" s="83"/>
      <c r="C164" s="82"/>
      <c r="D164" s="82"/>
      <c r="E164" s="82"/>
      <c r="F164" s="82"/>
      <c r="G164" s="82"/>
      <c r="H164" s="83"/>
      <c r="I164" s="83"/>
      <c r="J164" s="83"/>
      <c r="K164" s="6"/>
      <c r="L164" s="6"/>
      <c r="M164" s="6"/>
      <c r="N164" s="6"/>
      <c r="O164" s="6"/>
      <c r="P164" s="6"/>
      <c r="Q164" s="6"/>
      <c r="R164" s="6"/>
      <c r="S164" s="6"/>
      <c r="T164" s="6"/>
      <c r="U164" s="6"/>
    </row>
    <row r="165" spans="1:21">
      <c r="A165" s="82"/>
      <c r="B165" s="83"/>
      <c r="C165" s="82"/>
      <c r="D165" s="82"/>
      <c r="E165" s="82"/>
      <c r="F165" s="82"/>
      <c r="G165" s="82"/>
      <c r="H165" s="83"/>
      <c r="I165" s="83"/>
      <c r="J165" s="83"/>
      <c r="K165" s="6"/>
      <c r="L165" s="6"/>
      <c r="M165" s="6"/>
      <c r="N165" s="6"/>
      <c r="O165" s="6"/>
      <c r="P165" s="6"/>
      <c r="Q165" s="6"/>
      <c r="R165" s="6"/>
      <c r="S165" s="6"/>
      <c r="T165" s="6"/>
      <c r="U165" s="6"/>
    </row>
    <row r="166" spans="1:21">
      <c r="A166" s="82"/>
      <c r="B166" s="83"/>
      <c r="C166" s="82"/>
      <c r="D166" s="82"/>
      <c r="E166" s="82"/>
      <c r="F166" s="82"/>
      <c r="G166" s="82"/>
      <c r="H166" s="83"/>
      <c r="I166" s="83"/>
      <c r="J166" s="83"/>
      <c r="K166" s="6"/>
      <c r="L166" s="6"/>
      <c r="M166" s="6"/>
      <c r="N166" s="6"/>
      <c r="O166" s="6"/>
      <c r="P166" s="6"/>
      <c r="Q166" s="6"/>
      <c r="R166" s="6"/>
      <c r="S166" s="6"/>
      <c r="T166" s="6"/>
      <c r="U166" s="6"/>
    </row>
    <row r="167" spans="1:21">
      <c r="A167" s="82"/>
      <c r="B167" s="83"/>
      <c r="C167" s="82"/>
      <c r="D167" s="82"/>
      <c r="E167" s="82"/>
      <c r="F167" s="82"/>
      <c r="G167" s="82"/>
      <c r="H167" s="83"/>
      <c r="I167" s="83"/>
      <c r="J167" s="83"/>
      <c r="K167" s="6"/>
      <c r="L167" s="6"/>
      <c r="M167" s="6"/>
      <c r="N167" s="6"/>
      <c r="O167" s="6"/>
      <c r="P167" s="6"/>
      <c r="Q167" s="6"/>
      <c r="R167" s="6"/>
      <c r="S167" s="6"/>
      <c r="T167" s="6"/>
      <c r="U167" s="6"/>
    </row>
    <row r="168" spans="1:21">
      <c r="A168" s="82"/>
      <c r="B168" s="83"/>
      <c r="C168" s="82"/>
      <c r="D168" s="82"/>
      <c r="E168" s="82"/>
      <c r="F168" s="82"/>
      <c r="G168" s="82"/>
      <c r="H168" s="83"/>
      <c r="I168" s="83"/>
      <c r="J168" s="83"/>
      <c r="K168" s="6"/>
      <c r="L168" s="6"/>
      <c r="M168" s="6"/>
      <c r="N168" s="6"/>
      <c r="O168" s="6"/>
      <c r="P168" s="6"/>
      <c r="Q168" s="6"/>
      <c r="R168" s="6"/>
      <c r="S168" s="6"/>
      <c r="T168" s="6"/>
      <c r="U168" s="6"/>
    </row>
    <row r="169" spans="1:21">
      <c r="A169" s="82"/>
      <c r="B169" s="83"/>
      <c r="C169" s="82"/>
      <c r="D169" s="82"/>
      <c r="E169" s="82"/>
      <c r="F169" s="82"/>
      <c r="G169" s="82"/>
      <c r="H169" s="83"/>
      <c r="I169" s="83"/>
      <c r="J169" s="83"/>
      <c r="K169" s="6"/>
      <c r="L169" s="6"/>
      <c r="M169" s="6"/>
      <c r="N169" s="6"/>
      <c r="O169" s="6"/>
      <c r="P169" s="6"/>
      <c r="Q169" s="6"/>
      <c r="R169" s="6"/>
      <c r="S169" s="6"/>
      <c r="T169" s="6"/>
      <c r="U169" s="6"/>
    </row>
    <row r="170" spans="1:21">
      <c r="A170" s="82"/>
      <c r="B170" s="83"/>
      <c r="C170" s="82"/>
      <c r="D170" s="82"/>
      <c r="E170" s="82"/>
      <c r="F170" s="82"/>
      <c r="G170" s="82"/>
      <c r="H170" s="83"/>
      <c r="I170" s="83"/>
      <c r="J170" s="83"/>
      <c r="K170" s="6"/>
      <c r="L170" s="6"/>
      <c r="M170" s="6"/>
      <c r="N170" s="6"/>
      <c r="O170" s="6"/>
      <c r="P170" s="6"/>
      <c r="Q170" s="6"/>
      <c r="R170" s="6"/>
      <c r="S170" s="6"/>
      <c r="T170" s="6"/>
      <c r="U170" s="6"/>
    </row>
    <row r="171" spans="1:21">
      <c r="A171" s="82"/>
      <c r="B171" s="83"/>
      <c r="C171" s="82"/>
      <c r="D171" s="82"/>
      <c r="E171" s="82"/>
      <c r="F171" s="82"/>
      <c r="G171" s="82"/>
      <c r="H171" s="83"/>
      <c r="I171" s="83"/>
      <c r="J171" s="83"/>
      <c r="K171" s="6"/>
      <c r="L171" s="6"/>
      <c r="M171" s="6"/>
      <c r="N171" s="6"/>
      <c r="O171" s="6"/>
      <c r="P171" s="6"/>
      <c r="Q171" s="6"/>
      <c r="R171" s="6"/>
      <c r="S171" s="6"/>
      <c r="T171" s="6"/>
      <c r="U171" s="6"/>
    </row>
    <row r="172" spans="1:21">
      <c r="A172" s="82"/>
      <c r="B172" s="83"/>
      <c r="C172" s="82"/>
      <c r="D172" s="82"/>
      <c r="E172" s="82"/>
      <c r="F172" s="82"/>
      <c r="G172" s="82"/>
      <c r="H172" s="83"/>
      <c r="I172" s="83"/>
      <c r="J172" s="83"/>
      <c r="K172" s="6"/>
      <c r="L172" s="6"/>
      <c r="M172" s="6"/>
      <c r="N172" s="6"/>
      <c r="O172" s="6"/>
      <c r="P172" s="6"/>
      <c r="Q172" s="6"/>
      <c r="R172" s="6"/>
      <c r="S172" s="6"/>
      <c r="T172" s="6"/>
      <c r="U172" s="6"/>
    </row>
    <row r="173" spans="1:21">
      <c r="A173" s="82"/>
      <c r="B173" s="83"/>
      <c r="C173" s="82"/>
      <c r="D173" s="82"/>
      <c r="E173" s="82"/>
      <c r="F173" s="82"/>
      <c r="G173" s="82"/>
      <c r="H173" s="83"/>
      <c r="I173" s="83"/>
      <c r="J173" s="83"/>
      <c r="K173" s="6"/>
      <c r="L173" s="6"/>
      <c r="M173" s="6"/>
      <c r="N173" s="6"/>
      <c r="O173" s="6"/>
      <c r="P173" s="6"/>
      <c r="Q173" s="6"/>
      <c r="R173" s="6"/>
      <c r="S173" s="6"/>
      <c r="T173" s="6"/>
      <c r="U173" s="6"/>
    </row>
    <row r="174" spans="1:21">
      <c r="A174" s="82"/>
      <c r="B174" s="83"/>
      <c r="C174" s="82"/>
      <c r="D174" s="82"/>
      <c r="E174" s="82"/>
      <c r="F174" s="82"/>
      <c r="G174" s="82"/>
      <c r="H174" s="83"/>
      <c r="I174" s="83"/>
      <c r="J174" s="83"/>
      <c r="K174" s="6"/>
      <c r="L174" s="6"/>
      <c r="M174" s="6"/>
      <c r="N174" s="6"/>
      <c r="O174" s="6"/>
      <c r="P174" s="6"/>
      <c r="Q174" s="6"/>
      <c r="R174" s="6"/>
      <c r="S174" s="6"/>
      <c r="T174" s="6"/>
      <c r="U174" s="6"/>
    </row>
    <row r="175" spans="1:21">
      <c r="A175" s="82"/>
      <c r="B175" s="83"/>
      <c r="C175" s="82"/>
      <c r="D175" s="82"/>
      <c r="E175" s="82"/>
      <c r="F175" s="82"/>
      <c r="G175" s="82"/>
      <c r="H175" s="83"/>
      <c r="I175" s="83"/>
      <c r="J175" s="83"/>
      <c r="K175" s="6"/>
      <c r="L175" s="6"/>
      <c r="M175" s="6"/>
      <c r="N175" s="6"/>
      <c r="O175" s="6"/>
      <c r="P175" s="6"/>
      <c r="Q175" s="6"/>
      <c r="R175" s="6"/>
      <c r="S175" s="6"/>
      <c r="T175" s="6"/>
      <c r="U175" s="6"/>
    </row>
    <row r="176" spans="1:21">
      <c r="A176" s="82"/>
      <c r="B176" s="83"/>
      <c r="C176" s="82"/>
      <c r="D176" s="82"/>
      <c r="E176" s="82"/>
      <c r="F176" s="82"/>
      <c r="G176" s="82"/>
      <c r="H176" s="83"/>
      <c r="I176" s="83"/>
      <c r="J176" s="83"/>
      <c r="K176" s="6"/>
      <c r="L176" s="6"/>
      <c r="M176" s="6"/>
      <c r="N176" s="6"/>
      <c r="O176" s="6"/>
      <c r="P176" s="6"/>
      <c r="Q176" s="6"/>
      <c r="R176" s="6"/>
      <c r="S176" s="6"/>
      <c r="T176" s="6"/>
      <c r="U176" s="6"/>
    </row>
    <row r="177" spans="1:21">
      <c r="A177" s="82"/>
      <c r="B177" s="83"/>
      <c r="C177" s="82"/>
      <c r="D177" s="82"/>
      <c r="E177" s="82"/>
      <c r="F177" s="82"/>
      <c r="G177" s="82"/>
      <c r="H177" s="83"/>
      <c r="I177" s="83"/>
      <c r="J177" s="83"/>
      <c r="K177" s="6"/>
      <c r="L177" s="6"/>
      <c r="M177" s="6"/>
      <c r="N177" s="6"/>
      <c r="O177" s="6"/>
      <c r="P177" s="6"/>
      <c r="Q177" s="6"/>
      <c r="R177" s="6"/>
      <c r="S177" s="6"/>
      <c r="T177" s="6"/>
      <c r="U177" s="6"/>
    </row>
    <row r="178" spans="1:21">
      <c r="A178" s="82"/>
      <c r="B178" s="83"/>
      <c r="C178" s="82"/>
      <c r="D178" s="82"/>
      <c r="E178" s="82"/>
      <c r="F178" s="82"/>
      <c r="G178" s="82"/>
      <c r="H178" s="83"/>
      <c r="I178" s="83"/>
      <c r="J178" s="83"/>
      <c r="K178" s="6"/>
      <c r="L178" s="6"/>
      <c r="M178" s="6"/>
      <c r="N178" s="6"/>
      <c r="O178" s="6"/>
      <c r="P178" s="6"/>
      <c r="Q178" s="6"/>
      <c r="R178" s="6"/>
      <c r="S178" s="6"/>
      <c r="T178" s="6"/>
      <c r="U178" s="6"/>
    </row>
    <row r="179" spans="1:21">
      <c r="A179" s="82"/>
      <c r="B179" s="83"/>
      <c r="C179" s="82"/>
      <c r="D179" s="82"/>
      <c r="E179" s="82"/>
      <c r="F179" s="82"/>
      <c r="G179" s="82"/>
      <c r="H179" s="83"/>
      <c r="I179" s="83"/>
      <c r="J179" s="83"/>
      <c r="K179" s="6"/>
      <c r="L179" s="6"/>
      <c r="M179" s="6"/>
      <c r="N179" s="6"/>
      <c r="O179" s="6"/>
      <c r="P179" s="6"/>
      <c r="Q179" s="6"/>
      <c r="R179" s="6"/>
      <c r="S179" s="6"/>
      <c r="T179" s="6"/>
      <c r="U179" s="6"/>
    </row>
    <row r="180" spans="1:21">
      <c r="A180" s="82"/>
      <c r="B180" s="83"/>
      <c r="C180" s="82"/>
      <c r="D180" s="82"/>
      <c r="E180" s="82"/>
      <c r="F180" s="82"/>
      <c r="G180" s="82"/>
      <c r="H180" s="83"/>
      <c r="I180" s="83"/>
      <c r="J180" s="83"/>
      <c r="K180" s="6"/>
      <c r="L180" s="6"/>
      <c r="M180" s="6"/>
      <c r="N180" s="6"/>
      <c r="O180" s="6"/>
      <c r="P180" s="6"/>
      <c r="Q180" s="6"/>
      <c r="R180" s="6"/>
      <c r="S180" s="6"/>
      <c r="T180" s="6"/>
      <c r="U180" s="6"/>
    </row>
    <row r="181" spans="1:21">
      <c r="A181" s="82"/>
      <c r="B181" s="83"/>
      <c r="C181" s="82"/>
      <c r="D181" s="82"/>
      <c r="E181" s="82"/>
      <c r="F181" s="82"/>
      <c r="G181" s="82"/>
      <c r="H181" s="83"/>
      <c r="I181" s="83"/>
      <c r="J181" s="83"/>
      <c r="K181" s="6"/>
      <c r="L181" s="6"/>
      <c r="M181" s="6"/>
      <c r="N181" s="6"/>
      <c r="O181" s="6"/>
      <c r="P181" s="6"/>
      <c r="Q181" s="6"/>
      <c r="R181" s="6"/>
      <c r="S181" s="6"/>
      <c r="T181" s="6"/>
      <c r="U181" s="6"/>
    </row>
    <row r="182" spans="1:21">
      <c r="A182" s="82"/>
      <c r="B182" s="83"/>
      <c r="C182" s="82"/>
      <c r="D182" s="82"/>
      <c r="E182" s="82"/>
      <c r="F182" s="82"/>
      <c r="G182" s="82"/>
      <c r="H182" s="83"/>
      <c r="I182" s="83"/>
      <c r="J182" s="83"/>
      <c r="K182" s="6"/>
      <c r="L182" s="6"/>
      <c r="M182" s="6"/>
      <c r="N182" s="6"/>
      <c r="O182" s="6"/>
      <c r="P182" s="6"/>
      <c r="Q182" s="6"/>
      <c r="R182" s="6"/>
      <c r="S182" s="6"/>
      <c r="T182" s="6"/>
      <c r="U182" s="6"/>
    </row>
    <row r="183" spans="1:21">
      <c r="A183" s="82"/>
      <c r="B183" s="83"/>
      <c r="C183" s="82"/>
      <c r="D183" s="82"/>
      <c r="E183" s="82"/>
      <c r="F183" s="82"/>
      <c r="G183" s="82"/>
      <c r="H183" s="83"/>
      <c r="I183" s="83"/>
      <c r="J183" s="83"/>
      <c r="K183" s="6"/>
      <c r="L183" s="6"/>
      <c r="M183" s="6"/>
      <c r="N183" s="6"/>
      <c r="O183" s="6"/>
      <c r="P183" s="6"/>
      <c r="Q183" s="6"/>
      <c r="R183" s="6"/>
      <c r="S183" s="6"/>
      <c r="T183" s="6"/>
      <c r="U183" s="6"/>
    </row>
    <row r="184" spans="1:21">
      <c r="A184" s="82"/>
      <c r="B184" s="83"/>
      <c r="C184" s="82"/>
      <c r="D184" s="82"/>
      <c r="E184" s="82"/>
      <c r="F184" s="82"/>
      <c r="G184" s="82"/>
      <c r="H184" s="83"/>
      <c r="I184" s="83"/>
      <c r="J184" s="83"/>
      <c r="K184" s="6"/>
      <c r="L184" s="6"/>
      <c r="M184" s="6"/>
      <c r="N184" s="6"/>
      <c r="O184" s="6"/>
      <c r="P184" s="6"/>
      <c r="Q184" s="6"/>
      <c r="R184" s="6"/>
      <c r="S184" s="6"/>
      <c r="T184" s="6"/>
      <c r="U184" s="6"/>
    </row>
    <row r="185" spans="1:21">
      <c r="A185" s="82"/>
      <c r="B185" s="83"/>
      <c r="C185" s="82"/>
      <c r="D185" s="82"/>
      <c r="E185" s="82"/>
      <c r="F185" s="82"/>
      <c r="G185" s="82"/>
      <c r="H185" s="83"/>
      <c r="I185" s="83"/>
      <c r="J185" s="83"/>
      <c r="K185" s="6"/>
      <c r="L185" s="6"/>
      <c r="M185" s="6"/>
      <c r="N185" s="6"/>
      <c r="O185" s="6"/>
      <c r="P185" s="6"/>
      <c r="Q185" s="6"/>
      <c r="R185" s="6"/>
      <c r="S185" s="6"/>
      <c r="T185" s="6"/>
      <c r="U185" s="6"/>
    </row>
    <row r="186" spans="1:21">
      <c r="A186" s="82"/>
      <c r="B186" s="83"/>
      <c r="C186" s="82"/>
      <c r="D186" s="82"/>
      <c r="E186" s="82"/>
      <c r="F186" s="82"/>
      <c r="G186" s="82"/>
      <c r="H186" s="83"/>
      <c r="I186" s="83"/>
      <c r="J186" s="83"/>
      <c r="K186" s="6"/>
      <c r="L186" s="6"/>
      <c r="M186" s="6"/>
      <c r="N186" s="6"/>
      <c r="O186" s="6"/>
      <c r="P186" s="6"/>
      <c r="Q186" s="6"/>
      <c r="R186" s="6"/>
      <c r="S186" s="6"/>
      <c r="T186" s="6"/>
      <c r="U186" s="6"/>
    </row>
    <row r="187" spans="1:21">
      <c r="A187" s="82"/>
      <c r="B187" s="83"/>
      <c r="C187" s="82"/>
      <c r="D187" s="82"/>
      <c r="E187" s="82"/>
      <c r="F187" s="82"/>
      <c r="G187" s="82"/>
      <c r="H187" s="83"/>
      <c r="I187" s="83"/>
      <c r="J187" s="83"/>
      <c r="K187" s="6"/>
      <c r="L187" s="6"/>
      <c r="M187" s="6"/>
      <c r="N187" s="6"/>
      <c r="O187" s="6"/>
      <c r="P187" s="6"/>
      <c r="Q187" s="6"/>
      <c r="R187" s="6"/>
      <c r="S187" s="6"/>
      <c r="T187" s="6"/>
      <c r="U187" s="6"/>
    </row>
    <row r="188" spans="1:21">
      <c r="A188" s="82"/>
      <c r="B188" s="83"/>
      <c r="C188" s="82"/>
      <c r="D188" s="82"/>
      <c r="E188" s="82"/>
      <c r="F188" s="82"/>
      <c r="G188" s="82"/>
      <c r="H188" s="83"/>
      <c r="I188" s="83"/>
      <c r="J188" s="83"/>
      <c r="K188" s="6"/>
      <c r="L188" s="6"/>
      <c r="M188" s="6"/>
      <c r="N188" s="6"/>
      <c r="O188" s="6"/>
      <c r="P188" s="6"/>
      <c r="Q188" s="6"/>
      <c r="R188" s="6"/>
      <c r="S188" s="6"/>
      <c r="T188" s="6"/>
      <c r="U188" s="6"/>
    </row>
    <row r="189" spans="1:21">
      <c r="A189" s="82"/>
      <c r="B189" s="83"/>
      <c r="C189" s="82"/>
      <c r="D189" s="82"/>
      <c r="E189" s="82"/>
      <c r="F189" s="82"/>
      <c r="G189" s="82"/>
      <c r="H189" s="83"/>
      <c r="I189" s="83"/>
      <c r="J189" s="83"/>
      <c r="K189" s="6"/>
      <c r="L189" s="6"/>
      <c r="M189" s="6"/>
      <c r="N189" s="6"/>
      <c r="O189" s="6"/>
      <c r="P189" s="6"/>
      <c r="Q189" s="6"/>
      <c r="R189" s="6"/>
      <c r="S189" s="6"/>
      <c r="T189" s="6"/>
      <c r="U189" s="6"/>
    </row>
    <row r="190" spans="1:21">
      <c r="A190" s="82"/>
      <c r="B190" s="83"/>
      <c r="C190" s="82"/>
      <c r="D190" s="82"/>
      <c r="E190" s="82"/>
      <c r="F190" s="82"/>
      <c r="G190" s="82"/>
      <c r="H190" s="83"/>
      <c r="I190" s="83"/>
      <c r="J190" s="83"/>
      <c r="K190" s="6"/>
      <c r="L190" s="6"/>
      <c r="M190" s="6"/>
      <c r="N190" s="6"/>
      <c r="O190" s="6"/>
      <c r="P190" s="6"/>
      <c r="Q190" s="6"/>
      <c r="R190" s="6"/>
      <c r="S190" s="6"/>
      <c r="T190" s="6"/>
      <c r="U190" s="6"/>
    </row>
    <row r="191" spans="1:21">
      <c r="A191" s="82"/>
      <c r="B191" s="83"/>
      <c r="C191" s="82"/>
      <c r="D191" s="82"/>
      <c r="E191" s="82"/>
      <c r="F191" s="82"/>
      <c r="G191" s="82"/>
      <c r="H191" s="83"/>
      <c r="I191" s="83"/>
      <c r="J191" s="83"/>
      <c r="K191" s="6"/>
      <c r="L191" s="6"/>
      <c r="M191" s="6"/>
      <c r="N191" s="6"/>
      <c r="O191" s="6"/>
      <c r="P191" s="6"/>
      <c r="Q191" s="6"/>
      <c r="R191" s="6"/>
      <c r="S191" s="6"/>
      <c r="T191" s="6"/>
      <c r="U191" s="6"/>
    </row>
    <row r="192" spans="1:21">
      <c r="A192" s="82"/>
      <c r="B192" s="83"/>
      <c r="C192" s="82"/>
      <c r="D192" s="82"/>
      <c r="E192" s="82"/>
      <c r="F192" s="82"/>
      <c r="G192" s="82"/>
      <c r="H192" s="83"/>
      <c r="I192" s="83"/>
      <c r="J192" s="83"/>
      <c r="K192" s="6"/>
      <c r="L192" s="6"/>
      <c r="M192" s="6"/>
      <c r="N192" s="6"/>
      <c r="O192" s="6"/>
      <c r="P192" s="6"/>
      <c r="Q192" s="6"/>
      <c r="R192" s="6"/>
      <c r="S192" s="6"/>
      <c r="T192" s="6"/>
      <c r="U192" s="6"/>
    </row>
    <row r="193" spans="1:21">
      <c r="A193" s="82"/>
      <c r="B193" s="83"/>
      <c r="C193" s="82"/>
      <c r="D193" s="82"/>
      <c r="E193" s="82"/>
      <c r="F193" s="82"/>
      <c r="G193" s="82"/>
      <c r="H193" s="83"/>
      <c r="I193" s="83"/>
      <c r="J193" s="83"/>
      <c r="K193" s="6"/>
      <c r="L193" s="6"/>
      <c r="M193" s="6"/>
      <c r="N193" s="6"/>
      <c r="O193" s="6"/>
      <c r="P193" s="6"/>
      <c r="Q193" s="6"/>
      <c r="R193" s="6"/>
      <c r="S193" s="6"/>
      <c r="T193" s="6"/>
      <c r="U193" s="6"/>
    </row>
    <row r="194" spans="1:21">
      <c r="A194" s="82"/>
      <c r="B194" s="83"/>
      <c r="C194" s="82"/>
      <c r="D194" s="82"/>
      <c r="E194" s="82"/>
      <c r="F194" s="82"/>
      <c r="G194" s="82"/>
      <c r="H194" s="83"/>
      <c r="I194" s="83"/>
      <c r="J194" s="83"/>
      <c r="K194" s="6"/>
      <c r="L194" s="6"/>
      <c r="M194" s="6"/>
      <c r="N194" s="6"/>
      <c r="O194" s="6"/>
      <c r="P194" s="6"/>
      <c r="Q194" s="6"/>
      <c r="R194" s="6"/>
      <c r="S194" s="6"/>
      <c r="T194" s="6"/>
      <c r="U194" s="6"/>
    </row>
    <row r="195" spans="1:21">
      <c r="A195" s="82"/>
      <c r="B195" s="83"/>
      <c r="C195" s="82"/>
      <c r="D195" s="82"/>
      <c r="E195" s="82"/>
      <c r="F195" s="82"/>
      <c r="G195" s="82"/>
      <c r="H195" s="83"/>
      <c r="I195" s="83"/>
      <c r="J195" s="83"/>
      <c r="K195" s="6"/>
      <c r="L195" s="6"/>
      <c r="M195" s="6"/>
      <c r="N195" s="6"/>
      <c r="O195" s="6"/>
      <c r="P195" s="6"/>
      <c r="Q195" s="6"/>
      <c r="R195" s="6"/>
      <c r="S195" s="6"/>
      <c r="T195" s="6"/>
      <c r="U195" s="6"/>
    </row>
    <row r="196" spans="1:21">
      <c r="A196" s="82"/>
      <c r="B196" s="83"/>
      <c r="C196" s="82"/>
      <c r="D196" s="82"/>
      <c r="E196" s="82"/>
      <c r="F196" s="82"/>
      <c r="G196" s="82"/>
      <c r="H196" s="83"/>
      <c r="I196" s="83"/>
      <c r="J196" s="83"/>
      <c r="K196" s="6"/>
      <c r="L196" s="6"/>
      <c r="M196" s="6"/>
      <c r="N196" s="6"/>
      <c r="O196" s="6"/>
      <c r="P196" s="6"/>
      <c r="Q196" s="6"/>
      <c r="R196" s="6"/>
      <c r="S196" s="6"/>
      <c r="T196" s="6"/>
      <c r="U196" s="6"/>
    </row>
    <row r="197" spans="1:21">
      <c r="A197" s="82"/>
      <c r="B197" s="83"/>
      <c r="C197" s="82"/>
      <c r="D197" s="82"/>
      <c r="E197" s="82"/>
      <c r="F197" s="82"/>
      <c r="G197" s="82"/>
      <c r="H197" s="83"/>
      <c r="I197" s="83"/>
      <c r="J197" s="83"/>
      <c r="K197" s="6"/>
      <c r="L197" s="6"/>
      <c r="M197" s="6"/>
      <c r="N197" s="6"/>
      <c r="O197" s="6"/>
      <c r="P197" s="6"/>
      <c r="Q197" s="6"/>
      <c r="R197" s="6"/>
      <c r="S197" s="6"/>
      <c r="T197" s="6"/>
      <c r="U197" s="6"/>
    </row>
    <row r="198" spans="1:21">
      <c r="A198" s="82"/>
      <c r="B198" s="83"/>
      <c r="C198" s="82"/>
      <c r="D198" s="82"/>
      <c r="E198" s="82"/>
      <c r="F198" s="82"/>
      <c r="G198" s="82"/>
      <c r="H198" s="83"/>
      <c r="I198" s="83"/>
      <c r="J198" s="83"/>
      <c r="K198" s="6"/>
      <c r="L198" s="6"/>
      <c r="M198" s="6"/>
      <c r="N198" s="6"/>
      <c r="O198" s="6"/>
      <c r="P198" s="6"/>
      <c r="Q198" s="6"/>
      <c r="R198" s="6"/>
      <c r="S198" s="6"/>
      <c r="T198" s="6"/>
      <c r="U198" s="6"/>
    </row>
    <row r="199" spans="1:21">
      <c r="A199" s="82"/>
      <c r="B199" s="83"/>
      <c r="C199" s="82"/>
      <c r="D199" s="82"/>
      <c r="E199" s="82"/>
      <c r="F199" s="82"/>
      <c r="G199" s="82"/>
      <c r="H199" s="83"/>
      <c r="I199" s="83"/>
      <c r="J199" s="83"/>
      <c r="K199" s="6"/>
      <c r="L199" s="6"/>
      <c r="M199" s="6"/>
      <c r="N199" s="6"/>
      <c r="O199" s="6"/>
      <c r="P199" s="6"/>
      <c r="Q199" s="6"/>
      <c r="R199" s="6"/>
      <c r="S199" s="6"/>
      <c r="T199" s="6"/>
      <c r="U199" s="6"/>
    </row>
    <row r="200" spans="1:21">
      <c r="A200" s="82"/>
      <c r="B200" s="83"/>
      <c r="C200" s="82"/>
      <c r="D200" s="82"/>
      <c r="E200" s="82"/>
      <c r="F200" s="82"/>
      <c r="G200" s="82"/>
      <c r="H200" s="83"/>
      <c r="I200" s="83"/>
      <c r="J200" s="83"/>
      <c r="K200" s="6"/>
      <c r="L200" s="6"/>
      <c r="M200" s="6"/>
      <c r="N200" s="6"/>
      <c r="O200" s="6"/>
      <c r="P200" s="6"/>
      <c r="Q200" s="6"/>
      <c r="R200" s="6"/>
      <c r="S200" s="6"/>
      <c r="T200" s="6"/>
      <c r="U200" s="6"/>
    </row>
    <row r="201" spans="1:21">
      <c r="A201" s="82"/>
      <c r="B201" s="83"/>
      <c r="C201" s="82"/>
      <c r="D201" s="82"/>
      <c r="E201" s="82"/>
      <c r="F201" s="82"/>
      <c r="G201" s="82"/>
      <c r="H201" s="83"/>
      <c r="I201" s="83"/>
      <c r="J201" s="83"/>
      <c r="K201" s="6"/>
      <c r="L201" s="6"/>
      <c r="M201" s="6"/>
      <c r="N201" s="6"/>
      <c r="O201" s="6"/>
      <c r="P201" s="6"/>
      <c r="Q201" s="6"/>
      <c r="R201" s="6"/>
      <c r="S201" s="6"/>
      <c r="T201" s="6"/>
      <c r="U201" s="6"/>
    </row>
    <row r="202" spans="1:21">
      <c r="A202" s="82"/>
      <c r="B202" s="83"/>
      <c r="C202" s="82"/>
      <c r="D202" s="82"/>
      <c r="E202" s="82"/>
      <c r="F202" s="82"/>
      <c r="G202" s="82"/>
      <c r="H202" s="83"/>
      <c r="I202" s="83"/>
      <c r="J202" s="83"/>
      <c r="K202" s="6"/>
      <c r="L202" s="6"/>
      <c r="M202" s="6"/>
      <c r="N202" s="6"/>
      <c r="O202" s="6"/>
      <c r="P202" s="6"/>
      <c r="Q202" s="6"/>
      <c r="R202" s="6"/>
      <c r="S202" s="6"/>
      <c r="T202" s="6"/>
      <c r="U202" s="6"/>
    </row>
    <row r="203" spans="1:21">
      <c r="A203" s="82"/>
      <c r="B203" s="83"/>
      <c r="C203" s="82"/>
      <c r="D203" s="82"/>
      <c r="E203" s="82"/>
      <c r="F203" s="82"/>
      <c r="G203" s="82"/>
      <c r="H203" s="83"/>
      <c r="I203" s="83"/>
      <c r="J203" s="83"/>
      <c r="K203" s="6"/>
      <c r="L203" s="6"/>
      <c r="M203" s="6"/>
      <c r="N203" s="6"/>
      <c r="O203" s="6"/>
      <c r="P203" s="6"/>
      <c r="Q203" s="6"/>
      <c r="R203" s="6"/>
      <c r="S203" s="6"/>
      <c r="T203" s="6"/>
      <c r="U203" s="6"/>
    </row>
    <row r="204" spans="1:21">
      <c r="A204" s="82"/>
      <c r="B204" s="83"/>
      <c r="C204" s="82"/>
      <c r="D204" s="82"/>
      <c r="E204" s="82"/>
      <c r="F204" s="82"/>
      <c r="G204" s="82"/>
      <c r="H204" s="83"/>
      <c r="I204" s="83"/>
      <c r="J204" s="83"/>
      <c r="K204" s="6"/>
      <c r="L204" s="6"/>
      <c r="M204" s="6"/>
      <c r="N204" s="6"/>
      <c r="O204" s="6"/>
      <c r="P204" s="6"/>
      <c r="Q204" s="6"/>
      <c r="R204" s="6"/>
      <c r="S204" s="6"/>
      <c r="T204" s="6"/>
      <c r="U204" s="6"/>
    </row>
    <row r="205" spans="1:21">
      <c r="A205" s="82"/>
      <c r="B205" s="83"/>
      <c r="C205" s="82"/>
      <c r="D205" s="82"/>
      <c r="E205" s="82"/>
      <c r="F205" s="82"/>
      <c r="G205" s="82"/>
      <c r="H205" s="83"/>
      <c r="I205" s="83"/>
      <c r="J205" s="83"/>
      <c r="K205" s="6"/>
      <c r="L205" s="6"/>
      <c r="M205" s="6"/>
      <c r="N205" s="6"/>
      <c r="O205" s="6"/>
      <c r="P205" s="6"/>
      <c r="Q205" s="6"/>
      <c r="R205" s="6"/>
      <c r="S205" s="6"/>
      <c r="T205" s="6"/>
      <c r="U205" s="6"/>
    </row>
    <row r="206" spans="1:21">
      <c r="A206" s="82"/>
      <c r="B206" s="83"/>
      <c r="C206" s="82"/>
      <c r="D206" s="82"/>
      <c r="E206" s="82"/>
      <c r="F206" s="82"/>
      <c r="G206" s="82"/>
      <c r="H206" s="83"/>
      <c r="I206" s="83"/>
      <c r="J206" s="83"/>
      <c r="K206" s="6"/>
      <c r="L206" s="6"/>
      <c r="M206" s="6"/>
      <c r="N206" s="6"/>
      <c r="O206" s="6"/>
      <c r="P206" s="6"/>
      <c r="Q206" s="6"/>
      <c r="R206" s="6"/>
      <c r="S206" s="6"/>
      <c r="T206" s="6"/>
      <c r="U206" s="6"/>
    </row>
    <row r="207" spans="1:21">
      <c r="A207" s="82"/>
      <c r="B207" s="83"/>
      <c r="C207" s="82"/>
      <c r="D207" s="82"/>
      <c r="E207" s="82"/>
      <c r="F207" s="82"/>
      <c r="G207" s="82"/>
      <c r="H207" s="83"/>
      <c r="I207" s="83"/>
      <c r="J207" s="83"/>
      <c r="K207" s="6"/>
      <c r="L207" s="6"/>
      <c r="M207" s="6"/>
      <c r="N207" s="6"/>
      <c r="O207" s="6"/>
      <c r="P207" s="6"/>
      <c r="Q207" s="6"/>
      <c r="R207" s="6"/>
      <c r="S207" s="6"/>
      <c r="T207" s="6"/>
      <c r="U207" s="6"/>
    </row>
    <row r="208" spans="1:21">
      <c r="A208" s="82"/>
      <c r="B208" s="83"/>
      <c r="C208" s="82"/>
      <c r="D208" s="82"/>
      <c r="E208" s="82"/>
      <c r="F208" s="82"/>
      <c r="G208" s="82"/>
      <c r="H208" s="83"/>
      <c r="I208" s="83"/>
      <c r="J208" s="83"/>
      <c r="K208" s="6"/>
      <c r="L208" s="6"/>
      <c r="M208" s="6"/>
      <c r="N208" s="6"/>
      <c r="O208" s="6"/>
      <c r="P208" s="6"/>
      <c r="Q208" s="6"/>
      <c r="R208" s="6"/>
      <c r="S208" s="6"/>
      <c r="T208" s="6"/>
      <c r="U208" s="6"/>
    </row>
    <row r="209" spans="1:21">
      <c r="A209" s="82"/>
      <c r="B209" s="83"/>
      <c r="C209" s="82"/>
      <c r="D209" s="82"/>
      <c r="E209" s="82"/>
      <c r="F209" s="82"/>
      <c r="G209" s="82"/>
      <c r="H209" s="83"/>
      <c r="I209" s="83"/>
      <c r="J209" s="83"/>
      <c r="K209" s="6"/>
      <c r="L209" s="6"/>
      <c r="M209" s="6"/>
      <c r="N209" s="6"/>
      <c r="O209" s="6"/>
      <c r="P209" s="6"/>
      <c r="Q209" s="6"/>
      <c r="R209" s="6"/>
      <c r="S209" s="6"/>
      <c r="T209" s="6"/>
      <c r="U209" s="6"/>
    </row>
    <row r="210" spans="1:21">
      <c r="A210" s="82"/>
      <c r="B210" s="83"/>
      <c r="C210" s="82"/>
      <c r="D210" s="82"/>
      <c r="E210" s="82"/>
      <c r="F210" s="82"/>
      <c r="G210" s="82"/>
      <c r="H210" s="83"/>
      <c r="I210" s="83"/>
      <c r="J210" s="83"/>
      <c r="K210" s="6"/>
      <c r="L210" s="6"/>
      <c r="M210" s="6"/>
      <c r="N210" s="6"/>
      <c r="O210" s="6"/>
      <c r="P210" s="6"/>
      <c r="Q210" s="6"/>
      <c r="R210" s="6"/>
      <c r="S210" s="6"/>
      <c r="T210" s="6"/>
      <c r="U210" s="6"/>
    </row>
    <row r="211" spans="1:21">
      <c r="A211" s="82"/>
      <c r="B211" s="83"/>
      <c r="C211" s="82"/>
      <c r="D211" s="82"/>
      <c r="E211" s="82"/>
      <c r="F211" s="82"/>
      <c r="G211" s="82"/>
      <c r="H211" s="83"/>
      <c r="I211" s="83"/>
      <c r="J211" s="83"/>
      <c r="K211" s="6"/>
      <c r="L211" s="6"/>
      <c r="M211" s="6"/>
      <c r="N211" s="6"/>
      <c r="O211" s="6"/>
      <c r="P211" s="6"/>
      <c r="Q211" s="6"/>
      <c r="R211" s="6"/>
      <c r="S211" s="6"/>
      <c r="T211" s="6"/>
      <c r="U211" s="6"/>
    </row>
    <row r="212" spans="1:21">
      <c r="A212" s="82"/>
      <c r="B212" s="83"/>
      <c r="C212" s="82"/>
      <c r="D212" s="82"/>
      <c r="E212" s="82"/>
      <c r="F212" s="82"/>
      <c r="G212" s="82"/>
      <c r="H212" s="83"/>
      <c r="I212" s="83"/>
      <c r="J212" s="83"/>
      <c r="K212" s="6"/>
      <c r="L212" s="6"/>
      <c r="M212" s="6"/>
      <c r="N212" s="6"/>
      <c r="O212" s="6"/>
      <c r="P212" s="6"/>
      <c r="Q212" s="6"/>
      <c r="R212" s="6"/>
      <c r="S212" s="6"/>
      <c r="T212" s="6"/>
      <c r="U212" s="6"/>
    </row>
    <row r="213" spans="1:21">
      <c r="A213" s="82"/>
      <c r="B213" s="83"/>
      <c r="C213" s="82"/>
      <c r="D213" s="82"/>
      <c r="E213" s="82"/>
      <c r="F213" s="82"/>
      <c r="G213" s="82"/>
      <c r="H213" s="83"/>
      <c r="I213" s="83"/>
      <c r="J213" s="83"/>
      <c r="K213" s="6"/>
      <c r="L213" s="6"/>
      <c r="M213" s="6"/>
      <c r="N213" s="6"/>
      <c r="O213" s="6"/>
      <c r="P213" s="6"/>
      <c r="Q213" s="6"/>
      <c r="R213" s="6"/>
      <c r="S213" s="6"/>
      <c r="T213" s="6"/>
      <c r="U213" s="6"/>
    </row>
    <row r="214" spans="1:21">
      <c r="A214" s="82"/>
      <c r="B214" s="83"/>
      <c r="C214" s="82"/>
      <c r="D214" s="82"/>
      <c r="E214" s="82"/>
      <c r="F214" s="82"/>
      <c r="G214" s="82"/>
      <c r="H214" s="83"/>
      <c r="I214" s="83"/>
      <c r="J214" s="83"/>
      <c r="K214" s="6"/>
      <c r="L214" s="6"/>
      <c r="M214" s="6"/>
      <c r="N214" s="6"/>
      <c r="O214" s="6"/>
      <c r="P214" s="6"/>
      <c r="Q214" s="6"/>
      <c r="R214" s="6"/>
      <c r="S214" s="6"/>
      <c r="T214" s="6"/>
      <c r="U214" s="6"/>
    </row>
    <row r="215" spans="1:21">
      <c r="A215" s="82"/>
      <c r="B215" s="83"/>
      <c r="C215" s="82"/>
      <c r="D215" s="82"/>
      <c r="E215" s="82"/>
      <c r="F215" s="82"/>
      <c r="G215" s="82"/>
      <c r="H215" s="83"/>
      <c r="I215" s="83"/>
      <c r="J215" s="83"/>
      <c r="K215" s="6"/>
      <c r="L215" s="6"/>
      <c r="M215" s="6"/>
      <c r="N215" s="6"/>
      <c r="O215" s="6"/>
      <c r="P215" s="6"/>
      <c r="Q215" s="6"/>
      <c r="R215" s="6"/>
      <c r="S215" s="6"/>
      <c r="T215" s="6"/>
      <c r="U215" s="6"/>
    </row>
    <row r="216" spans="1:21">
      <c r="A216" s="82"/>
      <c r="B216" s="83"/>
      <c r="C216" s="82"/>
      <c r="D216" s="82"/>
      <c r="E216" s="82"/>
      <c r="F216" s="82"/>
      <c r="G216" s="82"/>
      <c r="H216" s="83"/>
      <c r="I216" s="83"/>
      <c r="J216" s="83"/>
      <c r="K216" s="6"/>
      <c r="L216" s="6"/>
      <c r="M216" s="6"/>
      <c r="N216" s="6"/>
      <c r="O216" s="6"/>
      <c r="P216" s="6"/>
      <c r="Q216" s="6"/>
      <c r="R216" s="6"/>
      <c r="S216" s="6"/>
      <c r="T216" s="6"/>
      <c r="U216" s="6"/>
    </row>
    <row r="217" spans="1:21">
      <c r="A217" s="82"/>
      <c r="B217" s="83"/>
      <c r="C217" s="82"/>
      <c r="D217" s="82"/>
      <c r="E217" s="82"/>
      <c r="F217" s="82"/>
      <c r="G217" s="82"/>
      <c r="H217" s="83"/>
      <c r="I217" s="83"/>
      <c r="J217" s="83"/>
      <c r="K217" s="6"/>
      <c r="L217" s="6"/>
      <c r="M217" s="6"/>
      <c r="N217" s="6"/>
      <c r="O217" s="6"/>
      <c r="P217" s="6"/>
      <c r="Q217" s="6"/>
      <c r="R217" s="6"/>
      <c r="S217" s="6"/>
      <c r="T217" s="6"/>
      <c r="U217" s="6"/>
    </row>
    <row r="218" spans="1:21">
      <c r="A218" s="82"/>
      <c r="B218" s="83"/>
      <c r="C218" s="82"/>
      <c r="D218" s="82"/>
      <c r="E218" s="82"/>
      <c r="F218" s="82"/>
      <c r="G218" s="82"/>
      <c r="H218" s="83"/>
      <c r="I218" s="83"/>
      <c r="J218" s="83"/>
      <c r="K218" s="6"/>
      <c r="L218" s="6"/>
      <c r="M218" s="6"/>
      <c r="N218" s="6"/>
      <c r="O218" s="6"/>
      <c r="P218" s="6"/>
      <c r="Q218" s="6"/>
      <c r="R218" s="6"/>
      <c r="S218" s="6"/>
      <c r="T218" s="6"/>
      <c r="U218" s="6"/>
    </row>
    <row r="219" spans="1:21">
      <c r="A219" s="82"/>
      <c r="B219" s="83"/>
      <c r="C219" s="82"/>
      <c r="D219" s="82"/>
      <c r="E219" s="82"/>
      <c r="F219" s="82"/>
      <c r="G219" s="82"/>
      <c r="H219" s="83"/>
      <c r="I219" s="83"/>
      <c r="J219" s="83"/>
      <c r="K219" s="6"/>
      <c r="L219" s="6"/>
      <c r="M219" s="6"/>
      <c r="N219" s="6"/>
      <c r="O219" s="6"/>
      <c r="P219" s="6"/>
      <c r="Q219" s="6"/>
      <c r="R219" s="6"/>
      <c r="S219" s="6"/>
      <c r="T219" s="6"/>
      <c r="U219" s="6"/>
    </row>
    <row r="220" spans="1:21">
      <c r="A220" s="82"/>
      <c r="B220" s="83"/>
      <c r="C220" s="82"/>
      <c r="D220" s="82"/>
      <c r="E220" s="82"/>
      <c r="F220" s="82"/>
      <c r="G220" s="82"/>
      <c r="H220" s="83"/>
      <c r="I220" s="83"/>
      <c r="J220" s="83"/>
      <c r="K220" s="6"/>
      <c r="L220" s="6"/>
      <c r="M220" s="6"/>
      <c r="N220" s="6"/>
      <c r="O220" s="6"/>
      <c r="P220" s="6"/>
      <c r="Q220" s="6"/>
      <c r="R220" s="6"/>
      <c r="S220" s="6"/>
      <c r="T220" s="6"/>
      <c r="U220" s="6"/>
    </row>
    <row r="221" spans="1:21">
      <c r="A221" s="82"/>
      <c r="B221" s="83"/>
      <c r="C221" s="82"/>
      <c r="D221" s="82"/>
      <c r="E221" s="82"/>
      <c r="F221" s="82"/>
      <c r="G221" s="82"/>
      <c r="H221" s="83"/>
      <c r="I221" s="83"/>
      <c r="J221" s="83"/>
      <c r="K221" s="6"/>
      <c r="L221" s="6"/>
      <c r="M221" s="6"/>
      <c r="N221" s="6"/>
      <c r="O221" s="6"/>
      <c r="P221" s="6"/>
      <c r="Q221" s="6"/>
      <c r="R221" s="6"/>
      <c r="S221" s="6"/>
      <c r="T221" s="6"/>
      <c r="U221" s="6"/>
    </row>
    <row r="222" spans="1:21">
      <c r="A222" s="82"/>
      <c r="B222" s="83"/>
      <c r="C222" s="82"/>
      <c r="D222" s="82"/>
      <c r="E222" s="82"/>
      <c r="F222" s="82"/>
      <c r="G222" s="82"/>
      <c r="H222" s="83"/>
      <c r="I222" s="83"/>
      <c r="J222" s="83"/>
      <c r="K222" s="6"/>
      <c r="L222" s="6"/>
      <c r="M222" s="6"/>
      <c r="N222" s="6"/>
      <c r="O222" s="6"/>
      <c r="P222" s="6"/>
      <c r="Q222" s="6"/>
      <c r="R222" s="6"/>
      <c r="S222" s="6"/>
      <c r="T222" s="6"/>
      <c r="U222" s="6"/>
    </row>
    <row r="223" spans="1:21">
      <c r="A223" s="82"/>
      <c r="B223" s="83"/>
      <c r="C223" s="82"/>
      <c r="D223" s="82"/>
      <c r="E223" s="82"/>
      <c r="F223" s="82"/>
      <c r="G223" s="82"/>
      <c r="H223" s="83"/>
      <c r="I223" s="83"/>
      <c r="J223" s="83"/>
      <c r="K223" s="6"/>
      <c r="L223" s="6"/>
      <c r="M223" s="6"/>
      <c r="N223" s="6"/>
      <c r="O223" s="6"/>
      <c r="P223" s="6"/>
      <c r="Q223" s="6"/>
      <c r="R223" s="6"/>
      <c r="S223" s="6"/>
      <c r="T223" s="6"/>
      <c r="U223" s="6"/>
    </row>
    <row r="224" spans="1:21">
      <c r="A224" s="82"/>
      <c r="B224" s="83"/>
      <c r="C224" s="82"/>
      <c r="D224" s="82"/>
      <c r="E224" s="82"/>
      <c r="F224" s="82"/>
      <c r="G224" s="82"/>
      <c r="H224" s="83"/>
      <c r="I224" s="83"/>
      <c r="J224" s="83"/>
      <c r="K224" s="6"/>
      <c r="L224" s="6"/>
      <c r="M224" s="6"/>
      <c r="N224" s="6"/>
      <c r="O224" s="6"/>
      <c r="P224" s="6"/>
      <c r="Q224" s="6"/>
      <c r="R224" s="6"/>
      <c r="S224" s="6"/>
      <c r="T224" s="6"/>
      <c r="U224" s="6"/>
    </row>
    <row r="225" spans="1:21">
      <c r="A225" s="82"/>
      <c r="B225" s="83"/>
      <c r="C225" s="82"/>
      <c r="D225" s="82"/>
      <c r="E225" s="82"/>
      <c r="F225" s="82"/>
      <c r="G225" s="82"/>
      <c r="H225" s="83"/>
      <c r="I225" s="83"/>
      <c r="J225" s="83"/>
      <c r="K225" s="6"/>
      <c r="L225" s="6"/>
      <c r="M225" s="6"/>
      <c r="N225" s="6"/>
      <c r="O225" s="6"/>
      <c r="P225" s="6"/>
      <c r="Q225" s="6"/>
      <c r="R225" s="6"/>
      <c r="S225" s="6"/>
      <c r="T225" s="6"/>
      <c r="U225" s="6"/>
    </row>
    <row r="226" spans="1:21">
      <c r="A226" s="82"/>
      <c r="B226" s="83"/>
      <c r="C226" s="82"/>
      <c r="D226" s="82"/>
      <c r="E226" s="82"/>
      <c r="F226" s="82"/>
      <c r="G226" s="82"/>
      <c r="H226" s="83"/>
      <c r="I226" s="83"/>
      <c r="J226" s="83"/>
      <c r="K226" s="6"/>
      <c r="L226" s="6"/>
      <c r="M226" s="6"/>
      <c r="N226" s="6"/>
      <c r="O226" s="6"/>
      <c r="P226" s="6"/>
      <c r="Q226" s="6"/>
      <c r="R226" s="6"/>
      <c r="S226" s="6"/>
      <c r="T226" s="6"/>
      <c r="U226" s="6"/>
    </row>
    <row r="227" spans="1:21">
      <c r="A227" s="82"/>
      <c r="B227" s="83"/>
      <c r="C227" s="82"/>
      <c r="D227" s="82"/>
      <c r="E227" s="82"/>
      <c r="F227" s="82"/>
      <c r="G227" s="82"/>
      <c r="H227" s="83"/>
      <c r="I227" s="83"/>
      <c r="J227" s="83"/>
      <c r="K227" s="6"/>
      <c r="L227" s="6"/>
      <c r="M227" s="6"/>
      <c r="N227" s="6"/>
      <c r="O227" s="6"/>
      <c r="P227" s="6"/>
      <c r="Q227" s="6"/>
      <c r="R227" s="6"/>
      <c r="S227" s="6"/>
      <c r="T227" s="6"/>
      <c r="U227" s="6"/>
    </row>
    <row r="228" spans="1:21">
      <c r="A228" s="82"/>
      <c r="B228" s="83"/>
      <c r="C228" s="82"/>
      <c r="D228" s="82"/>
      <c r="E228" s="82"/>
      <c r="F228" s="82"/>
      <c r="G228" s="82"/>
      <c r="H228" s="83"/>
      <c r="I228" s="83"/>
      <c r="J228" s="83"/>
      <c r="K228" s="6"/>
      <c r="L228" s="6"/>
      <c r="M228" s="6"/>
      <c r="N228" s="6"/>
      <c r="O228" s="6"/>
      <c r="P228" s="6"/>
      <c r="Q228" s="6"/>
      <c r="R228" s="6"/>
      <c r="S228" s="6"/>
      <c r="T228" s="6"/>
      <c r="U228" s="6"/>
    </row>
    <row r="229" spans="1:21">
      <c r="A229" s="82"/>
      <c r="B229" s="83"/>
      <c r="C229" s="82"/>
      <c r="D229" s="82"/>
      <c r="E229" s="82"/>
      <c r="F229" s="82"/>
      <c r="G229" s="82"/>
      <c r="H229" s="83"/>
      <c r="I229" s="83"/>
      <c r="J229" s="83"/>
      <c r="K229" s="6"/>
      <c r="L229" s="6"/>
      <c r="M229" s="6"/>
      <c r="N229" s="6"/>
      <c r="O229" s="6"/>
      <c r="P229" s="6"/>
      <c r="Q229" s="6"/>
      <c r="R229" s="6"/>
      <c r="S229" s="6"/>
      <c r="T229" s="6"/>
      <c r="U229" s="6"/>
    </row>
    <row r="230" spans="1:21">
      <c r="A230" s="82"/>
      <c r="B230" s="83"/>
      <c r="C230" s="82"/>
      <c r="D230" s="82"/>
      <c r="E230" s="82"/>
      <c r="F230" s="82"/>
      <c r="G230" s="82"/>
      <c r="H230" s="83"/>
      <c r="I230" s="83"/>
      <c r="J230" s="83"/>
      <c r="K230" s="6"/>
      <c r="L230" s="6"/>
      <c r="M230" s="6"/>
      <c r="N230" s="6"/>
      <c r="O230" s="6"/>
      <c r="P230" s="6"/>
      <c r="Q230" s="6"/>
      <c r="R230" s="6"/>
      <c r="S230" s="6"/>
      <c r="T230" s="6"/>
      <c r="U230" s="6"/>
    </row>
    <row r="231" spans="1:21">
      <c r="A231" s="82"/>
      <c r="B231" s="83"/>
      <c r="C231" s="82"/>
      <c r="D231" s="82"/>
      <c r="E231" s="82"/>
      <c r="F231" s="82"/>
      <c r="G231" s="82"/>
      <c r="H231" s="83"/>
      <c r="I231" s="83"/>
      <c r="J231" s="83"/>
      <c r="K231" s="6"/>
      <c r="L231" s="6"/>
      <c r="M231" s="6"/>
      <c r="N231" s="6"/>
      <c r="O231" s="6"/>
      <c r="P231" s="6"/>
      <c r="Q231" s="6"/>
      <c r="R231" s="6"/>
      <c r="S231" s="6"/>
      <c r="T231" s="6"/>
      <c r="U231" s="6"/>
    </row>
    <row r="232" spans="1:21">
      <c r="A232" s="82"/>
      <c r="B232" s="83"/>
      <c r="C232" s="82"/>
      <c r="D232" s="82"/>
      <c r="E232" s="82"/>
      <c r="F232" s="82"/>
      <c r="G232" s="82"/>
      <c r="H232" s="83"/>
      <c r="I232" s="83"/>
      <c r="J232" s="83"/>
      <c r="K232" s="6"/>
      <c r="L232" s="6"/>
      <c r="M232" s="6"/>
      <c r="N232" s="6"/>
      <c r="O232" s="6"/>
      <c r="P232" s="6"/>
      <c r="Q232" s="6"/>
      <c r="R232" s="6"/>
      <c r="S232" s="6"/>
      <c r="T232" s="6"/>
      <c r="U232" s="6"/>
    </row>
    <row r="233" spans="1:21">
      <c r="A233" s="82"/>
      <c r="B233" s="83"/>
      <c r="C233" s="82"/>
      <c r="D233" s="82"/>
      <c r="E233" s="82"/>
      <c r="F233" s="82"/>
      <c r="G233" s="82"/>
      <c r="H233" s="83"/>
      <c r="I233" s="83"/>
      <c r="J233" s="83"/>
      <c r="K233" s="6"/>
      <c r="L233" s="6"/>
      <c r="M233" s="6"/>
      <c r="N233" s="6"/>
      <c r="O233" s="6"/>
      <c r="P233" s="6"/>
      <c r="Q233" s="6"/>
      <c r="R233" s="6"/>
      <c r="S233" s="6"/>
      <c r="T233" s="6"/>
      <c r="U233" s="6"/>
    </row>
    <row r="234" spans="1:21">
      <c r="A234" s="82"/>
      <c r="B234" s="83"/>
      <c r="C234" s="82"/>
      <c r="D234" s="82"/>
      <c r="E234" s="82"/>
      <c r="F234" s="82"/>
      <c r="G234" s="82"/>
      <c r="H234" s="83"/>
      <c r="I234" s="83"/>
      <c r="J234" s="83"/>
      <c r="K234" s="6"/>
      <c r="L234" s="6"/>
      <c r="M234" s="6"/>
      <c r="N234" s="6"/>
      <c r="O234" s="6"/>
      <c r="P234" s="6"/>
      <c r="Q234" s="6"/>
      <c r="R234" s="6"/>
      <c r="S234" s="6"/>
      <c r="T234" s="6"/>
      <c r="U234" s="6"/>
    </row>
    <row r="235" spans="1:21">
      <c r="A235" s="82"/>
      <c r="B235" s="83"/>
      <c r="C235" s="82"/>
      <c r="D235" s="82"/>
      <c r="E235" s="82"/>
      <c r="F235" s="82"/>
      <c r="G235" s="82"/>
      <c r="H235" s="83"/>
      <c r="I235" s="83"/>
      <c r="J235" s="83"/>
      <c r="K235" s="6"/>
      <c r="L235" s="6"/>
      <c r="M235" s="6"/>
      <c r="N235" s="6"/>
      <c r="O235" s="6"/>
      <c r="P235" s="6"/>
      <c r="Q235" s="6"/>
      <c r="R235" s="6"/>
      <c r="S235" s="6"/>
      <c r="T235" s="6"/>
      <c r="U235" s="6"/>
    </row>
    <row r="236" spans="1:21">
      <c r="A236" s="82"/>
      <c r="B236" s="83"/>
      <c r="C236" s="82"/>
      <c r="D236" s="82"/>
      <c r="E236" s="82"/>
      <c r="F236" s="82"/>
      <c r="G236" s="82"/>
      <c r="H236" s="83"/>
      <c r="I236" s="83"/>
      <c r="J236" s="83"/>
      <c r="K236" s="6"/>
      <c r="L236" s="6"/>
      <c r="M236" s="6"/>
      <c r="N236" s="6"/>
      <c r="O236" s="6"/>
      <c r="P236" s="6"/>
      <c r="Q236" s="6"/>
      <c r="R236" s="6"/>
      <c r="S236" s="6"/>
      <c r="T236" s="6"/>
      <c r="U236" s="6"/>
    </row>
    <row r="237" spans="1:21">
      <c r="A237" s="82"/>
      <c r="B237" s="83"/>
      <c r="C237" s="82"/>
      <c r="D237" s="82"/>
      <c r="E237" s="82"/>
      <c r="F237" s="82"/>
      <c r="G237" s="82"/>
      <c r="H237" s="83"/>
      <c r="I237" s="83"/>
      <c r="J237" s="83"/>
      <c r="K237" s="6"/>
      <c r="L237" s="6"/>
      <c r="M237" s="6"/>
      <c r="N237" s="6"/>
      <c r="O237" s="6"/>
      <c r="P237" s="6"/>
      <c r="Q237" s="6"/>
      <c r="R237" s="6"/>
      <c r="S237" s="6"/>
      <c r="T237" s="6"/>
      <c r="U237" s="6"/>
    </row>
    <row r="238" spans="1:21">
      <c r="A238" s="82"/>
      <c r="B238" s="83"/>
      <c r="C238" s="82"/>
      <c r="D238" s="82"/>
      <c r="E238" s="82"/>
      <c r="F238" s="82"/>
      <c r="G238" s="82"/>
      <c r="H238" s="83"/>
      <c r="I238" s="83"/>
      <c r="J238" s="83"/>
      <c r="K238" s="6"/>
      <c r="L238" s="6"/>
      <c r="M238" s="6"/>
      <c r="N238" s="6"/>
      <c r="O238" s="6"/>
      <c r="P238" s="6"/>
      <c r="Q238" s="6"/>
      <c r="R238" s="6"/>
      <c r="S238" s="6"/>
      <c r="T238" s="6"/>
      <c r="U238" s="6"/>
    </row>
    <row r="239" spans="1:21">
      <c r="A239" s="82"/>
      <c r="B239" s="83"/>
      <c r="C239" s="82"/>
      <c r="D239" s="82"/>
      <c r="E239" s="82"/>
      <c r="F239" s="82"/>
      <c r="G239" s="82"/>
      <c r="H239" s="83"/>
      <c r="I239" s="83"/>
      <c r="J239" s="83"/>
      <c r="K239" s="6"/>
      <c r="L239" s="6"/>
      <c r="M239" s="6"/>
      <c r="N239" s="6"/>
      <c r="O239" s="6"/>
      <c r="P239" s="6"/>
      <c r="Q239" s="6"/>
      <c r="R239" s="6"/>
      <c r="S239" s="6"/>
      <c r="T239" s="6"/>
      <c r="U239" s="6"/>
    </row>
    <row r="240" spans="1:21">
      <c r="A240" s="82"/>
      <c r="B240" s="83"/>
      <c r="C240" s="82"/>
      <c r="D240" s="82"/>
      <c r="E240" s="82"/>
      <c r="F240" s="82"/>
      <c r="G240" s="82"/>
      <c r="H240" s="83"/>
      <c r="I240" s="83"/>
      <c r="J240" s="83"/>
      <c r="K240" s="6"/>
      <c r="L240" s="6"/>
      <c r="M240" s="6"/>
      <c r="N240" s="6"/>
      <c r="O240" s="6"/>
      <c r="P240" s="6"/>
      <c r="Q240" s="6"/>
      <c r="R240" s="6"/>
      <c r="S240" s="6"/>
      <c r="T240" s="6"/>
      <c r="U240" s="6"/>
    </row>
    <row r="241" spans="1:21">
      <c r="A241" s="82"/>
      <c r="B241" s="83"/>
      <c r="C241" s="82"/>
      <c r="D241" s="82"/>
      <c r="E241" s="82"/>
      <c r="F241" s="82"/>
      <c r="G241" s="82"/>
      <c r="H241" s="83"/>
      <c r="I241" s="83"/>
      <c r="J241" s="83"/>
      <c r="K241" s="6"/>
      <c r="L241" s="6"/>
      <c r="M241" s="6"/>
      <c r="N241" s="6"/>
      <c r="O241" s="6"/>
      <c r="P241" s="6"/>
      <c r="Q241" s="6"/>
      <c r="R241" s="6"/>
      <c r="S241" s="6"/>
      <c r="T241" s="6"/>
      <c r="U241" s="6"/>
    </row>
    <row r="242" spans="1:21">
      <c r="A242" s="82"/>
      <c r="B242" s="83"/>
      <c r="C242" s="82"/>
      <c r="D242" s="82"/>
      <c r="E242" s="82"/>
      <c r="F242" s="82"/>
      <c r="G242" s="82"/>
      <c r="H242" s="83"/>
      <c r="I242" s="83"/>
      <c r="J242" s="83"/>
      <c r="K242" s="6"/>
      <c r="L242" s="6"/>
      <c r="M242" s="6"/>
      <c r="N242" s="6"/>
      <c r="O242" s="6"/>
      <c r="P242" s="6"/>
      <c r="Q242" s="6"/>
      <c r="R242" s="6"/>
      <c r="S242" s="6"/>
      <c r="T242" s="6"/>
      <c r="U242" s="6"/>
    </row>
    <row r="243" spans="1:21">
      <c r="A243" s="82"/>
      <c r="B243" s="83"/>
      <c r="C243" s="82"/>
      <c r="D243" s="82"/>
      <c r="E243" s="82"/>
      <c r="F243" s="82"/>
      <c r="G243" s="82"/>
      <c r="H243" s="83"/>
      <c r="I243" s="83"/>
      <c r="J243" s="83"/>
      <c r="K243" s="6"/>
      <c r="L243" s="6"/>
      <c r="M243" s="6"/>
      <c r="N243" s="6"/>
      <c r="O243" s="6"/>
      <c r="P243" s="6"/>
      <c r="Q243" s="6"/>
      <c r="R243" s="6"/>
      <c r="S243" s="6"/>
      <c r="T243" s="6"/>
      <c r="U243" s="6"/>
    </row>
    <row r="244" spans="1:21">
      <c r="A244" s="82"/>
      <c r="B244" s="83"/>
      <c r="C244" s="82"/>
      <c r="D244" s="82"/>
      <c r="E244" s="82"/>
      <c r="F244" s="82"/>
      <c r="G244" s="82"/>
      <c r="H244" s="83"/>
      <c r="I244" s="83"/>
      <c r="J244" s="83"/>
      <c r="K244" s="6"/>
      <c r="L244" s="6"/>
      <c r="M244" s="6"/>
      <c r="N244" s="6"/>
      <c r="O244" s="6"/>
      <c r="P244" s="6"/>
      <c r="Q244" s="6"/>
      <c r="R244" s="6"/>
      <c r="S244" s="6"/>
      <c r="T244" s="6"/>
      <c r="U244" s="6"/>
    </row>
    <row r="245" spans="1:21">
      <c r="A245" s="82"/>
      <c r="B245" s="83"/>
      <c r="C245" s="82"/>
      <c r="D245" s="82"/>
      <c r="E245" s="82"/>
      <c r="F245" s="82"/>
      <c r="G245" s="82"/>
      <c r="H245" s="83"/>
      <c r="I245" s="83"/>
      <c r="J245" s="83"/>
      <c r="K245" s="6"/>
      <c r="L245" s="6"/>
      <c r="M245" s="6"/>
      <c r="N245" s="6"/>
      <c r="O245" s="6"/>
      <c r="P245" s="6"/>
      <c r="Q245" s="6"/>
      <c r="R245" s="6"/>
      <c r="S245" s="6"/>
      <c r="T245" s="6"/>
      <c r="U245" s="6"/>
    </row>
    <row r="246" spans="1:21">
      <c r="A246" s="82"/>
      <c r="B246" s="83"/>
      <c r="C246" s="82"/>
      <c r="D246" s="82"/>
      <c r="E246" s="82"/>
      <c r="F246" s="82"/>
      <c r="G246" s="82"/>
      <c r="H246" s="83"/>
      <c r="I246" s="83"/>
      <c r="J246" s="83"/>
      <c r="K246" s="6"/>
      <c r="L246" s="6"/>
      <c r="M246" s="6"/>
      <c r="N246" s="6"/>
      <c r="O246" s="6"/>
      <c r="P246" s="6"/>
      <c r="Q246" s="6"/>
      <c r="R246" s="6"/>
      <c r="S246" s="6"/>
      <c r="T246" s="6"/>
      <c r="U246" s="6"/>
    </row>
    <row r="247" spans="1:21">
      <c r="A247" s="82"/>
      <c r="B247" s="83"/>
      <c r="C247" s="82"/>
      <c r="D247" s="82"/>
      <c r="E247" s="82"/>
      <c r="F247" s="82"/>
      <c r="G247" s="82"/>
      <c r="H247" s="83"/>
      <c r="I247" s="83"/>
      <c r="J247" s="83"/>
      <c r="K247" s="6"/>
      <c r="L247" s="6"/>
      <c r="M247" s="6"/>
      <c r="N247" s="6"/>
      <c r="O247" s="6"/>
      <c r="P247" s="6"/>
      <c r="Q247" s="6"/>
      <c r="R247" s="6"/>
      <c r="S247" s="6"/>
      <c r="T247" s="6"/>
      <c r="U247" s="6"/>
    </row>
    <row r="248" spans="1:21">
      <c r="A248" s="82"/>
      <c r="B248" s="83"/>
      <c r="C248" s="82"/>
      <c r="D248" s="82"/>
      <c r="E248" s="82"/>
      <c r="F248" s="82"/>
      <c r="G248" s="82"/>
      <c r="H248" s="83"/>
      <c r="I248" s="83"/>
      <c r="J248" s="83"/>
      <c r="K248" s="6"/>
      <c r="L248" s="6"/>
      <c r="M248" s="6"/>
      <c r="N248" s="6"/>
      <c r="O248" s="6"/>
      <c r="P248" s="6"/>
      <c r="Q248" s="6"/>
      <c r="R248" s="6"/>
      <c r="S248" s="6"/>
      <c r="T248" s="6"/>
      <c r="U248" s="6"/>
    </row>
    <row r="249" spans="1:21">
      <c r="A249" s="82"/>
      <c r="B249" s="83"/>
      <c r="C249" s="82"/>
      <c r="D249" s="82"/>
      <c r="E249" s="82"/>
      <c r="F249" s="82"/>
      <c r="G249" s="82"/>
      <c r="H249" s="83"/>
      <c r="I249" s="83"/>
      <c r="J249" s="83"/>
      <c r="K249" s="6"/>
      <c r="L249" s="6"/>
      <c r="M249" s="6"/>
      <c r="N249" s="6"/>
      <c r="O249" s="6"/>
      <c r="P249" s="6"/>
      <c r="Q249" s="6"/>
      <c r="R249" s="6"/>
      <c r="S249" s="6"/>
      <c r="T249" s="6"/>
      <c r="U249" s="6"/>
    </row>
    <row r="250" spans="1:21">
      <c r="A250" s="82"/>
      <c r="B250" s="83"/>
      <c r="C250" s="82"/>
      <c r="D250" s="82"/>
      <c r="E250" s="82"/>
      <c r="F250" s="82"/>
      <c r="G250" s="82"/>
      <c r="H250" s="83"/>
      <c r="I250" s="83"/>
      <c r="J250" s="83"/>
      <c r="K250" s="6"/>
      <c r="L250" s="6"/>
      <c r="M250" s="6"/>
      <c r="N250" s="6"/>
      <c r="O250" s="6"/>
      <c r="P250" s="6"/>
      <c r="Q250" s="6"/>
      <c r="R250" s="6"/>
      <c r="S250" s="6"/>
      <c r="T250" s="6"/>
      <c r="U250" s="6"/>
    </row>
    <row r="251" spans="1:21">
      <c r="A251" s="82"/>
      <c r="B251" s="83"/>
      <c r="C251" s="82"/>
      <c r="D251" s="82"/>
      <c r="E251" s="82"/>
      <c r="F251" s="82"/>
      <c r="G251" s="82"/>
      <c r="H251" s="83"/>
      <c r="I251" s="83"/>
      <c r="J251" s="83"/>
      <c r="K251" s="6"/>
      <c r="L251" s="6"/>
      <c r="M251" s="6"/>
      <c r="N251" s="6"/>
      <c r="O251" s="6"/>
      <c r="P251" s="6"/>
      <c r="Q251" s="6"/>
      <c r="R251" s="6"/>
      <c r="S251" s="6"/>
      <c r="T251" s="6"/>
      <c r="U251" s="6"/>
    </row>
    <row r="252" spans="1:21">
      <c r="A252" s="82"/>
      <c r="B252" s="83"/>
      <c r="C252" s="82"/>
      <c r="D252" s="82"/>
      <c r="E252" s="82"/>
      <c r="F252" s="82"/>
      <c r="G252" s="82"/>
      <c r="H252" s="83"/>
      <c r="I252" s="83"/>
      <c r="J252" s="83"/>
      <c r="K252" s="6"/>
      <c r="L252" s="6"/>
      <c r="M252" s="6"/>
      <c r="N252" s="6"/>
      <c r="O252" s="6"/>
      <c r="P252" s="6"/>
      <c r="Q252" s="6"/>
      <c r="R252" s="6"/>
      <c r="S252" s="6"/>
      <c r="T252" s="6"/>
      <c r="U252" s="6"/>
    </row>
    <row r="253" spans="1:21">
      <c r="A253" s="82"/>
      <c r="B253" s="83"/>
      <c r="C253" s="82"/>
      <c r="D253" s="82"/>
      <c r="E253" s="82"/>
      <c r="F253" s="82"/>
      <c r="G253" s="82"/>
      <c r="H253" s="83"/>
      <c r="I253" s="83"/>
      <c r="J253" s="83"/>
      <c r="K253" s="6"/>
      <c r="L253" s="6"/>
      <c r="M253" s="6"/>
      <c r="N253" s="6"/>
      <c r="O253" s="6"/>
      <c r="P253" s="6"/>
      <c r="Q253" s="6"/>
      <c r="R253" s="6"/>
      <c r="S253" s="6"/>
      <c r="T253" s="6"/>
      <c r="U253" s="6"/>
    </row>
    <row r="254" spans="1:21">
      <c r="A254" s="82"/>
      <c r="B254" s="83"/>
      <c r="C254" s="82"/>
      <c r="D254" s="82"/>
      <c r="E254" s="82"/>
      <c r="F254" s="82"/>
      <c r="G254" s="82"/>
      <c r="H254" s="83"/>
      <c r="I254" s="83"/>
      <c r="J254" s="83"/>
      <c r="K254" s="6"/>
      <c r="L254" s="6"/>
      <c r="M254" s="6"/>
      <c r="N254" s="6"/>
      <c r="O254" s="6"/>
      <c r="P254" s="6"/>
      <c r="Q254" s="6"/>
      <c r="R254" s="6"/>
      <c r="S254" s="6"/>
      <c r="T254" s="6"/>
      <c r="U254" s="6"/>
    </row>
    <row r="255" spans="1:21">
      <c r="A255" s="82"/>
      <c r="B255" s="83"/>
      <c r="C255" s="82"/>
      <c r="D255" s="82"/>
      <c r="E255" s="82"/>
      <c r="F255" s="82"/>
      <c r="G255" s="82"/>
      <c r="H255" s="83"/>
      <c r="I255" s="83"/>
      <c r="J255" s="83"/>
      <c r="K255" s="6"/>
      <c r="L255" s="6"/>
      <c r="M255" s="6"/>
      <c r="N255" s="6"/>
      <c r="O255" s="6"/>
      <c r="P255" s="6"/>
      <c r="Q255" s="6"/>
      <c r="R255" s="6"/>
      <c r="S255" s="6"/>
      <c r="T255" s="6"/>
      <c r="U255" s="6"/>
    </row>
    <row r="256" spans="1:21">
      <c r="A256" s="82"/>
      <c r="B256" s="83"/>
      <c r="C256" s="82"/>
      <c r="D256" s="82"/>
      <c r="E256" s="82"/>
      <c r="F256" s="82"/>
      <c r="G256" s="82"/>
      <c r="H256" s="83"/>
      <c r="I256" s="83"/>
      <c r="J256" s="83"/>
      <c r="K256" s="6"/>
      <c r="L256" s="6"/>
      <c r="M256" s="6"/>
      <c r="N256" s="6"/>
      <c r="O256" s="6"/>
      <c r="P256" s="6"/>
      <c r="Q256" s="6"/>
      <c r="R256" s="6"/>
      <c r="S256" s="6"/>
      <c r="T256" s="6"/>
      <c r="U256" s="6"/>
    </row>
    <row r="257" spans="1:21">
      <c r="A257" s="82"/>
      <c r="B257" s="83"/>
      <c r="C257" s="82"/>
      <c r="D257" s="82"/>
      <c r="E257" s="82"/>
      <c r="F257" s="82"/>
      <c r="G257" s="82"/>
      <c r="H257" s="83"/>
      <c r="I257" s="83"/>
      <c r="J257" s="83"/>
      <c r="K257" s="6"/>
      <c r="L257" s="6"/>
      <c r="M257" s="6"/>
      <c r="N257" s="6"/>
      <c r="O257" s="6"/>
      <c r="P257" s="6"/>
      <c r="Q257" s="6"/>
      <c r="R257" s="6"/>
      <c r="S257" s="6"/>
      <c r="T257" s="6"/>
      <c r="U257" s="6"/>
    </row>
    <row r="258" spans="1:21">
      <c r="A258" s="82"/>
      <c r="B258" s="83"/>
      <c r="C258" s="82"/>
      <c r="D258" s="82"/>
      <c r="E258" s="82"/>
      <c r="F258" s="82"/>
      <c r="G258" s="82"/>
      <c r="H258" s="83"/>
      <c r="I258" s="83"/>
      <c r="J258" s="83"/>
      <c r="K258" s="6"/>
      <c r="L258" s="6"/>
      <c r="M258" s="6"/>
      <c r="N258" s="6"/>
      <c r="O258" s="6"/>
      <c r="P258" s="6"/>
      <c r="Q258" s="6"/>
      <c r="R258" s="6"/>
      <c r="S258" s="6"/>
      <c r="T258" s="6"/>
      <c r="U258" s="6"/>
    </row>
    <row r="259" spans="1:21">
      <c r="A259" s="82"/>
      <c r="B259" s="83"/>
      <c r="C259" s="82"/>
      <c r="D259" s="82"/>
      <c r="E259" s="82"/>
      <c r="F259" s="82"/>
      <c r="G259" s="82"/>
      <c r="H259" s="83"/>
      <c r="I259" s="83"/>
      <c r="J259" s="83"/>
      <c r="K259" s="6"/>
      <c r="L259" s="6"/>
      <c r="M259" s="6"/>
      <c r="N259" s="6"/>
      <c r="O259" s="6"/>
      <c r="P259" s="6"/>
      <c r="Q259" s="6"/>
      <c r="R259" s="6"/>
      <c r="S259" s="6"/>
      <c r="T259" s="6"/>
      <c r="U259" s="6"/>
    </row>
    <row r="260" spans="1:21">
      <c r="A260" s="82"/>
      <c r="B260" s="83"/>
      <c r="C260" s="82"/>
      <c r="D260" s="82"/>
      <c r="E260" s="82"/>
      <c r="F260" s="82"/>
      <c r="G260" s="82"/>
      <c r="H260" s="83"/>
      <c r="I260" s="83"/>
      <c r="J260" s="83"/>
      <c r="K260" s="6"/>
      <c r="L260" s="6"/>
      <c r="M260" s="6"/>
      <c r="N260" s="6"/>
      <c r="O260" s="6"/>
      <c r="P260" s="6"/>
      <c r="Q260" s="6"/>
      <c r="R260" s="6"/>
      <c r="S260" s="6"/>
      <c r="T260" s="6"/>
      <c r="U260" s="6"/>
    </row>
    <row r="261" spans="1:21">
      <c r="A261" s="82"/>
      <c r="B261" s="83"/>
      <c r="C261" s="82"/>
      <c r="D261" s="82"/>
      <c r="E261" s="82"/>
      <c r="F261" s="82"/>
      <c r="G261" s="82"/>
      <c r="H261" s="83"/>
      <c r="I261" s="83"/>
      <c r="J261" s="83"/>
      <c r="K261" s="6"/>
      <c r="L261" s="6"/>
      <c r="M261" s="6"/>
      <c r="N261" s="6"/>
      <c r="O261" s="6"/>
      <c r="P261" s="6"/>
      <c r="Q261" s="6"/>
      <c r="R261" s="6"/>
      <c r="S261" s="6"/>
      <c r="T261" s="6"/>
      <c r="U261" s="6"/>
    </row>
    <row r="262" spans="1:21">
      <c r="A262" s="82"/>
      <c r="B262" s="83"/>
      <c r="C262" s="82"/>
      <c r="D262" s="82"/>
      <c r="E262" s="82"/>
      <c r="F262" s="82"/>
      <c r="G262" s="82"/>
      <c r="H262" s="83"/>
      <c r="I262" s="83"/>
      <c r="J262" s="83"/>
      <c r="K262" s="6"/>
      <c r="L262" s="6"/>
      <c r="M262" s="6"/>
      <c r="N262" s="6"/>
      <c r="O262" s="6"/>
      <c r="P262" s="6"/>
      <c r="Q262" s="6"/>
      <c r="R262" s="6"/>
      <c r="S262" s="6"/>
      <c r="T262" s="6"/>
      <c r="U262" s="6"/>
    </row>
    <row r="263" spans="1:21">
      <c r="A263" s="82"/>
      <c r="B263" s="83"/>
      <c r="C263" s="82"/>
      <c r="D263" s="82"/>
      <c r="E263" s="82"/>
      <c r="F263" s="82"/>
      <c r="G263" s="82"/>
      <c r="H263" s="83"/>
      <c r="I263" s="83"/>
      <c r="J263" s="83"/>
      <c r="K263" s="6"/>
      <c r="L263" s="6"/>
      <c r="M263" s="6"/>
      <c r="N263" s="6"/>
      <c r="O263" s="6"/>
      <c r="P263" s="6"/>
      <c r="Q263" s="6"/>
      <c r="R263" s="6"/>
      <c r="S263" s="6"/>
      <c r="T263" s="6"/>
      <c r="U263" s="6"/>
    </row>
    <row r="264" spans="1:21">
      <c r="A264" s="82"/>
      <c r="B264" s="83"/>
      <c r="C264" s="82"/>
      <c r="D264" s="82"/>
      <c r="E264" s="82"/>
      <c r="F264" s="82"/>
      <c r="G264" s="82"/>
      <c r="H264" s="83"/>
      <c r="I264" s="83"/>
      <c r="J264" s="83"/>
      <c r="K264" s="6"/>
      <c r="L264" s="6"/>
      <c r="M264" s="6"/>
      <c r="N264" s="6"/>
      <c r="O264" s="6"/>
      <c r="P264" s="6"/>
      <c r="Q264" s="6"/>
      <c r="R264" s="6"/>
      <c r="S264" s="6"/>
      <c r="T264" s="6"/>
      <c r="U264" s="6"/>
    </row>
    <row r="265" spans="1:21">
      <c r="A265" s="82"/>
      <c r="B265" s="83"/>
      <c r="C265" s="82"/>
      <c r="D265" s="82"/>
      <c r="E265" s="82"/>
      <c r="F265" s="82"/>
      <c r="G265" s="82"/>
      <c r="H265" s="83"/>
      <c r="I265" s="83"/>
      <c r="J265" s="83"/>
      <c r="K265" s="6"/>
      <c r="L265" s="6"/>
      <c r="M265" s="6"/>
      <c r="N265" s="6"/>
      <c r="O265" s="6"/>
      <c r="P265" s="6"/>
      <c r="Q265" s="6"/>
      <c r="R265" s="6"/>
      <c r="S265" s="6"/>
      <c r="T265" s="6"/>
      <c r="U265" s="6"/>
    </row>
    <row r="266" spans="1:21">
      <c r="A266" s="82"/>
      <c r="B266" s="83"/>
      <c r="C266" s="82"/>
      <c r="D266" s="82"/>
      <c r="E266" s="82"/>
      <c r="F266" s="82"/>
      <c r="G266" s="82"/>
      <c r="H266" s="83"/>
      <c r="I266" s="83"/>
      <c r="J266" s="83"/>
      <c r="K266" s="6"/>
      <c r="L266" s="6"/>
      <c r="M266" s="6"/>
      <c r="N266" s="6"/>
      <c r="O266" s="6"/>
      <c r="P266" s="6"/>
      <c r="Q266" s="6"/>
      <c r="R266" s="6"/>
      <c r="S266" s="6"/>
      <c r="T266" s="6"/>
      <c r="U266" s="6"/>
    </row>
    <row r="267" spans="1:21">
      <c r="A267" s="82"/>
      <c r="B267" s="83"/>
      <c r="C267" s="82"/>
      <c r="D267" s="82"/>
      <c r="E267" s="82"/>
      <c r="F267" s="82"/>
      <c r="G267" s="82"/>
      <c r="H267" s="83"/>
      <c r="I267" s="83"/>
      <c r="J267" s="83"/>
      <c r="K267" s="6"/>
      <c r="L267" s="6"/>
      <c r="M267" s="6"/>
      <c r="N267" s="6"/>
      <c r="O267" s="6"/>
      <c r="P267" s="6"/>
      <c r="Q267" s="6"/>
      <c r="R267" s="6"/>
      <c r="S267" s="6"/>
      <c r="T267" s="6"/>
      <c r="U267" s="6"/>
    </row>
    <row r="268" spans="1:21">
      <c r="A268" s="82"/>
      <c r="B268" s="83"/>
      <c r="C268" s="82"/>
      <c r="D268" s="82"/>
      <c r="E268" s="82"/>
      <c r="F268" s="82"/>
      <c r="G268" s="82"/>
      <c r="H268" s="83"/>
      <c r="I268" s="83"/>
      <c r="J268" s="83"/>
      <c r="K268" s="6"/>
      <c r="L268" s="6"/>
      <c r="M268" s="6"/>
      <c r="N268" s="6"/>
      <c r="O268" s="6"/>
      <c r="P268" s="6"/>
      <c r="Q268" s="6"/>
      <c r="R268" s="6"/>
      <c r="S268" s="6"/>
      <c r="T268" s="6"/>
      <c r="U268" s="6"/>
    </row>
    <row r="269" spans="1:21">
      <c r="A269" s="82"/>
      <c r="B269" s="83"/>
      <c r="C269" s="82"/>
      <c r="D269" s="82"/>
      <c r="E269" s="82"/>
      <c r="F269" s="82"/>
      <c r="G269" s="82"/>
      <c r="H269" s="83"/>
      <c r="I269" s="83"/>
      <c r="J269" s="83"/>
      <c r="K269" s="6"/>
      <c r="L269" s="6"/>
      <c r="M269" s="6"/>
      <c r="N269" s="6"/>
      <c r="O269" s="6"/>
      <c r="P269" s="6"/>
      <c r="Q269" s="6"/>
      <c r="R269" s="6"/>
      <c r="S269" s="6"/>
      <c r="T269" s="6"/>
      <c r="U269" s="6"/>
    </row>
    <row r="270" spans="1:21">
      <c r="A270" s="82"/>
      <c r="B270" s="83"/>
      <c r="C270" s="82"/>
      <c r="D270" s="82"/>
      <c r="E270" s="82"/>
      <c r="F270" s="82"/>
      <c r="G270" s="82"/>
      <c r="H270" s="83"/>
      <c r="I270" s="83"/>
      <c r="J270" s="83"/>
      <c r="K270" s="6"/>
      <c r="L270" s="6"/>
      <c r="M270" s="6"/>
      <c r="N270" s="6"/>
      <c r="O270" s="6"/>
      <c r="P270" s="6"/>
      <c r="Q270" s="6"/>
      <c r="R270" s="6"/>
      <c r="S270" s="6"/>
      <c r="T270" s="6"/>
      <c r="U270" s="6"/>
    </row>
    <row r="271" spans="1:21">
      <c r="A271" s="82"/>
      <c r="B271" s="83"/>
      <c r="C271" s="82"/>
      <c r="D271" s="82"/>
      <c r="E271" s="82"/>
      <c r="F271" s="82"/>
      <c r="G271" s="82"/>
      <c r="H271" s="83"/>
      <c r="I271" s="83"/>
      <c r="J271" s="83"/>
      <c r="K271" s="6"/>
      <c r="L271" s="6"/>
      <c r="M271" s="6"/>
      <c r="N271" s="6"/>
      <c r="O271" s="6"/>
      <c r="P271" s="6"/>
      <c r="Q271" s="6"/>
      <c r="R271" s="6"/>
      <c r="S271" s="6"/>
      <c r="T271" s="6"/>
      <c r="U271" s="6"/>
    </row>
    <row r="272" spans="1:21">
      <c r="A272" s="82"/>
      <c r="B272" s="83"/>
      <c r="C272" s="82"/>
      <c r="D272" s="82"/>
      <c r="E272" s="82"/>
      <c r="F272" s="82"/>
      <c r="G272" s="82"/>
      <c r="H272" s="83"/>
      <c r="I272" s="83"/>
      <c r="J272" s="83"/>
      <c r="K272" s="6"/>
      <c r="L272" s="6"/>
      <c r="M272" s="6"/>
      <c r="N272" s="6"/>
      <c r="O272" s="6"/>
      <c r="P272" s="6"/>
      <c r="Q272" s="6"/>
      <c r="R272" s="6"/>
      <c r="S272" s="6"/>
      <c r="T272" s="6"/>
      <c r="U272" s="6"/>
    </row>
    <row r="273" spans="1:21">
      <c r="A273" s="82"/>
      <c r="B273" s="83"/>
      <c r="C273" s="82"/>
      <c r="D273" s="82"/>
      <c r="E273" s="82"/>
      <c r="F273" s="82"/>
      <c r="G273" s="82"/>
      <c r="H273" s="83"/>
      <c r="I273" s="83"/>
      <c r="J273" s="83"/>
      <c r="K273" s="6"/>
      <c r="L273" s="6"/>
      <c r="M273" s="6"/>
      <c r="N273" s="6"/>
      <c r="O273" s="6"/>
      <c r="P273" s="6"/>
      <c r="Q273" s="6"/>
      <c r="R273" s="6"/>
      <c r="S273" s="6"/>
      <c r="T273" s="6"/>
      <c r="U273" s="6"/>
    </row>
    <row r="274" spans="1:21">
      <c r="A274" s="82"/>
      <c r="B274" s="83"/>
      <c r="C274" s="82"/>
      <c r="D274" s="82"/>
      <c r="E274" s="82"/>
      <c r="F274" s="82"/>
      <c r="G274" s="82"/>
      <c r="H274" s="83"/>
      <c r="I274" s="83"/>
      <c r="J274" s="83"/>
      <c r="K274" s="6"/>
      <c r="L274" s="6"/>
      <c r="M274" s="6"/>
      <c r="N274" s="6"/>
      <c r="O274" s="6"/>
      <c r="P274" s="6"/>
      <c r="Q274" s="6"/>
      <c r="R274" s="6"/>
      <c r="S274" s="6"/>
      <c r="T274" s="6"/>
      <c r="U274" s="6"/>
    </row>
    <row r="275" spans="1:21">
      <c r="A275" s="82"/>
      <c r="B275" s="83"/>
      <c r="C275" s="82"/>
      <c r="D275" s="82"/>
      <c r="E275" s="82"/>
      <c r="F275" s="82"/>
      <c r="G275" s="82"/>
      <c r="H275" s="83"/>
      <c r="I275" s="83"/>
      <c r="J275" s="83"/>
      <c r="K275" s="6"/>
      <c r="L275" s="6"/>
      <c r="M275" s="6"/>
      <c r="N275" s="6"/>
      <c r="O275" s="6"/>
      <c r="P275" s="6"/>
      <c r="Q275" s="6"/>
      <c r="R275" s="6"/>
      <c r="S275" s="6"/>
      <c r="T275" s="6"/>
      <c r="U275" s="6"/>
    </row>
    <row r="276" spans="1:21">
      <c r="A276" s="82"/>
      <c r="B276" s="83"/>
      <c r="C276" s="82"/>
      <c r="D276" s="82"/>
      <c r="E276" s="82"/>
      <c r="F276" s="82"/>
      <c r="G276" s="82"/>
      <c r="H276" s="83"/>
      <c r="I276" s="83"/>
      <c r="J276" s="83"/>
      <c r="K276" s="6"/>
      <c r="L276" s="6"/>
      <c r="M276" s="6"/>
      <c r="N276" s="6"/>
      <c r="O276" s="6"/>
      <c r="P276" s="6"/>
      <c r="Q276" s="6"/>
      <c r="R276" s="6"/>
      <c r="S276" s="6"/>
      <c r="T276" s="6"/>
      <c r="U276" s="6"/>
    </row>
    <row r="277" spans="1:21">
      <c r="A277" s="82"/>
      <c r="B277" s="83"/>
      <c r="C277" s="82"/>
      <c r="D277" s="82"/>
      <c r="E277" s="82"/>
      <c r="F277" s="82"/>
      <c r="G277" s="82"/>
      <c r="H277" s="83"/>
      <c r="I277" s="83"/>
      <c r="J277" s="83"/>
      <c r="K277" s="6"/>
      <c r="L277" s="6"/>
      <c r="M277" s="6"/>
      <c r="N277" s="6"/>
      <c r="O277" s="6"/>
      <c r="P277" s="6"/>
      <c r="Q277" s="6"/>
      <c r="R277" s="6"/>
      <c r="S277" s="6"/>
      <c r="T277" s="6"/>
      <c r="U277" s="6"/>
    </row>
    <row r="278" spans="1:21">
      <c r="A278" s="82"/>
      <c r="B278" s="83"/>
      <c r="C278" s="82"/>
      <c r="D278" s="82"/>
      <c r="E278" s="82"/>
      <c r="F278" s="82"/>
      <c r="G278" s="82"/>
      <c r="H278" s="83"/>
      <c r="I278" s="83"/>
      <c r="J278" s="83"/>
      <c r="K278" s="6"/>
      <c r="L278" s="6"/>
      <c r="M278" s="6"/>
      <c r="N278" s="6"/>
      <c r="O278" s="6"/>
      <c r="P278" s="6"/>
      <c r="Q278" s="6"/>
      <c r="R278" s="6"/>
      <c r="S278" s="6"/>
      <c r="T278" s="6"/>
      <c r="U278" s="6"/>
    </row>
    <row r="279" spans="1:21">
      <c r="A279" s="82"/>
      <c r="B279" s="83"/>
      <c r="C279" s="82"/>
      <c r="D279" s="82"/>
      <c r="E279" s="82"/>
      <c r="F279" s="82"/>
      <c r="G279" s="82"/>
      <c r="H279" s="83"/>
      <c r="I279" s="83"/>
      <c r="J279" s="83"/>
      <c r="K279" s="6"/>
      <c r="L279" s="6"/>
      <c r="M279" s="6"/>
      <c r="N279" s="6"/>
      <c r="O279" s="6"/>
      <c r="P279" s="6"/>
      <c r="Q279" s="6"/>
      <c r="R279" s="6"/>
      <c r="S279" s="6"/>
      <c r="T279" s="6"/>
      <c r="U279" s="6"/>
    </row>
    <row r="280" spans="1:21">
      <c r="A280" s="82"/>
      <c r="B280" s="83"/>
      <c r="C280" s="82"/>
      <c r="D280" s="82"/>
      <c r="E280" s="82"/>
      <c r="F280" s="82"/>
      <c r="G280" s="82"/>
      <c r="H280" s="83"/>
      <c r="I280" s="83"/>
      <c r="J280" s="83"/>
      <c r="K280" s="6"/>
      <c r="L280" s="6"/>
      <c r="M280" s="6"/>
      <c r="N280" s="6"/>
      <c r="O280" s="6"/>
      <c r="P280" s="6"/>
      <c r="Q280" s="6"/>
      <c r="R280" s="6"/>
      <c r="S280" s="6"/>
      <c r="T280" s="6"/>
      <c r="U280" s="6"/>
    </row>
    <row r="281" spans="1:21">
      <c r="A281" s="82"/>
      <c r="B281" s="83"/>
      <c r="C281" s="82"/>
      <c r="D281" s="82"/>
      <c r="E281" s="82"/>
      <c r="F281" s="82"/>
      <c r="G281" s="82"/>
      <c r="H281" s="83"/>
      <c r="I281" s="83"/>
      <c r="J281" s="83"/>
      <c r="K281" s="6"/>
      <c r="L281" s="6"/>
      <c r="M281" s="6"/>
      <c r="N281" s="6"/>
      <c r="O281" s="6"/>
      <c r="P281" s="6"/>
      <c r="Q281" s="6"/>
      <c r="R281" s="6"/>
      <c r="S281" s="6"/>
      <c r="T281" s="6"/>
      <c r="U281" s="6"/>
    </row>
    <row r="282" spans="1:21">
      <c r="A282" s="82"/>
      <c r="B282" s="83"/>
      <c r="C282" s="82"/>
      <c r="D282" s="82"/>
      <c r="E282" s="82"/>
      <c r="F282" s="82"/>
      <c r="G282" s="82"/>
      <c r="H282" s="83"/>
      <c r="I282" s="83"/>
      <c r="J282" s="83"/>
      <c r="K282" s="6"/>
      <c r="L282" s="6"/>
      <c r="M282" s="6"/>
      <c r="N282" s="6"/>
      <c r="O282" s="6"/>
      <c r="P282" s="6"/>
      <c r="Q282" s="6"/>
      <c r="R282" s="6"/>
      <c r="S282" s="6"/>
      <c r="T282" s="6"/>
      <c r="U282" s="6"/>
    </row>
    <row r="283" spans="1:21">
      <c r="A283" s="82"/>
      <c r="B283" s="83"/>
      <c r="C283" s="82"/>
      <c r="D283" s="82"/>
      <c r="E283" s="82"/>
      <c r="F283" s="82"/>
      <c r="G283" s="82"/>
      <c r="H283" s="83"/>
      <c r="I283" s="83"/>
      <c r="J283" s="83"/>
      <c r="K283" s="6"/>
      <c r="L283" s="6"/>
      <c r="M283" s="6"/>
      <c r="N283" s="6"/>
      <c r="O283" s="6"/>
      <c r="P283" s="6"/>
      <c r="Q283" s="6"/>
      <c r="R283" s="6"/>
      <c r="S283" s="6"/>
      <c r="T283" s="6"/>
      <c r="U283" s="6"/>
    </row>
    <row r="284" spans="1:21">
      <c r="A284" s="82"/>
      <c r="B284" s="83"/>
      <c r="C284" s="82"/>
      <c r="D284" s="82"/>
      <c r="E284" s="82"/>
      <c r="F284" s="82"/>
      <c r="G284" s="82"/>
      <c r="H284" s="83"/>
      <c r="I284" s="83"/>
      <c r="J284" s="83"/>
      <c r="K284" s="6"/>
      <c r="L284" s="6"/>
      <c r="M284" s="6"/>
      <c r="N284" s="6"/>
      <c r="O284" s="6"/>
      <c r="P284" s="6"/>
      <c r="Q284" s="6"/>
      <c r="R284" s="6"/>
      <c r="S284" s="6"/>
      <c r="T284" s="6"/>
      <c r="U284" s="6"/>
    </row>
    <row r="285" spans="1:21">
      <c r="A285" s="82"/>
      <c r="B285" s="83"/>
      <c r="C285" s="82"/>
      <c r="D285" s="82"/>
      <c r="E285" s="82"/>
      <c r="F285" s="82"/>
      <c r="G285" s="82"/>
      <c r="H285" s="83"/>
      <c r="I285" s="83"/>
      <c r="J285" s="83"/>
      <c r="K285" s="6"/>
      <c r="L285" s="6"/>
      <c r="M285" s="6"/>
      <c r="N285" s="6"/>
      <c r="O285" s="6"/>
      <c r="P285" s="6"/>
      <c r="Q285" s="6"/>
      <c r="R285" s="6"/>
      <c r="S285" s="6"/>
      <c r="T285" s="6"/>
      <c r="U285" s="6"/>
    </row>
    <row r="286" spans="1:21">
      <c r="A286" s="82"/>
      <c r="B286" s="83"/>
      <c r="C286" s="82"/>
      <c r="D286" s="82"/>
      <c r="E286" s="82"/>
      <c r="F286" s="82"/>
      <c r="G286" s="82"/>
      <c r="H286" s="83"/>
      <c r="I286" s="83"/>
      <c r="J286" s="83"/>
      <c r="K286" s="6"/>
      <c r="L286" s="6"/>
      <c r="M286" s="6"/>
      <c r="N286" s="6"/>
      <c r="O286" s="6"/>
      <c r="P286" s="6"/>
      <c r="Q286" s="6"/>
      <c r="R286" s="6"/>
      <c r="S286" s="6"/>
      <c r="T286" s="6"/>
      <c r="U286" s="6"/>
    </row>
    <row r="287" spans="1:21">
      <c r="A287" s="82"/>
      <c r="B287" s="83"/>
      <c r="C287" s="82"/>
      <c r="D287" s="82"/>
      <c r="E287" s="82"/>
      <c r="F287" s="82"/>
      <c r="G287" s="82"/>
      <c r="H287" s="83"/>
      <c r="I287" s="83"/>
      <c r="J287" s="83"/>
      <c r="K287" s="6"/>
      <c r="L287" s="6"/>
      <c r="M287" s="6"/>
      <c r="N287" s="6"/>
      <c r="O287" s="6"/>
      <c r="P287" s="6"/>
      <c r="Q287" s="6"/>
      <c r="R287" s="6"/>
      <c r="S287" s="6"/>
      <c r="T287" s="6"/>
      <c r="U287" s="6"/>
    </row>
    <row r="288" spans="1:21">
      <c r="A288" s="82"/>
      <c r="B288" s="83"/>
      <c r="C288" s="82"/>
      <c r="D288" s="82"/>
      <c r="E288" s="82"/>
      <c r="F288" s="82"/>
      <c r="G288" s="82"/>
      <c r="H288" s="83"/>
      <c r="I288" s="83"/>
      <c r="J288" s="83"/>
      <c r="K288" s="6"/>
      <c r="L288" s="6"/>
      <c r="M288" s="6"/>
      <c r="N288" s="6"/>
      <c r="O288" s="6"/>
      <c r="P288" s="6"/>
      <c r="Q288" s="6"/>
      <c r="R288" s="6"/>
      <c r="S288" s="6"/>
      <c r="T288" s="6"/>
      <c r="U288" s="6"/>
    </row>
    <row r="289" spans="1:21">
      <c r="A289" s="82"/>
      <c r="B289" s="83"/>
      <c r="C289" s="82"/>
      <c r="D289" s="82"/>
      <c r="E289" s="82"/>
      <c r="F289" s="82"/>
      <c r="G289" s="82"/>
      <c r="H289" s="83"/>
      <c r="I289" s="83"/>
      <c r="J289" s="83"/>
      <c r="K289" s="6"/>
      <c r="L289" s="6"/>
      <c r="M289" s="6"/>
      <c r="N289" s="6"/>
      <c r="O289" s="6"/>
      <c r="P289" s="6"/>
      <c r="Q289" s="6"/>
      <c r="R289" s="6"/>
      <c r="S289" s="6"/>
      <c r="T289" s="6"/>
      <c r="U289" s="6"/>
    </row>
    <row r="290" spans="1:21">
      <c r="A290" s="82"/>
      <c r="B290" s="83"/>
      <c r="C290" s="82"/>
      <c r="D290" s="82"/>
      <c r="E290" s="82"/>
      <c r="F290" s="82"/>
      <c r="G290" s="82"/>
      <c r="H290" s="83"/>
      <c r="I290" s="83"/>
      <c r="J290" s="83"/>
      <c r="K290" s="6"/>
      <c r="L290" s="6"/>
      <c r="M290" s="6"/>
      <c r="N290" s="6"/>
      <c r="O290" s="6"/>
      <c r="P290" s="6"/>
      <c r="Q290" s="6"/>
      <c r="R290" s="6"/>
      <c r="S290" s="6"/>
      <c r="T290" s="6"/>
      <c r="U290" s="6"/>
    </row>
    <row r="291" spans="1:21">
      <c r="A291" s="82"/>
      <c r="B291" s="83"/>
      <c r="C291" s="82"/>
      <c r="D291" s="82"/>
      <c r="E291" s="82"/>
      <c r="F291" s="82"/>
      <c r="G291" s="82"/>
      <c r="H291" s="83"/>
      <c r="I291" s="83"/>
      <c r="J291" s="83"/>
      <c r="K291" s="6"/>
      <c r="L291" s="6"/>
      <c r="M291" s="6"/>
      <c r="N291" s="6"/>
      <c r="O291" s="6"/>
      <c r="P291" s="6"/>
      <c r="Q291" s="6"/>
      <c r="R291" s="6"/>
      <c r="S291" s="6"/>
      <c r="T291" s="6"/>
      <c r="U291" s="6"/>
    </row>
    <row r="292" spans="1:21">
      <c r="A292" s="82"/>
      <c r="B292" s="83"/>
      <c r="C292" s="82"/>
      <c r="D292" s="82"/>
      <c r="E292" s="82"/>
      <c r="F292" s="82"/>
      <c r="G292" s="82"/>
      <c r="H292" s="83"/>
      <c r="I292" s="83"/>
      <c r="J292" s="83"/>
      <c r="K292" s="6"/>
      <c r="L292" s="6"/>
      <c r="M292" s="6"/>
      <c r="N292" s="6"/>
      <c r="O292" s="6"/>
      <c r="P292" s="6"/>
      <c r="Q292" s="6"/>
      <c r="R292" s="6"/>
      <c r="S292" s="6"/>
      <c r="T292" s="6"/>
      <c r="U292" s="6"/>
    </row>
    <row r="293" spans="1:21">
      <c r="A293" s="82"/>
      <c r="B293" s="83"/>
      <c r="C293" s="82"/>
      <c r="D293" s="82"/>
      <c r="E293" s="82"/>
      <c r="F293" s="82"/>
      <c r="G293" s="82"/>
      <c r="H293" s="83"/>
      <c r="I293" s="83"/>
      <c r="J293" s="83"/>
      <c r="K293" s="6"/>
      <c r="L293" s="6"/>
      <c r="M293" s="6"/>
      <c r="N293" s="6"/>
      <c r="O293" s="6"/>
      <c r="P293" s="6"/>
      <c r="Q293" s="6"/>
      <c r="R293" s="6"/>
      <c r="S293" s="6"/>
      <c r="T293" s="6"/>
      <c r="U293" s="6"/>
    </row>
    <row r="294" spans="1:21">
      <c r="A294" s="82"/>
      <c r="B294" s="83"/>
      <c r="C294" s="82"/>
      <c r="D294" s="82"/>
      <c r="E294" s="82"/>
      <c r="F294" s="82"/>
      <c r="G294" s="82"/>
      <c r="H294" s="83"/>
      <c r="I294" s="83"/>
      <c r="J294" s="83"/>
      <c r="K294" s="6"/>
      <c r="L294" s="6"/>
      <c r="M294" s="6"/>
      <c r="N294" s="6"/>
      <c r="O294" s="6"/>
      <c r="P294" s="6"/>
      <c r="Q294" s="6"/>
      <c r="R294" s="6"/>
      <c r="S294" s="6"/>
      <c r="T294" s="6"/>
      <c r="U294" s="6"/>
    </row>
    <row r="295" spans="1:21">
      <c r="A295" s="82"/>
      <c r="B295" s="83"/>
      <c r="C295" s="82"/>
      <c r="D295" s="82"/>
      <c r="E295" s="82"/>
      <c r="F295" s="82"/>
      <c r="G295" s="82"/>
      <c r="H295" s="83"/>
      <c r="I295" s="83"/>
      <c r="J295" s="83"/>
      <c r="K295" s="6"/>
      <c r="L295" s="6"/>
      <c r="M295" s="6"/>
      <c r="N295" s="6"/>
      <c r="O295" s="6"/>
      <c r="P295" s="6"/>
      <c r="Q295" s="6"/>
      <c r="R295" s="6"/>
      <c r="S295" s="6"/>
      <c r="T295" s="6"/>
      <c r="U295" s="6"/>
    </row>
    <row r="296" spans="1:21">
      <c r="A296" s="82"/>
      <c r="B296" s="83"/>
      <c r="C296" s="82"/>
      <c r="D296" s="82"/>
      <c r="E296" s="82"/>
      <c r="F296" s="82"/>
      <c r="G296" s="82"/>
      <c r="H296" s="83"/>
      <c r="I296" s="83"/>
      <c r="J296" s="83"/>
      <c r="K296" s="6"/>
      <c r="L296" s="6"/>
      <c r="M296" s="6"/>
      <c r="N296" s="6"/>
      <c r="O296" s="6"/>
      <c r="P296" s="6"/>
      <c r="Q296" s="6"/>
      <c r="R296" s="6"/>
      <c r="S296" s="6"/>
      <c r="T296" s="6"/>
      <c r="U296" s="6"/>
    </row>
    <row r="297" spans="1:21">
      <c r="A297" s="82"/>
      <c r="B297" s="83"/>
      <c r="C297" s="82"/>
      <c r="D297" s="82"/>
      <c r="E297" s="82"/>
      <c r="F297" s="82"/>
      <c r="G297" s="82"/>
      <c r="H297" s="83"/>
      <c r="I297" s="83"/>
      <c r="J297" s="83"/>
      <c r="K297" s="6"/>
      <c r="L297" s="6"/>
      <c r="M297" s="6"/>
      <c r="N297" s="6"/>
      <c r="O297" s="6"/>
      <c r="P297" s="6"/>
      <c r="Q297" s="6"/>
      <c r="R297" s="6"/>
      <c r="S297" s="6"/>
      <c r="T297" s="6"/>
      <c r="U297" s="6"/>
    </row>
    <row r="298" spans="1:21">
      <c r="A298" s="82"/>
      <c r="B298" s="83"/>
      <c r="C298" s="82"/>
      <c r="D298" s="82"/>
      <c r="E298" s="82"/>
      <c r="F298" s="82"/>
      <c r="G298" s="82"/>
      <c r="H298" s="83"/>
      <c r="I298" s="83"/>
      <c r="J298" s="83"/>
      <c r="K298" s="6"/>
      <c r="L298" s="6"/>
      <c r="M298" s="6"/>
      <c r="N298" s="6"/>
      <c r="O298" s="6"/>
      <c r="P298" s="6"/>
      <c r="Q298" s="6"/>
      <c r="R298" s="6"/>
      <c r="S298" s="6"/>
      <c r="T298" s="6"/>
      <c r="U298" s="6"/>
    </row>
    <row r="299" spans="1:21">
      <c r="A299" s="82"/>
      <c r="B299" s="83"/>
      <c r="C299" s="82"/>
      <c r="D299" s="82"/>
      <c r="E299" s="82"/>
      <c r="F299" s="82"/>
      <c r="G299" s="82"/>
      <c r="H299" s="83"/>
      <c r="I299" s="83"/>
      <c r="J299" s="83"/>
      <c r="K299" s="6"/>
      <c r="L299" s="6"/>
      <c r="M299" s="6"/>
      <c r="N299" s="6"/>
      <c r="O299" s="6"/>
      <c r="P299" s="6"/>
      <c r="Q299" s="6"/>
      <c r="R299" s="6"/>
      <c r="S299" s="6"/>
      <c r="T299" s="6"/>
      <c r="U299" s="6"/>
    </row>
    <row r="300" spans="1:21">
      <c r="A300" s="82"/>
      <c r="B300" s="83"/>
      <c r="C300" s="82"/>
      <c r="D300" s="82"/>
      <c r="E300" s="82"/>
      <c r="F300" s="82"/>
      <c r="G300" s="82"/>
      <c r="H300" s="83"/>
      <c r="I300" s="83"/>
      <c r="J300" s="83"/>
      <c r="K300" s="6"/>
      <c r="L300" s="6"/>
      <c r="M300" s="6"/>
      <c r="N300" s="6"/>
      <c r="O300" s="6"/>
      <c r="P300" s="6"/>
      <c r="Q300" s="6"/>
      <c r="R300" s="6"/>
      <c r="S300" s="6"/>
      <c r="T300" s="6"/>
      <c r="U300" s="6"/>
    </row>
    <row r="301" spans="1:21">
      <c r="A301" s="82"/>
      <c r="B301" s="83"/>
      <c r="C301" s="82"/>
      <c r="D301" s="82"/>
      <c r="E301" s="82"/>
      <c r="F301" s="82"/>
      <c r="G301" s="82"/>
      <c r="H301" s="83"/>
      <c r="I301" s="83"/>
      <c r="J301" s="83"/>
      <c r="K301" s="6"/>
      <c r="L301" s="6"/>
      <c r="M301" s="6"/>
      <c r="N301" s="6"/>
      <c r="O301" s="6"/>
      <c r="P301" s="6"/>
      <c r="Q301" s="6"/>
      <c r="R301" s="6"/>
      <c r="S301" s="6"/>
      <c r="T301" s="6"/>
      <c r="U301" s="6"/>
    </row>
    <row r="302" spans="1:21">
      <c r="A302" s="82"/>
      <c r="B302" s="83"/>
      <c r="C302" s="82"/>
      <c r="D302" s="82"/>
      <c r="E302" s="82"/>
      <c r="F302" s="82"/>
      <c r="G302" s="82"/>
      <c r="H302" s="83"/>
      <c r="I302" s="83"/>
      <c r="J302" s="83"/>
      <c r="K302" s="6"/>
      <c r="L302" s="6"/>
      <c r="M302" s="6"/>
      <c r="N302" s="6"/>
      <c r="O302" s="6"/>
      <c r="P302" s="6"/>
      <c r="Q302" s="6"/>
      <c r="R302" s="6"/>
      <c r="S302" s="6"/>
      <c r="T302" s="6"/>
      <c r="U302" s="6"/>
    </row>
    <row r="303" spans="1:21">
      <c r="A303" s="82"/>
      <c r="B303" s="83"/>
      <c r="C303" s="82"/>
      <c r="D303" s="82"/>
      <c r="E303" s="82"/>
      <c r="F303" s="82"/>
      <c r="G303" s="82"/>
      <c r="H303" s="83"/>
      <c r="I303" s="83"/>
      <c r="J303" s="83"/>
      <c r="K303" s="6"/>
      <c r="L303" s="6"/>
      <c r="M303" s="6"/>
      <c r="N303" s="6"/>
      <c r="O303" s="6"/>
      <c r="P303" s="6"/>
      <c r="Q303" s="6"/>
      <c r="R303" s="6"/>
      <c r="S303" s="6"/>
      <c r="T303" s="6"/>
      <c r="U303" s="6"/>
    </row>
    <row r="304" spans="1:21">
      <c r="A304" s="82"/>
      <c r="B304" s="83"/>
      <c r="C304" s="82"/>
      <c r="D304" s="82"/>
      <c r="E304" s="82"/>
      <c r="F304" s="82"/>
      <c r="G304" s="82"/>
      <c r="H304" s="83"/>
      <c r="I304" s="83"/>
      <c r="J304" s="83"/>
      <c r="K304" s="6"/>
      <c r="L304" s="6"/>
      <c r="M304" s="6"/>
      <c r="N304" s="6"/>
      <c r="O304" s="6"/>
      <c r="P304" s="6"/>
      <c r="Q304" s="6"/>
      <c r="R304" s="6"/>
      <c r="S304" s="6"/>
      <c r="T304" s="6"/>
      <c r="U304" s="6"/>
    </row>
    <row r="305" spans="1:21">
      <c r="A305" s="82"/>
      <c r="B305" s="83"/>
      <c r="C305" s="82"/>
      <c r="D305" s="82"/>
      <c r="E305" s="82"/>
      <c r="F305" s="82"/>
      <c r="G305" s="82"/>
      <c r="H305" s="83"/>
      <c r="I305" s="83"/>
      <c r="J305" s="83"/>
      <c r="K305" s="6"/>
      <c r="L305" s="6"/>
      <c r="M305" s="6"/>
      <c r="N305" s="6"/>
      <c r="O305" s="6"/>
      <c r="P305" s="6"/>
      <c r="Q305" s="6"/>
      <c r="R305" s="6"/>
      <c r="S305" s="6"/>
      <c r="T305" s="6"/>
      <c r="U305" s="6"/>
    </row>
    <row r="306" spans="1:21">
      <c r="A306" s="82"/>
      <c r="B306" s="83"/>
      <c r="C306" s="82"/>
      <c r="D306" s="82"/>
      <c r="E306" s="82"/>
      <c r="F306" s="82"/>
      <c r="G306" s="82"/>
      <c r="H306" s="83"/>
      <c r="I306" s="83"/>
      <c r="J306" s="83"/>
      <c r="K306" s="6"/>
      <c r="L306" s="6"/>
      <c r="M306" s="6"/>
      <c r="N306" s="6"/>
      <c r="O306" s="6"/>
      <c r="P306" s="6"/>
      <c r="Q306" s="6"/>
      <c r="R306" s="6"/>
      <c r="S306" s="6"/>
      <c r="T306" s="6"/>
      <c r="U306" s="6"/>
    </row>
    <row r="307" spans="1:21">
      <c r="A307" s="82"/>
      <c r="B307" s="83"/>
      <c r="C307" s="82"/>
      <c r="D307" s="82"/>
      <c r="E307" s="82"/>
      <c r="F307" s="82"/>
      <c r="G307" s="82"/>
      <c r="H307" s="83"/>
      <c r="I307" s="83"/>
      <c r="J307" s="83"/>
      <c r="K307" s="6"/>
      <c r="L307" s="6"/>
      <c r="M307" s="6"/>
      <c r="N307" s="6"/>
      <c r="O307" s="6"/>
      <c r="P307" s="6"/>
      <c r="Q307" s="6"/>
      <c r="R307" s="6"/>
      <c r="S307" s="6"/>
      <c r="T307" s="6"/>
      <c r="U307" s="6"/>
    </row>
    <row r="308" spans="1:21">
      <c r="A308" s="82"/>
      <c r="B308" s="83"/>
      <c r="C308" s="82"/>
      <c r="D308" s="82"/>
      <c r="E308" s="82"/>
      <c r="F308" s="82"/>
      <c r="G308" s="82"/>
      <c r="H308" s="83"/>
      <c r="I308" s="83"/>
      <c r="J308" s="83"/>
      <c r="K308" s="6"/>
      <c r="L308" s="6"/>
      <c r="M308" s="6"/>
      <c r="N308" s="6"/>
      <c r="O308" s="6"/>
      <c r="P308" s="6"/>
      <c r="Q308" s="6"/>
      <c r="R308" s="6"/>
      <c r="S308" s="6"/>
      <c r="T308" s="6"/>
      <c r="U308" s="6"/>
    </row>
    <row r="309" spans="1:21">
      <c r="A309" s="82"/>
      <c r="B309" s="83"/>
      <c r="C309" s="82"/>
      <c r="D309" s="82"/>
      <c r="E309" s="82"/>
      <c r="F309" s="82"/>
      <c r="G309" s="82"/>
      <c r="H309" s="83"/>
      <c r="I309" s="83"/>
      <c r="J309" s="83"/>
      <c r="K309" s="6"/>
      <c r="L309" s="6"/>
      <c r="M309" s="6"/>
      <c r="N309" s="6"/>
      <c r="O309" s="6"/>
      <c r="P309" s="6"/>
      <c r="Q309" s="6"/>
      <c r="R309" s="6"/>
      <c r="S309" s="6"/>
      <c r="T309" s="6"/>
      <c r="U309" s="6"/>
    </row>
    <row r="310" spans="1:21">
      <c r="A310" s="82"/>
      <c r="B310" s="83"/>
      <c r="C310" s="82"/>
      <c r="D310" s="82"/>
      <c r="E310" s="82"/>
      <c r="F310" s="82"/>
      <c r="G310" s="82"/>
      <c r="H310" s="83"/>
      <c r="I310" s="83"/>
      <c r="J310" s="83"/>
      <c r="K310" s="6"/>
      <c r="L310" s="6"/>
      <c r="M310" s="6"/>
      <c r="N310" s="6"/>
      <c r="O310" s="6"/>
      <c r="P310" s="6"/>
      <c r="Q310" s="6"/>
      <c r="R310" s="6"/>
      <c r="S310" s="6"/>
      <c r="T310" s="6"/>
      <c r="U310" s="6"/>
    </row>
    <row r="311" spans="1:21">
      <c r="A311" s="82"/>
      <c r="B311" s="83"/>
      <c r="C311" s="82"/>
      <c r="D311" s="82"/>
      <c r="E311" s="82"/>
      <c r="F311" s="82"/>
      <c r="G311" s="82"/>
      <c r="H311" s="83"/>
      <c r="I311" s="83"/>
      <c r="J311" s="83"/>
      <c r="K311" s="6"/>
      <c r="L311" s="6"/>
      <c r="M311" s="6"/>
      <c r="N311" s="6"/>
      <c r="O311" s="6"/>
      <c r="P311" s="6"/>
      <c r="Q311" s="6"/>
      <c r="R311" s="6"/>
      <c r="S311" s="6"/>
      <c r="T311" s="6"/>
      <c r="U311" s="6"/>
    </row>
    <row r="312" spans="1:21">
      <c r="A312" s="82"/>
      <c r="B312" s="83"/>
      <c r="C312" s="82"/>
      <c r="D312" s="82"/>
      <c r="E312" s="82"/>
      <c r="F312" s="82"/>
      <c r="G312" s="82"/>
      <c r="H312" s="83"/>
      <c r="I312" s="83"/>
      <c r="J312" s="83"/>
      <c r="K312" s="6"/>
      <c r="L312" s="6"/>
      <c r="M312" s="6"/>
      <c r="N312" s="6"/>
      <c r="O312" s="6"/>
      <c r="P312" s="6"/>
      <c r="Q312" s="6"/>
      <c r="R312" s="6"/>
      <c r="S312" s="6"/>
      <c r="T312" s="6"/>
      <c r="U312" s="6"/>
    </row>
    <row r="313" spans="1:21">
      <c r="A313" s="82"/>
      <c r="B313" s="83"/>
      <c r="C313" s="82"/>
      <c r="D313" s="82"/>
      <c r="E313" s="82"/>
      <c r="F313" s="82"/>
      <c r="G313" s="82"/>
      <c r="H313" s="83"/>
      <c r="I313" s="83"/>
      <c r="J313" s="83"/>
      <c r="K313" s="6"/>
      <c r="L313" s="6"/>
      <c r="M313" s="6"/>
      <c r="N313" s="6"/>
      <c r="O313" s="6"/>
      <c r="P313" s="6"/>
      <c r="Q313" s="6"/>
      <c r="R313" s="6"/>
      <c r="S313" s="6"/>
      <c r="T313" s="6"/>
      <c r="U313" s="6"/>
    </row>
    <row r="314" spans="1:21">
      <c r="A314" s="82"/>
      <c r="B314" s="83"/>
      <c r="C314" s="82"/>
      <c r="D314" s="82"/>
      <c r="E314" s="82"/>
      <c r="F314" s="82"/>
      <c r="G314" s="82"/>
      <c r="H314" s="83"/>
      <c r="I314" s="83"/>
      <c r="J314" s="83"/>
      <c r="K314" s="6"/>
      <c r="L314" s="6"/>
      <c r="M314" s="6"/>
      <c r="N314" s="6"/>
      <c r="O314" s="6"/>
      <c r="P314" s="6"/>
      <c r="Q314" s="6"/>
      <c r="R314" s="6"/>
      <c r="S314" s="6"/>
      <c r="T314" s="6"/>
      <c r="U314" s="6"/>
    </row>
    <row r="315" spans="1:21">
      <c r="A315" s="82"/>
      <c r="B315" s="83"/>
      <c r="C315" s="82"/>
      <c r="D315" s="82"/>
      <c r="E315" s="82"/>
      <c r="F315" s="82"/>
      <c r="G315" s="82"/>
      <c r="H315" s="83"/>
      <c r="I315" s="83"/>
      <c r="J315" s="83"/>
      <c r="K315" s="6"/>
      <c r="L315" s="6"/>
      <c r="M315" s="6"/>
      <c r="N315" s="6"/>
      <c r="O315" s="6"/>
      <c r="P315" s="6"/>
      <c r="Q315" s="6"/>
      <c r="R315" s="6"/>
      <c r="S315" s="6"/>
      <c r="T315" s="6"/>
      <c r="U315" s="6"/>
    </row>
    <row r="316" spans="1:21">
      <c r="A316" s="82"/>
      <c r="B316" s="83"/>
      <c r="C316" s="82"/>
      <c r="D316" s="82"/>
      <c r="E316" s="82"/>
      <c r="F316" s="82"/>
      <c r="G316" s="82"/>
      <c r="H316" s="83"/>
      <c r="I316" s="83"/>
      <c r="J316" s="83"/>
      <c r="K316" s="6"/>
      <c r="L316" s="6"/>
      <c r="M316" s="6"/>
      <c r="N316" s="6"/>
      <c r="O316" s="6"/>
      <c r="P316" s="6"/>
      <c r="Q316" s="6"/>
      <c r="R316" s="6"/>
      <c r="S316" s="6"/>
      <c r="T316" s="6"/>
      <c r="U316" s="6"/>
    </row>
    <row r="317" spans="1:21">
      <c r="A317" s="82"/>
      <c r="B317" s="83"/>
      <c r="C317" s="82"/>
      <c r="D317" s="82"/>
      <c r="E317" s="82"/>
      <c r="F317" s="82"/>
      <c r="G317" s="82"/>
      <c r="H317" s="83"/>
      <c r="I317" s="83"/>
      <c r="J317" s="83"/>
      <c r="K317" s="6"/>
      <c r="L317" s="6"/>
      <c r="M317" s="6"/>
      <c r="N317" s="6"/>
      <c r="O317" s="6"/>
      <c r="P317" s="6"/>
      <c r="Q317" s="6"/>
      <c r="R317" s="6"/>
      <c r="S317" s="6"/>
      <c r="T317" s="6"/>
      <c r="U317" s="6"/>
    </row>
    <row r="318" spans="1:21">
      <c r="A318" s="82"/>
      <c r="B318" s="83"/>
      <c r="C318" s="82"/>
      <c r="D318" s="82"/>
      <c r="E318" s="82"/>
      <c r="F318" s="82"/>
      <c r="G318" s="82"/>
      <c r="H318" s="83"/>
      <c r="I318" s="83"/>
      <c r="J318" s="83"/>
      <c r="K318" s="6"/>
      <c r="L318" s="6"/>
      <c r="M318" s="6"/>
      <c r="N318" s="6"/>
      <c r="O318" s="6"/>
      <c r="P318" s="6"/>
      <c r="Q318" s="6"/>
      <c r="R318" s="6"/>
      <c r="S318" s="6"/>
      <c r="T318" s="6"/>
      <c r="U318" s="6"/>
    </row>
    <row r="319" spans="1:21">
      <c r="A319" s="82"/>
      <c r="B319" s="83"/>
      <c r="C319" s="82"/>
      <c r="D319" s="82"/>
      <c r="E319" s="82"/>
      <c r="F319" s="82"/>
      <c r="G319" s="82"/>
      <c r="H319" s="83"/>
      <c r="I319" s="83"/>
      <c r="J319" s="83"/>
      <c r="K319" s="6"/>
      <c r="L319" s="6"/>
      <c r="M319" s="6"/>
      <c r="N319" s="6"/>
      <c r="O319" s="6"/>
      <c r="P319" s="6"/>
      <c r="Q319" s="6"/>
      <c r="R319" s="6"/>
      <c r="S319" s="6"/>
      <c r="T319" s="6"/>
      <c r="U319" s="6"/>
    </row>
    <row r="320" spans="1:21">
      <c r="A320" s="82"/>
      <c r="B320" s="83"/>
      <c r="C320" s="82"/>
      <c r="D320" s="82"/>
      <c r="E320" s="82"/>
      <c r="F320" s="82"/>
      <c r="G320" s="82"/>
      <c r="H320" s="83"/>
      <c r="I320" s="83"/>
      <c r="J320" s="83"/>
      <c r="K320" s="6"/>
      <c r="L320" s="6"/>
      <c r="M320" s="6"/>
      <c r="N320" s="6"/>
      <c r="O320" s="6"/>
      <c r="P320" s="6"/>
      <c r="Q320" s="6"/>
      <c r="R320" s="6"/>
      <c r="S320" s="6"/>
      <c r="T320" s="6"/>
      <c r="U320" s="6"/>
    </row>
    <row r="321" spans="1:21">
      <c r="A321" s="82"/>
      <c r="B321" s="83"/>
      <c r="C321" s="82"/>
      <c r="D321" s="82"/>
      <c r="E321" s="82"/>
      <c r="F321" s="82"/>
      <c r="G321" s="82"/>
      <c r="H321" s="83"/>
      <c r="I321" s="83"/>
      <c r="J321" s="83"/>
      <c r="K321" s="6"/>
      <c r="L321" s="6"/>
      <c r="M321" s="6"/>
      <c r="N321" s="6"/>
      <c r="O321" s="6"/>
      <c r="P321" s="6"/>
      <c r="Q321" s="6"/>
      <c r="R321" s="6"/>
      <c r="S321" s="6"/>
      <c r="T321" s="6"/>
      <c r="U321" s="6"/>
    </row>
    <row r="322" spans="1:21">
      <c r="A322" s="82"/>
      <c r="B322" s="83"/>
      <c r="C322" s="82"/>
      <c r="D322" s="82"/>
      <c r="E322" s="82"/>
      <c r="F322" s="82"/>
      <c r="G322" s="82"/>
      <c r="H322" s="83"/>
      <c r="I322" s="83"/>
      <c r="J322" s="83"/>
      <c r="K322" s="6"/>
      <c r="L322" s="6"/>
      <c r="M322" s="6"/>
      <c r="N322" s="6"/>
      <c r="O322" s="6"/>
      <c r="P322" s="6"/>
      <c r="Q322" s="6"/>
      <c r="R322" s="6"/>
      <c r="S322" s="6"/>
      <c r="T322" s="6"/>
      <c r="U322" s="6"/>
    </row>
    <row r="323" spans="1:21">
      <c r="A323" s="82"/>
      <c r="B323" s="83"/>
      <c r="C323" s="82"/>
      <c r="D323" s="82"/>
      <c r="E323" s="82"/>
      <c r="F323" s="82"/>
      <c r="G323" s="82"/>
      <c r="H323" s="83"/>
      <c r="I323" s="83"/>
      <c r="J323" s="83"/>
      <c r="K323" s="6"/>
      <c r="L323" s="6"/>
      <c r="M323" s="6"/>
      <c r="N323" s="6"/>
      <c r="O323" s="6"/>
      <c r="P323" s="6"/>
      <c r="Q323" s="6"/>
      <c r="R323" s="6"/>
      <c r="S323" s="6"/>
      <c r="T323" s="6"/>
      <c r="U323" s="6"/>
    </row>
    <row r="324" spans="1:21">
      <c r="A324" s="82"/>
      <c r="B324" s="83"/>
      <c r="C324" s="82"/>
      <c r="D324" s="82"/>
      <c r="E324" s="82"/>
      <c r="F324" s="82"/>
      <c r="G324" s="82"/>
      <c r="H324" s="83"/>
      <c r="I324" s="83"/>
      <c r="J324" s="83"/>
      <c r="K324" s="6"/>
      <c r="L324" s="6"/>
      <c r="M324" s="6"/>
      <c r="N324" s="6"/>
      <c r="O324" s="6"/>
      <c r="P324" s="6"/>
      <c r="Q324" s="6"/>
      <c r="R324" s="6"/>
      <c r="S324" s="6"/>
      <c r="T324" s="6"/>
      <c r="U324" s="6"/>
    </row>
    <row r="325" spans="1:21">
      <c r="A325" s="82"/>
      <c r="B325" s="83"/>
      <c r="C325" s="82"/>
      <c r="D325" s="82"/>
      <c r="E325" s="82"/>
      <c r="F325" s="82"/>
      <c r="G325" s="82"/>
      <c r="H325" s="83"/>
      <c r="I325" s="83"/>
      <c r="J325" s="83"/>
      <c r="K325" s="6"/>
      <c r="L325" s="6"/>
      <c r="M325" s="6"/>
      <c r="N325" s="6"/>
      <c r="O325" s="6"/>
      <c r="P325" s="6"/>
      <c r="Q325" s="6"/>
      <c r="R325" s="6"/>
      <c r="S325" s="6"/>
      <c r="T325" s="6"/>
      <c r="U325" s="6"/>
    </row>
    <row r="326" spans="1:21">
      <c r="A326" s="82"/>
      <c r="B326" s="83"/>
      <c r="C326" s="82"/>
      <c r="D326" s="82"/>
      <c r="E326" s="82"/>
      <c r="F326" s="82"/>
      <c r="G326" s="82"/>
      <c r="H326" s="83"/>
      <c r="I326" s="83"/>
      <c r="J326" s="83"/>
      <c r="K326" s="6"/>
      <c r="L326" s="6"/>
      <c r="M326" s="6"/>
      <c r="N326" s="6"/>
      <c r="O326" s="6"/>
      <c r="P326" s="6"/>
      <c r="Q326" s="6"/>
      <c r="R326" s="6"/>
      <c r="S326" s="6"/>
      <c r="T326" s="6"/>
      <c r="U326" s="6"/>
    </row>
    <row r="327" spans="1:21">
      <c r="A327" s="82"/>
      <c r="B327" s="83"/>
      <c r="C327" s="82"/>
      <c r="D327" s="82"/>
      <c r="E327" s="82"/>
      <c r="F327" s="82"/>
      <c r="G327" s="82"/>
      <c r="H327" s="83"/>
      <c r="I327" s="83"/>
      <c r="J327" s="83"/>
      <c r="K327" s="6"/>
      <c r="L327" s="6"/>
      <c r="M327" s="6"/>
      <c r="N327" s="6"/>
      <c r="O327" s="6"/>
      <c r="P327" s="6"/>
      <c r="Q327" s="6"/>
      <c r="R327" s="6"/>
      <c r="S327" s="6"/>
      <c r="T327" s="6"/>
      <c r="U327" s="6"/>
    </row>
    <row r="328" spans="1:21">
      <c r="A328" s="82"/>
      <c r="B328" s="83"/>
      <c r="C328" s="82"/>
      <c r="D328" s="82"/>
      <c r="E328" s="82"/>
      <c r="F328" s="82"/>
      <c r="G328" s="82"/>
      <c r="H328" s="83"/>
      <c r="I328" s="83"/>
      <c r="J328" s="83"/>
      <c r="K328" s="6"/>
      <c r="L328" s="6"/>
      <c r="M328" s="6"/>
      <c r="N328" s="6"/>
      <c r="O328" s="6"/>
      <c r="P328" s="6"/>
      <c r="Q328" s="6"/>
      <c r="R328" s="6"/>
      <c r="S328" s="6"/>
      <c r="T328" s="6"/>
      <c r="U328" s="6"/>
    </row>
    <row r="329" spans="1:21">
      <c r="A329" s="82"/>
      <c r="B329" s="83"/>
      <c r="C329" s="82"/>
      <c r="D329" s="82"/>
      <c r="E329" s="82"/>
      <c r="F329" s="82"/>
      <c r="G329" s="82"/>
      <c r="H329" s="83"/>
      <c r="I329" s="83"/>
      <c r="J329" s="83"/>
      <c r="K329" s="6"/>
      <c r="L329" s="6"/>
      <c r="M329" s="6"/>
      <c r="N329" s="6"/>
      <c r="O329" s="6"/>
      <c r="P329" s="6"/>
      <c r="Q329" s="6"/>
      <c r="R329" s="6"/>
      <c r="S329" s="6"/>
      <c r="T329" s="6"/>
      <c r="U329" s="6"/>
    </row>
    <row r="330" spans="1:21">
      <c r="A330" s="82"/>
      <c r="B330" s="83"/>
      <c r="C330" s="82"/>
      <c r="D330" s="82"/>
      <c r="E330" s="82"/>
      <c r="F330" s="82"/>
      <c r="G330" s="82"/>
      <c r="H330" s="83"/>
      <c r="I330" s="83"/>
      <c r="J330" s="83"/>
      <c r="K330" s="6"/>
      <c r="L330" s="6"/>
      <c r="M330" s="6"/>
      <c r="N330" s="6"/>
      <c r="O330" s="6"/>
      <c r="P330" s="6"/>
      <c r="Q330" s="6"/>
      <c r="R330" s="6"/>
      <c r="S330" s="6"/>
      <c r="T330" s="6"/>
      <c r="U330" s="6"/>
    </row>
    <row r="331" spans="1:21">
      <c r="A331" s="82"/>
      <c r="B331" s="83"/>
      <c r="C331" s="82"/>
      <c r="D331" s="82"/>
      <c r="E331" s="82"/>
      <c r="F331" s="82"/>
      <c r="G331" s="82"/>
      <c r="H331" s="83"/>
      <c r="I331" s="83"/>
      <c r="J331" s="83"/>
      <c r="K331" s="6"/>
      <c r="L331" s="6"/>
      <c r="M331" s="6"/>
      <c r="N331" s="6"/>
      <c r="O331" s="6"/>
      <c r="P331" s="6"/>
      <c r="Q331" s="6"/>
      <c r="R331" s="6"/>
      <c r="S331" s="6"/>
      <c r="T331" s="6"/>
      <c r="U331" s="6"/>
    </row>
    <row r="332" spans="1:21">
      <c r="A332" s="82"/>
      <c r="B332" s="83"/>
      <c r="C332" s="82"/>
      <c r="D332" s="82"/>
      <c r="E332" s="82"/>
      <c r="F332" s="82"/>
      <c r="G332" s="82"/>
      <c r="H332" s="83"/>
      <c r="I332" s="83"/>
      <c r="J332" s="83"/>
      <c r="K332" s="6"/>
      <c r="L332" s="6"/>
      <c r="M332" s="6"/>
      <c r="N332" s="6"/>
      <c r="O332" s="6"/>
      <c r="P332" s="6"/>
      <c r="Q332" s="6"/>
      <c r="R332" s="6"/>
      <c r="S332" s="6"/>
      <c r="T332" s="6"/>
      <c r="U332" s="6"/>
    </row>
    <row r="333" spans="1:21">
      <c r="A333" s="82"/>
      <c r="B333" s="83"/>
      <c r="C333" s="82"/>
      <c r="D333" s="82"/>
      <c r="E333" s="82"/>
      <c r="F333" s="82"/>
      <c r="G333" s="82"/>
      <c r="H333" s="83"/>
      <c r="I333" s="83"/>
      <c r="J333" s="83"/>
      <c r="K333" s="6"/>
      <c r="L333" s="6"/>
      <c r="M333" s="6"/>
      <c r="N333" s="6"/>
      <c r="O333" s="6"/>
      <c r="P333" s="6"/>
      <c r="Q333" s="6"/>
      <c r="R333" s="6"/>
      <c r="S333" s="6"/>
      <c r="T333" s="6"/>
      <c r="U333" s="6"/>
    </row>
    <row r="334" spans="1:21">
      <c r="A334" s="82"/>
      <c r="B334" s="83"/>
      <c r="C334" s="82"/>
      <c r="D334" s="82"/>
      <c r="E334" s="82"/>
      <c r="F334" s="82"/>
      <c r="G334" s="82"/>
      <c r="H334" s="83"/>
      <c r="I334" s="83"/>
      <c r="J334" s="83"/>
      <c r="K334" s="6"/>
      <c r="L334" s="6"/>
      <c r="M334" s="6"/>
      <c r="N334" s="6"/>
      <c r="O334" s="6"/>
      <c r="P334" s="6"/>
      <c r="Q334" s="6"/>
      <c r="R334" s="6"/>
      <c r="S334" s="6"/>
      <c r="T334" s="6"/>
      <c r="U334" s="6"/>
    </row>
    <row r="335" spans="1:21">
      <c r="A335" s="82"/>
      <c r="B335" s="83"/>
      <c r="C335" s="82"/>
      <c r="D335" s="82"/>
      <c r="E335" s="82"/>
      <c r="F335" s="82"/>
      <c r="G335" s="82"/>
      <c r="H335" s="83"/>
      <c r="I335" s="83"/>
      <c r="J335" s="83"/>
      <c r="K335" s="6"/>
      <c r="L335" s="6"/>
      <c r="M335" s="6"/>
      <c r="N335" s="6"/>
      <c r="O335" s="6"/>
      <c r="P335" s="6"/>
      <c r="Q335" s="6"/>
      <c r="R335" s="6"/>
      <c r="S335" s="6"/>
      <c r="T335" s="6"/>
      <c r="U335" s="6"/>
    </row>
    <row r="336" spans="1:21">
      <c r="A336" s="82"/>
      <c r="B336" s="83"/>
      <c r="C336" s="82"/>
      <c r="D336" s="82"/>
      <c r="E336" s="82"/>
      <c r="F336" s="82"/>
      <c r="G336" s="82"/>
      <c r="H336" s="83"/>
      <c r="I336" s="83"/>
      <c r="J336" s="83"/>
      <c r="K336" s="6"/>
      <c r="L336" s="6"/>
      <c r="M336" s="6"/>
      <c r="N336" s="6"/>
      <c r="O336" s="6"/>
      <c r="P336" s="6"/>
      <c r="Q336" s="6"/>
      <c r="R336" s="6"/>
      <c r="S336" s="6"/>
      <c r="T336" s="6"/>
      <c r="U336" s="6"/>
    </row>
    <row r="337" spans="1:21">
      <c r="A337" s="82"/>
      <c r="B337" s="83"/>
      <c r="C337" s="82"/>
      <c r="D337" s="82"/>
      <c r="E337" s="82"/>
      <c r="F337" s="82"/>
      <c r="G337" s="82"/>
      <c r="H337" s="83"/>
      <c r="I337" s="83"/>
      <c r="J337" s="83"/>
      <c r="K337" s="6"/>
      <c r="L337" s="6"/>
      <c r="M337" s="6"/>
      <c r="N337" s="6"/>
      <c r="O337" s="6"/>
      <c r="P337" s="6"/>
      <c r="Q337" s="6"/>
      <c r="R337" s="6"/>
      <c r="S337" s="6"/>
      <c r="T337" s="6"/>
      <c r="U337" s="6"/>
    </row>
    <row r="338" spans="1:21">
      <c r="A338" s="82"/>
      <c r="B338" s="83"/>
      <c r="C338" s="82"/>
      <c r="D338" s="82"/>
      <c r="E338" s="82"/>
      <c r="F338" s="82"/>
      <c r="G338" s="82"/>
      <c r="H338" s="83"/>
      <c r="I338" s="83"/>
      <c r="J338" s="83"/>
      <c r="K338" s="6"/>
      <c r="L338" s="6"/>
      <c r="M338" s="6"/>
      <c r="N338" s="6"/>
      <c r="O338" s="6"/>
      <c r="P338" s="6"/>
      <c r="Q338" s="6"/>
      <c r="R338" s="6"/>
      <c r="S338" s="6"/>
      <c r="T338" s="6"/>
      <c r="U338" s="6"/>
    </row>
    <row r="339" spans="1:21">
      <c r="A339" s="82"/>
      <c r="B339" s="83"/>
      <c r="C339" s="82"/>
      <c r="D339" s="82"/>
      <c r="E339" s="82"/>
      <c r="F339" s="82"/>
      <c r="G339" s="82"/>
      <c r="H339" s="83"/>
      <c r="I339" s="83"/>
      <c r="J339" s="83"/>
      <c r="K339" s="6"/>
      <c r="L339" s="6"/>
      <c r="M339" s="6"/>
      <c r="N339" s="6"/>
      <c r="O339" s="6"/>
      <c r="P339" s="6"/>
      <c r="Q339" s="6"/>
      <c r="R339" s="6"/>
      <c r="S339" s="6"/>
      <c r="T339" s="6"/>
      <c r="U339" s="6"/>
    </row>
    <row r="340" spans="1:21">
      <c r="A340" s="82"/>
      <c r="B340" s="83"/>
      <c r="C340" s="82"/>
      <c r="D340" s="82"/>
      <c r="E340" s="82"/>
      <c r="F340" s="82"/>
      <c r="G340" s="82"/>
      <c r="H340" s="83"/>
      <c r="I340" s="83"/>
      <c r="J340" s="83"/>
      <c r="K340" s="6"/>
      <c r="L340" s="6"/>
      <c r="M340" s="6"/>
      <c r="N340" s="6"/>
      <c r="O340" s="6"/>
      <c r="P340" s="6"/>
      <c r="Q340" s="6"/>
      <c r="R340" s="6"/>
      <c r="S340" s="6"/>
      <c r="T340" s="6"/>
      <c r="U340" s="6"/>
    </row>
    <row r="341" spans="1:21">
      <c r="A341" s="82"/>
      <c r="B341" s="83"/>
      <c r="C341" s="82"/>
      <c r="D341" s="82"/>
      <c r="E341" s="82"/>
      <c r="F341" s="82"/>
      <c r="G341" s="82"/>
      <c r="H341" s="83"/>
      <c r="I341" s="83"/>
      <c r="J341" s="83"/>
      <c r="K341" s="6"/>
      <c r="L341" s="6"/>
      <c r="M341" s="6"/>
      <c r="N341" s="6"/>
      <c r="O341" s="6"/>
      <c r="P341" s="6"/>
      <c r="Q341" s="6"/>
      <c r="R341" s="6"/>
      <c r="S341" s="6"/>
      <c r="T341" s="6"/>
      <c r="U341" s="6"/>
    </row>
    <row r="342" spans="1:21">
      <c r="A342" s="82"/>
      <c r="B342" s="83"/>
      <c r="C342" s="82"/>
      <c r="D342" s="82"/>
      <c r="E342" s="82"/>
      <c r="F342" s="82"/>
      <c r="G342" s="82"/>
      <c r="H342" s="83"/>
      <c r="I342" s="83"/>
      <c r="J342" s="83"/>
      <c r="K342" s="6"/>
      <c r="L342" s="6"/>
      <c r="M342" s="6"/>
      <c r="N342" s="6"/>
      <c r="O342" s="6"/>
      <c r="P342" s="6"/>
      <c r="Q342" s="6"/>
      <c r="R342" s="6"/>
      <c r="S342" s="6"/>
      <c r="T342" s="6"/>
      <c r="U342" s="6"/>
    </row>
    <row r="343" spans="1:21">
      <c r="A343" s="82"/>
      <c r="B343" s="83"/>
      <c r="C343" s="82"/>
      <c r="D343" s="82"/>
      <c r="E343" s="82"/>
      <c r="F343" s="82"/>
      <c r="G343" s="82"/>
      <c r="H343" s="83"/>
      <c r="I343" s="83"/>
      <c r="J343" s="83"/>
      <c r="K343" s="6"/>
      <c r="L343" s="6"/>
      <c r="M343" s="6"/>
      <c r="N343" s="6"/>
      <c r="O343" s="6"/>
      <c r="P343" s="6"/>
      <c r="Q343" s="6"/>
      <c r="R343" s="6"/>
      <c r="S343" s="6"/>
      <c r="T343" s="6"/>
      <c r="U343" s="6"/>
    </row>
    <row r="344" spans="1:21">
      <c r="A344" s="82"/>
      <c r="B344" s="83"/>
      <c r="C344" s="82"/>
      <c r="D344" s="82"/>
      <c r="E344" s="82"/>
      <c r="F344" s="82"/>
      <c r="G344" s="82"/>
      <c r="H344" s="83"/>
      <c r="I344" s="83"/>
      <c r="J344" s="83"/>
      <c r="K344" s="6"/>
      <c r="L344" s="6"/>
      <c r="M344" s="6"/>
      <c r="N344" s="6"/>
      <c r="O344" s="6"/>
      <c r="P344" s="6"/>
      <c r="Q344" s="6"/>
      <c r="R344" s="6"/>
      <c r="S344" s="6"/>
      <c r="T344" s="6"/>
      <c r="U344" s="6"/>
    </row>
    <row r="345" spans="1:21">
      <c r="A345" s="82"/>
      <c r="B345" s="83"/>
      <c r="C345" s="82"/>
      <c r="D345" s="82"/>
      <c r="E345" s="82"/>
      <c r="F345" s="82"/>
      <c r="G345" s="82"/>
      <c r="H345" s="83"/>
      <c r="I345" s="83"/>
      <c r="J345" s="83"/>
      <c r="K345" s="6"/>
      <c r="L345" s="6"/>
      <c r="M345" s="6"/>
      <c r="N345" s="6"/>
      <c r="O345" s="6"/>
      <c r="P345" s="6"/>
      <c r="Q345" s="6"/>
      <c r="R345" s="6"/>
      <c r="S345" s="6"/>
      <c r="T345" s="6"/>
      <c r="U345" s="6"/>
    </row>
    <row r="346" spans="1:21">
      <c r="A346" s="82"/>
      <c r="B346" s="83"/>
      <c r="C346" s="82"/>
      <c r="D346" s="82"/>
      <c r="E346" s="82"/>
      <c r="F346" s="82"/>
      <c r="G346" s="82"/>
      <c r="H346" s="83"/>
      <c r="I346" s="83"/>
      <c r="J346" s="83"/>
      <c r="K346" s="6"/>
      <c r="L346" s="6"/>
      <c r="M346" s="6"/>
      <c r="N346" s="6"/>
      <c r="O346" s="6"/>
      <c r="P346" s="6"/>
      <c r="Q346" s="6"/>
      <c r="R346" s="6"/>
      <c r="S346" s="6"/>
      <c r="T346" s="6"/>
      <c r="U346" s="6"/>
    </row>
    <row r="347" spans="1:21">
      <c r="A347" s="82"/>
      <c r="B347" s="83"/>
      <c r="C347" s="82"/>
      <c r="D347" s="82"/>
      <c r="E347" s="82"/>
      <c r="F347" s="82"/>
      <c r="G347" s="82"/>
      <c r="H347" s="83"/>
      <c r="I347" s="83"/>
      <c r="J347" s="83"/>
      <c r="K347" s="6"/>
      <c r="L347" s="6"/>
      <c r="M347" s="6"/>
      <c r="N347" s="6"/>
      <c r="O347" s="6"/>
      <c r="P347" s="6"/>
      <c r="Q347" s="6"/>
      <c r="R347" s="6"/>
      <c r="S347" s="6"/>
      <c r="T347" s="6"/>
      <c r="U347" s="6"/>
    </row>
    <row r="348" spans="1:21">
      <c r="A348" s="82"/>
      <c r="B348" s="83"/>
      <c r="C348" s="82"/>
      <c r="D348" s="82"/>
      <c r="E348" s="82"/>
      <c r="F348" s="82"/>
      <c r="G348" s="82"/>
      <c r="H348" s="83"/>
      <c r="I348" s="83"/>
      <c r="J348" s="83"/>
      <c r="K348" s="6"/>
      <c r="L348" s="6"/>
      <c r="M348" s="6"/>
      <c r="N348" s="6"/>
      <c r="O348" s="6"/>
      <c r="P348" s="6"/>
      <c r="Q348" s="6"/>
      <c r="R348" s="6"/>
      <c r="S348" s="6"/>
      <c r="T348" s="6"/>
      <c r="U348" s="6"/>
    </row>
    <row r="349" spans="1:21">
      <c r="A349" s="82"/>
      <c r="B349" s="83"/>
      <c r="C349" s="82"/>
      <c r="D349" s="82"/>
      <c r="E349" s="82"/>
      <c r="F349" s="82"/>
      <c r="G349" s="82"/>
      <c r="H349" s="83"/>
      <c r="I349" s="83"/>
      <c r="J349" s="83"/>
      <c r="K349" s="6"/>
      <c r="L349" s="6"/>
      <c r="M349" s="6"/>
      <c r="N349" s="6"/>
      <c r="O349" s="6"/>
      <c r="P349" s="6"/>
      <c r="Q349" s="6"/>
      <c r="R349" s="6"/>
      <c r="S349" s="6"/>
      <c r="T349" s="6"/>
      <c r="U349" s="6"/>
    </row>
    <row r="350" spans="1:21">
      <c r="A350" s="82"/>
      <c r="B350" s="83"/>
      <c r="C350" s="82"/>
      <c r="D350" s="82"/>
      <c r="E350" s="82"/>
      <c r="F350" s="82"/>
      <c r="G350" s="82"/>
      <c r="H350" s="83"/>
      <c r="I350" s="83"/>
      <c r="J350" s="83"/>
      <c r="K350" s="6"/>
      <c r="L350" s="6"/>
      <c r="M350" s="6"/>
      <c r="N350" s="6"/>
      <c r="O350" s="6"/>
      <c r="P350" s="6"/>
      <c r="Q350" s="6"/>
      <c r="R350" s="6"/>
      <c r="S350" s="6"/>
      <c r="T350" s="6"/>
      <c r="U350" s="6"/>
    </row>
    <row r="351" spans="1:21">
      <c r="A351" s="82"/>
      <c r="B351" s="83"/>
      <c r="C351" s="82"/>
      <c r="D351" s="82"/>
      <c r="E351" s="82"/>
      <c r="F351" s="82"/>
      <c r="G351" s="82"/>
      <c r="H351" s="83"/>
      <c r="I351" s="83"/>
      <c r="J351" s="83"/>
      <c r="K351" s="6"/>
      <c r="L351" s="6"/>
      <c r="M351" s="6"/>
      <c r="N351" s="6"/>
      <c r="O351" s="6"/>
      <c r="P351" s="6"/>
      <c r="Q351" s="6"/>
      <c r="R351" s="6"/>
      <c r="S351" s="6"/>
      <c r="T351" s="6"/>
      <c r="U351" s="6"/>
    </row>
    <row r="352" spans="1:21">
      <c r="A352" s="82"/>
      <c r="B352" s="83"/>
      <c r="C352" s="82"/>
      <c r="D352" s="82"/>
      <c r="E352" s="82"/>
      <c r="F352" s="82"/>
      <c r="G352" s="82"/>
      <c r="H352" s="83"/>
      <c r="I352" s="83"/>
      <c r="J352" s="83"/>
      <c r="K352" s="6"/>
      <c r="L352" s="6"/>
      <c r="M352" s="6"/>
      <c r="N352" s="6"/>
      <c r="O352" s="6"/>
      <c r="P352" s="6"/>
      <c r="Q352" s="6"/>
      <c r="R352" s="6"/>
      <c r="S352" s="6"/>
      <c r="T352" s="6"/>
      <c r="U352" s="6"/>
    </row>
    <row r="353" spans="1:21">
      <c r="A353" s="82"/>
      <c r="B353" s="83"/>
      <c r="C353" s="82"/>
      <c r="D353" s="82"/>
      <c r="E353" s="82"/>
      <c r="F353" s="82"/>
      <c r="G353" s="82"/>
      <c r="H353" s="83"/>
      <c r="I353" s="83"/>
      <c r="J353" s="83"/>
      <c r="K353" s="6"/>
      <c r="L353" s="6"/>
      <c r="M353" s="6"/>
      <c r="N353" s="6"/>
      <c r="O353" s="6"/>
      <c r="P353" s="6"/>
      <c r="Q353" s="6"/>
      <c r="R353" s="6"/>
      <c r="S353" s="6"/>
      <c r="T353" s="6"/>
      <c r="U353" s="6"/>
    </row>
    <row r="354" spans="1:21">
      <c r="A354" s="82"/>
      <c r="B354" s="83"/>
      <c r="C354" s="82"/>
      <c r="D354" s="82"/>
      <c r="E354" s="82"/>
      <c r="F354" s="82"/>
      <c r="G354" s="82"/>
      <c r="H354" s="83"/>
      <c r="I354" s="83"/>
      <c r="J354" s="83"/>
      <c r="K354" s="6"/>
      <c r="L354" s="6"/>
      <c r="M354" s="6"/>
      <c r="N354" s="6"/>
      <c r="O354" s="6"/>
      <c r="P354" s="6"/>
      <c r="Q354" s="6"/>
      <c r="R354" s="6"/>
      <c r="S354" s="6"/>
      <c r="T354" s="6"/>
      <c r="U354" s="6"/>
    </row>
    <row r="355" spans="1:21">
      <c r="A355" s="82"/>
      <c r="B355" s="83"/>
      <c r="C355" s="82"/>
      <c r="D355" s="82"/>
      <c r="E355" s="82"/>
      <c r="F355" s="82"/>
      <c r="G355" s="82"/>
      <c r="H355" s="83"/>
      <c r="I355" s="83"/>
      <c r="J355" s="83"/>
      <c r="K355" s="6"/>
      <c r="L355" s="6"/>
      <c r="M355" s="6"/>
      <c r="N355" s="6"/>
      <c r="O355" s="6"/>
      <c r="P355" s="6"/>
      <c r="Q355" s="6"/>
      <c r="R355" s="6"/>
      <c r="S355" s="6"/>
      <c r="T355" s="6"/>
      <c r="U355" s="6"/>
    </row>
    <row r="356" spans="1:21">
      <c r="A356" s="82"/>
      <c r="B356" s="83"/>
      <c r="C356" s="82"/>
      <c r="D356" s="82"/>
      <c r="E356" s="82"/>
      <c r="F356" s="82"/>
      <c r="G356" s="82"/>
      <c r="H356" s="83"/>
      <c r="I356" s="83"/>
      <c r="J356" s="83"/>
      <c r="K356" s="6"/>
      <c r="L356" s="6"/>
      <c r="M356" s="6"/>
      <c r="N356" s="6"/>
      <c r="O356" s="6"/>
      <c r="P356" s="6"/>
      <c r="Q356" s="6"/>
      <c r="R356" s="6"/>
      <c r="S356" s="6"/>
      <c r="T356" s="6"/>
      <c r="U356" s="6"/>
    </row>
    <row r="357" spans="1:21">
      <c r="A357" s="82"/>
      <c r="B357" s="83"/>
      <c r="C357" s="82"/>
      <c r="D357" s="82"/>
      <c r="E357" s="82"/>
      <c r="F357" s="82"/>
      <c r="G357" s="82"/>
      <c r="H357" s="83"/>
      <c r="I357" s="83"/>
      <c r="J357" s="83"/>
      <c r="K357" s="6"/>
      <c r="L357" s="6"/>
      <c r="M357" s="6"/>
      <c r="N357" s="6"/>
      <c r="O357" s="6"/>
      <c r="P357" s="6"/>
      <c r="Q357" s="6"/>
      <c r="R357" s="6"/>
      <c r="S357" s="6"/>
      <c r="T357" s="6"/>
      <c r="U357" s="6"/>
    </row>
    <row r="358" spans="1:21">
      <c r="A358" s="82"/>
      <c r="B358" s="83"/>
      <c r="C358" s="82"/>
      <c r="D358" s="82"/>
      <c r="E358" s="82"/>
      <c r="F358" s="82"/>
      <c r="G358" s="82"/>
      <c r="H358" s="83"/>
      <c r="I358" s="83"/>
      <c r="J358" s="83"/>
      <c r="K358" s="6"/>
      <c r="L358" s="6"/>
      <c r="M358" s="6"/>
      <c r="N358" s="6"/>
      <c r="O358" s="6"/>
      <c r="P358" s="6"/>
      <c r="Q358" s="6"/>
      <c r="R358" s="6"/>
      <c r="S358" s="6"/>
      <c r="T358" s="6"/>
      <c r="U358" s="6"/>
    </row>
    <row r="359" spans="1:21">
      <c r="A359" s="82"/>
      <c r="B359" s="83"/>
      <c r="C359" s="82"/>
      <c r="D359" s="82"/>
      <c r="E359" s="82"/>
      <c r="F359" s="82"/>
      <c r="G359" s="82"/>
      <c r="H359" s="83"/>
      <c r="I359" s="83"/>
      <c r="J359" s="83"/>
      <c r="K359" s="6"/>
      <c r="L359" s="6"/>
      <c r="M359" s="6"/>
      <c r="N359" s="6"/>
      <c r="O359" s="6"/>
      <c r="P359" s="6"/>
      <c r="Q359" s="6"/>
      <c r="R359" s="6"/>
      <c r="S359" s="6"/>
      <c r="T359" s="6"/>
      <c r="U359" s="6"/>
    </row>
    <row r="360" spans="1:21">
      <c r="A360" s="82"/>
      <c r="B360" s="83"/>
      <c r="C360" s="82"/>
      <c r="D360" s="82"/>
      <c r="E360" s="82"/>
      <c r="F360" s="82"/>
      <c r="G360" s="82"/>
      <c r="H360" s="83"/>
      <c r="I360" s="83"/>
      <c r="J360" s="83"/>
      <c r="K360" s="6"/>
      <c r="L360" s="6"/>
      <c r="M360" s="6"/>
      <c r="N360" s="6"/>
      <c r="O360" s="6"/>
      <c r="P360" s="6"/>
      <c r="Q360" s="6"/>
      <c r="R360" s="6"/>
      <c r="S360" s="6"/>
      <c r="T360" s="6"/>
      <c r="U360" s="6"/>
    </row>
    <row r="361" spans="1:21">
      <c r="A361" s="82"/>
      <c r="B361" s="83"/>
      <c r="C361" s="82"/>
      <c r="D361" s="82"/>
      <c r="E361" s="82"/>
      <c r="F361" s="82"/>
      <c r="G361" s="82"/>
      <c r="H361" s="83"/>
      <c r="I361" s="83"/>
      <c r="J361" s="83"/>
      <c r="K361" s="6"/>
      <c r="L361" s="6"/>
      <c r="M361" s="6"/>
      <c r="N361" s="6"/>
      <c r="O361" s="6"/>
      <c r="P361" s="6"/>
      <c r="Q361" s="6"/>
      <c r="R361" s="6"/>
      <c r="S361" s="6"/>
      <c r="T361" s="6"/>
      <c r="U361" s="6"/>
    </row>
    <row r="362" spans="1:21">
      <c r="A362" s="82"/>
      <c r="B362" s="83"/>
      <c r="C362" s="82"/>
      <c r="D362" s="82"/>
      <c r="E362" s="82"/>
      <c r="F362" s="82"/>
      <c r="G362" s="82"/>
      <c r="H362" s="83"/>
      <c r="I362" s="83"/>
      <c r="J362" s="83"/>
      <c r="K362" s="6"/>
      <c r="L362" s="6"/>
      <c r="M362" s="6"/>
      <c r="N362" s="6"/>
      <c r="O362" s="6"/>
      <c r="P362" s="6"/>
      <c r="Q362" s="6"/>
      <c r="R362" s="6"/>
      <c r="S362" s="6"/>
      <c r="T362" s="6"/>
      <c r="U362" s="6"/>
    </row>
    <row r="363" spans="1:21">
      <c r="A363" s="82"/>
      <c r="B363" s="83"/>
      <c r="C363" s="82"/>
      <c r="D363" s="82"/>
      <c r="E363" s="82"/>
      <c r="F363" s="82"/>
      <c r="G363" s="82"/>
      <c r="H363" s="83"/>
      <c r="I363" s="83"/>
      <c r="J363" s="83"/>
      <c r="K363" s="6"/>
      <c r="L363" s="6"/>
      <c r="M363" s="6"/>
      <c r="N363" s="6"/>
      <c r="O363" s="6"/>
      <c r="P363" s="6"/>
      <c r="Q363" s="6"/>
      <c r="R363" s="6"/>
      <c r="S363" s="6"/>
      <c r="T363" s="6"/>
      <c r="U363" s="6"/>
    </row>
    <row r="364" spans="1:21">
      <c r="A364" s="82"/>
      <c r="B364" s="83"/>
      <c r="C364" s="82"/>
      <c r="D364" s="82"/>
      <c r="E364" s="82"/>
      <c r="F364" s="82"/>
      <c r="G364" s="82"/>
      <c r="H364" s="83"/>
      <c r="I364" s="83"/>
      <c r="J364" s="83"/>
      <c r="K364" s="6"/>
      <c r="L364" s="6"/>
      <c r="M364" s="6"/>
      <c r="N364" s="6"/>
      <c r="O364" s="6"/>
      <c r="P364" s="6"/>
      <c r="Q364" s="6"/>
      <c r="R364" s="6"/>
      <c r="S364" s="6"/>
      <c r="T364" s="6"/>
      <c r="U364" s="6"/>
    </row>
    <row r="365" spans="1:21">
      <c r="A365" s="82"/>
      <c r="B365" s="83"/>
      <c r="C365" s="82"/>
      <c r="D365" s="82"/>
      <c r="E365" s="82"/>
      <c r="F365" s="82"/>
      <c r="G365" s="82"/>
      <c r="H365" s="83"/>
      <c r="I365" s="83"/>
      <c r="J365" s="83"/>
      <c r="K365" s="6"/>
      <c r="L365" s="6"/>
      <c r="M365" s="6"/>
      <c r="N365" s="6"/>
      <c r="O365" s="6"/>
      <c r="P365" s="6"/>
      <c r="Q365" s="6"/>
      <c r="R365" s="6"/>
      <c r="S365" s="6"/>
      <c r="T365" s="6"/>
      <c r="U365" s="6"/>
    </row>
    <row r="366" spans="1:21">
      <c r="A366" s="82"/>
      <c r="B366" s="83"/>
      <c r="C366" s="82"/>
      <c r="D366" s="82"/>
      <c r="E366" s="82"/>
      <c r="F366" s="82"/>
      <c r="G366" s="82"/>
      <c r="H366" s="83"/>
      <c r="I366" s="83"/>
      <c r="J366" s="83"/>
      <c r="K366" s="6"/>
      <c r="L366" s="6"/>
      <c r="M366" s="6"/>
      <c r="N366" s="6"/>
      <c r="O366" s="6"/>
      <c r="P366" s="6"/>
      <c r="Q366" s="6"/>
      <c r="R366" s="6"/>
      <c r="S366" s="6"/>
      <c r="T366" s="6"/>
      <c r="U366" s="6"/>
    </row>
    <row r="367" spans="1:21">
      <c r="A367" s="82"/>
      <c r="B367" s="83"/>
      <c r="C367" s="82"/>
      <c r="D367" s="82"/>
      <c r="E367" s="82"/>
      <c r="F367" s="82"/>
      <c r="G367" s="82"/>
      <c r="H367" s="83"/>
      <c r="I367" s="83"/>
      <c r="J367" s="83"/>
      <c r="K367" s="6"/>
      <c r="L367" s="6"/>
      <c r="M367" s="6"/>
      <c r="N367" s="6"/>
      <c r="O367" s="6"/>
      <c r="P367" s="6"/>
      <c r="Q367" s="6"/>
      <c r="R367" s="6"/>
      <c r="S367" s="6"/>
      <c r="T367" s="6"/>
      <c r="U367" s="6"/>
    </row>
    <row r="368" spans="1:21">
      <c r="A368" s="82"/>
      <c r="B368" s="83"/>
      <c r="C368" s="82"/>
      <c r="D368" s="82"/>
      <c r="E368" s="82"/>
      <c r="F368" s="82"/>
      <c r="G368" s="82"/>
      <c r="H368" s="83"/>
      <c r="I368" s="83"/>
      <c r="J368" s="83"/>
      <c r="K368" s="6"/>
      <c r="L368" s="6"/>
      <c r="M368" s="6"/>
      <c r="N368" s="6"/>
      <c r="O368" s="6"/>
      <c r="P368" s="6"/>
      <c r="Q368" s="6"/>
      <c r="R368" s="6"/>
      <c r="S368" s="6"/>
      <c r="T368" s="6"/>
      <c r="U368" s="6"/>
    </row>
    <row r="369" spans="1:21">
      <c r="A369" s="82"/>
      <c r="B369" s="83"/>
      <c r="C369" s="82"/>
      <c r="D369" s="82"/>
      <c r="E369" s="82"/>
      <c r="F369" s="82"/>
      <c r="G369" s="82"/>
      <c r="H369" s="83"/>
      <c r="I369" s="83"/>
      <c r="J369" s="83"/>
      <c r="K369" s="6"/>
      <c r="L369" s="6"/>
      <c r="M369" s="6"/>
      <c r="N369" s="6"/>
      <c r="O369" s="6"/>
      <c r="P369" s="6"/>
      <c r="Q369" s="6"/>
      <c r="R369" s="6"/>
      <c r="S369" s="6"/>
      <c r="T369" s="6"/>
      <c r="U369" s="6"/>
    </row>
    <row r="370" spans="1:21">
      <c r="A370" s="82"/>
      <c r="B370" s="83"/>
      <c r="C370" s="82"/>
      <c r="D370" s="82"/>
      <c r="E370" s="82"/>
      <c r="F370" s="82"/>
      <c r="G370" s="82"/>
      <c r="H370" s="83"/>
      <c r="I370" s="83"/>
      <c r="J370" s="83"/>
      <c r="K370" s="6"/>
      <c r="L370" s="6"/>
      <c r="M370" s="6"/>
      <c r="N370" s="6"/>
      <c r="O370" s="6"/>
      <c r="P370" s="6"/>
      <c r="Q370" s="6"/>
      <c r="R370" s="6"/>
      <c r="S370" s="6"/>
      <c r="T370" s="6"/>
      <c r="U370" s="6"/>
    </row>
    <row r="371" spans="1:21">
      <c r="A371" s="82"/>
      <c r="B371" s="83"/>
      <c r="C371" s="82"/>
      <c r="D371" s="82"/>
      <c r="E371" s="82"/>
      <c r="F371" s="82"/>
      <c r="G371" s="82"/>
      <c r="H371" s="83"/>
      <c r="I371" s="83"/>
      <c r="J371" s="83"/>
      <c r="K371" s="6"/>
      <c r="L371" s="6"/>
      <c r="M371" s="6"/>
      <c r="N371" s="6"/>
      <c r="O371" s="6"/>
      <c r="P371" s="6"/>
      <c r="Q371" s="6"/>
      <c r="R371" s="6"/>
      <c r="S371" s="6"/>
      <c r="T371" s="6"/>
      <c r="U371" s="6"/>
    </row>
    <row r="372" spans="1:21">
      <c r="A372" s="82"/>
      <c r="B372" s="83"/>
      <c r="C372" s="82"/>
      <c r="D372" s="82"/>
      <c r="E372" s="82"/>
      <c r="F372" s="82"/>
      <c r="G372" s="82"/>
      <c r="H372" s="83"/>
      <c r="I372" s="83"/>
      <c r="J372" s="83"/>
      <c r="K372" s="6"/>
      <c r="L372" s="6"/>
      <c r="M372" s="6"/>
      <c r="N372" s="6"/>
      <c r="O372" s="6"/>
      <c r="P372" s="6"/>
      <c r="Q372" s="6"/>
      <c r="R372" s="6"/>
      <c r="S372" s="6"/>
      <c r="T372" s="6"/>
      <c r="U372" s="6"/>
    </row>
    <row r="373" spans="1:21">
      <c r="A373" s="82"/>
      <c r="B373" s="83"/>
      <c r="C373" s="82"/>
      <c r="D373" s="82"/>
      <c r="E373" s="82"/>
      <c r="F373" s="82"/>
      <c r="G373" s="82"/>
      <c r="H373" s="83"/>
      <c r="I373" s="83"/>
      <c r="J373" s="83"/>
      <c r="K373" s="6"/>
      <c r="L373" s="6"/>
      <c r="M373" s="6"/>
      <c r="N373" s="6"/>
      <c r="O373" s="6"/>
      <c r="P373" s="6"/>
      <c r="Q373" s="6"/>
      <c r="R373" s="6"/>
      <c r="S373" s="6"/>
      <c r="T373" s="6"/>
      <c r="U373" s="6"/>
    </row>
    <row r="374" spans="1:21">
      <c r="A374" s="82"/>
      <c r="B374" s="83"/>
      <c r="C374" s="82"/>
      <c r="D374" s="82"/>
      <c r="E374" s="82"/>
      <c r="F374" s="82"/>
      <c r="G374" s="82"/>
      <c r="H374" s="83"/>
      <c r="I374" s="83"/>
      <c r="J374" s="83"/>
      <c r="K374" s="6"/>
      <c r="L374" s="6"/>
      <c r="M374" s="6"/>
      <c r="N374" s="6"/>
      <c r="O374" s="6"/>
      <c r="P374" s="6"/>
      <c r="Q374" s="6"/>
      <c r="R374" s="6"/>
      <c r="S374" s="6"/>
      <c r="T374" s="6"/>
      <c r="U374" s="6"/>
    </row>
    <row r="375" spans="1:21">
      <c r="A375" s="82"/>
      <c r="B375" s="83"/>
      <c r="C375" s="82"/>
      <c r="D375" s="82"/>
      <c r="E375" s="82"/>
      <c r="F375" s="82"/>
      <c r="G375" s="82"/>
      <c r="H375" s="83"/>
      <c r="I375" s="83"/>
      <c r="J375" s="83"/>
      <c r="K375" s="6"/>
      <c r="L375" s="6"/>
      <c r="M375" s="6"/>
      <c r="N375" s="6"/>
      <c r="O375" s="6"/>
      <c r="P375" s="6"/>
      <c r="Q375" s="6"/>
      <c r="R375" s="6"/>
      <c r="S375" s="6"/>
      <c r="T375" s="6"/>
      <c r="U375" s="6"/>
    </row>
    <row r="376" spans="1:21">
      <c r="A376" s="82"/>
      <c r="B376" s="83"/>
      <c r="C376" s="82"/>
      <c r="D376" s="82"/>
      <c r="E376" s="82"/>
      <c r="F376" s="82"/>
      <c r="G376" s="82"/>
      <c r="H376" s="83"/>
      <c r="I376" s="83"/>
      <c r="J376" s="83"/>
      <c r="K376" s="6"/>
      <c r="L376" s="6"/>
      <c r="M376" s="6"/>
      <c r="N376" s="6"/>
      <c r="O376" s="6"/>
      <c r="P376" s="6"/>
      <c r="Q376" s="6"/>
      <c r="R376" s="6"/>
      <c r="S376" s="6"/>
      <c r="T376" s="6"/>
      <c r="U376" s="6"/>
    </row>
    <row r="377" spans="1:21">
      <c r="A377" s="82"/>
      <c r="B377" s="83"/>
      <c r="C377" s="82"/>
      <c r="D377" s="82"/>
      <c r="E377" s="82"/>
      <c r="F377" s="82"/>
      <c r="G377" s="82"/>
      <c r="H377" s="83"/>
      <c r="I377" s="83"/>
      <c r="J377" s="83"/>
      <c r="K377" s="6"/>
      <c r="L377" s="6"/>
      <c r="M377" s="6"/>
      <c r="N377" s="6"/>
      <c r="O377" s="6"/>
      <c r="P377" s="6"/>
      <c r="Q377" s="6"/>
      <c r="R377" s="6"/>
      <c r="S377" s="6"/>
      <c r="T377" s="6"/>
      <c r="U377" s="6"/>
    </row>
    <row r="378" spans="1:21">
      <c r="A378" s="82"/>
      <c r="B378" s="83"/>
      <c r="C378" s="82"/>
      <c r="D378" s="82"/>
      <c r="E378" s="82"/>
      <c r="F378" s="82"/>
      <c r="G378" s="82"/>
      <c r="H378" s="83"/>
      <c r="I378" s="83"/>
      <c r="J378" s="83"/>
      <c r="K378" s="6"/>
      <c r="L378" s="6"/>
      <c r="M378" s="6"/>
      <c r="N378" s="6"/>
      <c r="O378" s="6"/>
      <c r="P378" s="6"/>
      <c r="Q378" s="6"/>
      <c r="R378" s="6"/>
      <c r="S378" s="6"/>
      <c r="T378" s="6"/>
      <c r="U378" s="6"/>
    </row>
    <row r="379" spans="1:21">
      <c r="A379" s="82"/>
      <c r="B379" s="83"/>
      <c r="C379" s="82"/>
      <c r="D379" s="82"/>
      <c r="E379" s="82"/>
      <c r="F379" s="82"/>
      <c r="G379" s="82"/>
      <c r="H379" s="83"/>
      <c r="I379" s="83"/>
      <c r="J379" s="83"/>
      <c r="K379" s="6"/>
      <c r="L379" s="6"/>
      <c r="M379" s="6"/>
      <c r="N379" s="6"/>
      <c r="O379" s="6"/>
      <c r="P379" s="6"/>
      <c r="Q379" s="6"/>
      <c r="R379" s="6"/>
      <c r="S379" s="6"/>
      <c r="T379" s="6"/>
      <c r="U379" s="6"/>
    </row>
    <row r="380" spans="1:21">
      <c r="A380" s="82"/>
      <c r="B380" s="83"/>
      <c r="C380" s="82"/>
      <c r="D380" s="82"/>
      <c r="E380" s="82"/>
      <c r="F380" s="82"/>
      <c r="G380" s="82"/>
      <c r="H380" s="83"/>
      <c r="I380" s="83"/>
      <c r="J380" s="83"/>
      <c r="K380" s="6"/>
      <c r="L380" s="6"/>
      <c r="M380" s="6"/>
      <c r="N380" s="6"/>
      <c r="O380" s="6"/>
      <c r="P380" s="6"/>
      <c r="Q380" s="6"/>
      <c r="R380" s="6"/>
      <c r="S380" s="6"/>
      <c r="T380" s="6"/>
      <c r="U380" s="6"/>
    </row>
    <row r="381" spans="1:21">
      <c r="A381" s="82"/>
      <c r="B381" s="83"/>
      <c r="C381" s="82"/>
      <c r="D381" s="82"/>
      <c r="E381" s="82"/>
      <c r="F381" s="82"/>
      <c r="G381" s="82"/>
      <c r="H381" s="83"/>
      <c r="I381" s="83"/>
      <c r="J381" s="83"/>
      <c r="K381" s="6"/>
      <c r="L381" s="6"/>
      <c r="M381" s="6"/>
      <c r="N381" s="6"/>
      <c r="O381" s="6"/>
      <c r="P381" s="6"/>
      <c r="Q381" s="6"/>
      <c r="R381" s="6"/>
      <c r="S381" s="6"/>
      <c r="T381" s="6"/>
      <c r="U381" s="6"/>
    </row>
    <row r="382" spans="1:21">
      <c r="A382" s="82"/>
      <c r="B382" s="83"/>
      <c r="C382" s="82"/>
      <c r="D382" s="82"/>
      <c r="E382" s="82"/>
      <c r="F382" s="82"/>
      <c r="G382" s="82"/>
      <c r="H382" s="83"/>
      <c r="I382" s="83"/>
      <c r="J382" s="83"/>
      <c r="K382" s="6"/>
      <c r="L382" s="6"/>
      <c r="M382" s="6"/>
      <c r="N382" s="6"/>
      <c r="O382" s="6"/>
      <c r="P382" s="6"/>
      <c r="Q382" s="6"/>
      <c r="R382" s="6"/>
      <c r="S382" s="6"/>
      <c r="T382" s="6"/>
      <c r="U382" s="6"/>
    </row>
    <row r="383" spans="1:21">
      <c r="A383" s="82"/>
      <c r="B383" s="83"/>
      <c r="C383" s="82"/>
      <c r="D383" s="82"/>
      <c r="E383" s="82"/>
      <c r="F383" s="82"/>
      <c r="G383" s="82"/>
      <c r="H383" s="83"/>
      <c r="I383" s="83"/>
      <c r="J383" s="83"/>
      <c r="K383" s="6"/>
      <c r="L383" s="6"/>
      <c r="M383" s="6"/>
      <c r="N383" s="6"/>
      <c r="O383" s="6"/>
      <c r="P383" s="6"/>
      <c r="Q383" s="6"/>
      <c r="R383" s="6"/>
      <c r="S383" s="6"/>
      <c r="T383" s="6"/>
      <c r="U383" s="6"/>
    </row>
    <row r="384" spans="1:21">
      <c r="A384" s="82"/>
      <c r="B384" s="83"/>
      <c r="C384" s="82"/>
      <c r="D384" s="82"/>
      <c r="E384" s="82"/>
      <c r="F384" s="82"/>
      <c r="G384" s="82"/>
      <c r="H384" s="83"/>
      <c r="I384" s="83"/>
      <c r="J384" s="83"/>
      <c r="K384" s="6"/>
      <c r="L384" s="6"/>
      <c r="M384" s="6"/>
      <c r="N384" s="6"/>
      <c r="O384" s="6"/>
      <c r="P384" s="6"/>
      <c r="Q384" s="6"/>
      <c r="R384" s="6"/>
      <c r="S384" s="6"/>
      <c r="T384" s="6"/>
      <c r="U384" s="6"/>
    </row>
    <row r="385" spans="1:21">
      <c r="A385" s="82"/>
      <c r="B385" s="83"/>
      <c r="C385" s="82"/>
      <c r="D385" s="82"/>
      <c r="E385" s="82"/>
      <c r="F385" s="82"/>
      <c r="G385" s="82"/>
      <c r="H385" s="83"/>
      <c r="I385" s="83"/>
      <c r="J385" s="83"/>
      <c r="K385" s="6"/>
      <c r="L385" s="6"/>
      <c r="M385" s="6"/>
      <c r="N385" s="6"/>
      <c r="O385" s="6"/>
      <c r="P385" s="6"/>
      <c r="Q385" s="6"/>
      <c r="R385" s="6"/>
      <c r="S385" s="6"/>
      <c r="T385" s="6"/>
      <c r="U385" s="6"/>
    </row>
    <row r="386" spans="1:21">
      <c r="A386" s="82"/>
      <c r="B386" s="83"/>
      <c r="C386" s="82"/>
      <c r="D386" s="82"/>
      <c r="E386" s="82"/>
      <c r="F386" s="82"/>
      <c r="G386" s="82"/>
      <c r="H386" s="83"/>
      <c r="I386" s="83"/>
      <c r="J386" s="83"/>
      <c r="K386" s="6"/>
      <c r="L386" s="6"/>
      <c r="M386" s="6"/>
      <c r="N386" s="6"/>
      <c r="O386" s="6"/>
      <c r="P386" s="6"/>
      <c r="Q386" s="6"/>
      <c r="R386" s="6"/>
      <c r="S386" s="6"/>
      <c r="T386" s="6"/>
      <c r="U386" s="6"/>
    </row>
    <row r="387" spans="1:21">
      <c r="A387" s="82"/>
      <c r="B387" s="83"/>
      <c r="C387" s="82"/>
      <c r="D387" s="82"/>
      <c r="E387" s="82"/>
      <c r="F387" s="82"/>
      <c r="G387" s="82"/>
      <c r="H387" s="83"/>
      <c r="I387" s="83"/>
      <c r="J387" s="83"/>
      <c r="K387" s="6"/>
      <c r="L387" s="6"/>
      <c r="M387" s="6"/>
      <c r="N387" s="6"/>
      <c r="O387" s="6"/>
      <c r="P387" s="6"/>
      <c r="Q387" s="6"/>
      <c r="R387" s="6"/>
      <c r="S387" s="6"/>
      <c r="T387" s="6"/>
      <c r="U387" s="6"/>
    </row>
    <row r="388" spans="1:21">
      <c r="A388" s="82"/>
      <c r="B388" s="83"/>
      <c r="C388" s="82"/>
      <c r="D388" s="82"/>
      <c r="E388" s="82"/>
      <c r="F388" s="82"/>
      <c r="G388" s="82"/>
      <c r="H388" s="83"/>
      <c r="I388" s="83"/>
      <c r="J388" s="83"/>
      <c r="K388" s="6"/>
      <c r="L388" s="6"/>
      <c r="M388" s="6"/>
      <c r="N388" s="6"/>
      <c r="O388" s="6"/>
      <c r="P388" s="6"/>
      <c r="Q388" s="6"/>
      <c r="R388" s="6"/>
      <c r="S388" s="6"/>
      <c r="T388" s="6"/>
      <c r="U388" s="6"/>
    </row>
    <row r="389" spans="1:21">
      <c r="A389" s="82"/>
      <c r="B389" s="83"/>
      <c r="C389" s="82"/>
      <c r="D389" s="82"/>
      <c r="E389" s="82"/>
      <c r="F389" s="82"/>
      <c r="G389" s="82"/>
      <c r="H389" s="83"/>
      <c r="I389" s="83"/>
      <c r="J389" s="83"/>
      <c r="K389" s="6"/>
      <c r="L389" s="6"/>
      <c r="M389" s="6"/>
      <c r="N389" s="6"/>
      <c r="O389" s="6"/>
      <c r="P389" s="6"/>
      <c r="Q389" s="6"/>
      <c r="R389" s="6"/>
      <c r="S389" s="6"/>
      <c r="T389" s="6"/>
      <c r="U389" s="6"/>
    </row>
    <row r="390" spans="1:21">
      <c r="A390" s="82"/>
      <c r="B390" s="83"/>
      <c r="C390" s="82"/>
      <c r="D390" s="82"/>
      <c r="E390" s="82"/>
      <c r="F390" s="82"/>
      <c r="G390" s="82"/>
      <c r="H390" s="83"/>
      <c r="I390" s="83"/>
      <c r="J390" s="83"/>
      <c r="K390" s="6"/>
      <c r="L390" s="6"/>
      <c r="M390" s="6"/>
      <c r="N390" s="6"/>
      <c r="O390" s="6"/>
      <c r="P390" s="6"/>
      <c r="Q390" s="6"/>
      <c r="R390" s="6"/>
      <c r="S390" s="6"/>
      <c r="T390" s="6"/>
      <c r="U390" s="6"/>
    </row>
    <row r="391" spans="1:21">
      <c r="A391" s="82"/>
      <c r="B391" s="83"/>
      <c r="C391" s="82"/>
      <c r="D391" s="82"/>
      <c r="E391" s="82"/>
      <c r="F391" s="82"/>
      <c r="G391" s="82"/>
      <c r="H391" s="83"/>
      <c r="I391" s="83"/>
      <c r="J391" s="83"/>
      <c r="K391" s="6"/>
      <c r="L391" s="6"/>
      <c r="M391" s="6"/>
      <c r="N391" s="6"/>
      <c r="O391" s="6"/>
      <c r="P391" s="6"/>
      <c r="Q391" s="6"/>
      <c r="R391" s="6"/>
      <c r="S391" s="6"/>
      <c r="T391" s="6"/>
      <c r="U391" s="6"/>
    </row>
    <row r="392" spans="1:21">
      <c r="A392" s="82"/>
      <c r="B392" s="83"/>
      <c r="C392" s="82"/>
      <c r="D392" s="82"/>
      <c r="E392" s="82"/>
      <c r="F392" s="82"/>
      <c r="G392" s="82"/>
      <c r="H392" s="83"/>
      <c r="I392" s="83"/>
      <c r="J392" s="83"/>
      <c r="K392" s="6"/>
      <c r="L392" s="6"/>
      <c r="M392" s="6"/>
      <c r="N392" s="6"/>
      <c r="O392" s="6"/>
      <c r="P392" s="6"/>
      <c r="Q392" s="6"/>
      <c r="R392" s="6"/>
      <c r="S392" s="6"/>
      <c r="T392" s="6"/>
      <c r="U392" s="6"/>
    </row>
    <row r="393" spans="1:21">
      <c r="A393" s="82"/>
      <c r="B393" s="83"/>
      <c r="C393" s="82"/>
      <c r="D393" s="82"/>
      <c r="E393" s="82"/>
      <c r="F393" s="82"/>
      <c r="G393" s="82"/>
      <c r="H393" s="83"/>
      <c r="I393" s="83"/>
      <c r="J393" s="83"/>
      <c r="K393" s="6"/>
      <c r="L393" s="6"/>
      <c r="M393" s="6"/>
      <c r="N393" s="6"/>
      <c r="O393" s="6"/>
      <c r="P393" s="6"/>
      <c r="Q393" s="6"/>
      <c r="R393" s="6"/>
      <c r="S393" s="6"/>
      <c r="T393" s="6"/>
      <c r="U393" s="6"/>
    </row>
    <row r="394" spans="1:21">
      <c r="A394" s="82"/>
      <c r="B394" s="83"/>
      <c r="C394" s="82"/>
      <c r="D394" s="82"/>
      <c r="E394" s="82"/>
      <c r="F394" s="82"/>
      <c r="G394" s="82"/>
      <c r="H394" s="83"/>
      <c r="I394" s="83"/>
      <c r="J394" s="83"/>
      <c r="K394" s="6"/>
      <c r="L394" s="6"/>
      <c r="M394" s="6"/>
      <c r="N394" s="6"/>
      <c r="O394" s="6"/>
      <c r="P394" s="6"/>
      <c r="Q394" s="6"/>
      <c r="R394" s="6"/>
      <c r="S394" s="6"/>
      <c r="T394" s="6"/>
      <c r="U394" s="6"/>
    </row>
    <row r="395" spans="1:21">
      <c r="A395" s="82"/>
      <c r="B395" s="83"/>
      <c r="C395" s="82"/>
      <c r="D395" s="82"/>
      <c r="E395" s="82"/>
      <c r="F395" s="82"/>
      <c r="G395" s="82"/>
      <c r="H395" s="83"/>
      <c r="I395" s="83"/>
      <c r="J395" s="83"/>
      <c r="K395" s="6"/>
      <c r="L395" s="6"/>
      <c r="M395" s="6"/>
      <c r="N395" s="6"/>
      <c r="O395" s="6"/>
      <c r="P395" s="6"/>
      <c r="Q395" s="6"/>
      <c r="R395" s="6"/>
      <c r="S395" s="6"/>
      <c r="T395" s="6"/>
      <c r="U395" s="6"/>
    </row>
    <row r="396" spans="1:21">
      <c r="A396" s="82"/>
      <c r="B396" s="83"/>
      <c r="C396" s="82"/>
      <c r="D396" s="82"/>
      <c r="E396" s="82"/>
      <c r="F396" s="82"/>
      <c r="G396" s="82"/>
      <c r="H396" s="83"/>
      <c r="I396" s="83"/>
      <c r="J396" s="83"/>
      <c r="K396" s="6"/>
      <c r="L396" s="6"/>
      <c r="M396" s="6"/>
      <c r="N396" s="6"/>
      <c r="O396" s="6"/>
      <c r="P396" s="6"/>
      <c r="Q396" s="6"/>
      <c r="R396" s="6"/>
      <c r="S396" s="6"/>
      <c r="T396" s="6"/>
      <c r="U396" s="6"/>
    </row>
    <row r="397" spans="1:21">
      <c r="A397" s="82"/>
      <c r="B397" s="83"/>
      <c r="C397" s="82"/>
      <c r="D397" s="82"/>
      <c r="E397" s="82"/>
      <c r="F397" s="82"/>
      <c r="G397" s="82"/>
      <c r="H397" s="83"/>
      <c r="I397" s="83"/>
      <c r="J397" s="83"/>
      <c r="K397" s="6"/>
      <c r="L397" s="6"/>
      <c r="M397" s="6"/>
      <c r="N397" s="6"/>
      <c r="O397" s="6"/>
      <c r="P397" s="6"/>
      <c r="Q397" s="6"/>
      <c r="R397" s="6"/>
      <c r="S397" s="6"/>
      <c r="T397" s="6"/>
      <c r="U397" s="6"/>
    </row>
    <row r="398" spans="1:21">
      <c r="A398" s="82"/>
      <c r="B398" s="83"/>
      <c r="C398" s="82"/>
      <c r="D398" s="82"/>
      <c r="E398" s="82"/>
      <c r="F398" s="82"/>
      <c r="G398" s="82"/>
      <c r="H398" s="83"/>
      <c r="I398" s="83"/>
      <c r="J398" s="83"/>
      <c r="K398" s="6"/>
      <c r="L398" s="6"/>
      <c r="M398" s="6"/>
      <c r="N398" s="6"/>
      <c r="O398" s="6"/>
      <c r="P398" s="6"/>
      <c r="Q398" s="6"/>
      <c r="R398" s="6"/>
      <c r="S398" s="6"/>
      <c r="T398" s="6"/>
      <c r="U398" s="6"/>
    </row>
    <row r="399" spans="1:21">
      <c r="A399" s="82"/>
      <c r="B399" s="83"/>
      <c r="C399" s="82"/>
      <c r="D399" s="82"/>
      <c r="E399" s="82"/>
      <c r="F399" s="82"/>
      <c r="G399" s="82"/>
      <c r="H399" s="83"/>
      <c r="I399" s="83"/>
      <c r="J399" s="83"/>
      <c r="K399" s="6"/>
      <c r="L399" s="6"/>
      <c r="M399" s="6"/>
      <c r="N399" s="6"/>
      <c r="O399" s="6"/>
      <c r="P399" s="6"/>
      <c r="Q399" s="6"/>
      <c r="R399" s="6"/>
      <c r="S399" s="6"/>
      <c r="T399" s="6"/>
      <c r="U399" s="6"/>
    </row>
    <row r="400" spans="1:21">
      <c r="A400" s="82"/>
      <c r="B400" s="83"/>
      <c r="C400" s="82"/>
      <c r="D400" s="82"/>
      <c r="E400" s="82"/>
      <c r="F400" s="82"/>
      <c r="G400" s="82"/>
      <c r="H400" s="83"/>
      <c r="I400" s="83"/>
      <c r="J400" s="83"/>
      <c r="K400" s="6"/>
      <c r="L400" s="6"/>
      <c r="M400" s="6"/>
      <c r="N400" s="6"/>
      <c r="O400" s="6"/>
      <c r="P400" s="6"/>
      <c r="Q400" s="6"/>
      <c r="R400" s="6"/>
      <c r="S400" s="6"/>
      <c r="T400" s="6"/>
      <c r="U400" s="6"/>
    </row>
    <row r="401" spans="1:21">
      <c r="A401" s="82"/>
      <c r="B401" s="83"/>
      <c r="C401" s="82"/>
      <c r="D401" s="82"/>
      <c r="E401" s="82"/>
      <c r="F401" s="82"/>
      <c r="G401" s="82"/>
      <c r="H401" s="83"/>
      <c r="I401" s="83"/>
      <c r="J401" s="83"/>
      <c r="K401" s="6"/>
      <c r="L401" s="6"/>
      <c r="M401" s="6"/>
      <c r="N401" s="6"/>
      <c r="O401" s="6"/>
      <c r="P401" s="6"/>
      <c r="Q401" s="6"/>
      <c r="R401" s="6"/>
      <c r="S401" s="6"/>
      <c r="T401" s="6"/>
      <c r="U401" s="6"/>
    </row>
    <row r="402" spans="1:21">
      <c r="A402" s="82"/>
      <c r="B402" s="83"/>
      <c r="C402" s="82"/>
      <c r="D402" s="82"/>
      <c r="E402" s="82"/>
      <c r="F402" s="82"/>
      <c r="G402" s="82"/>
      <c r="H402" s="83"/>
      <c r="I402" s="83"/>
      <c r="J402" s="83"/>
      <c r="K402" s="6"/>
      <c r="L402" s="6"/>
      <c r="M402" s="6"/>
      <c r="N402" s="6"/>
      <c r="O402" s="6"/>
      <c r="P402" s="6"/>
      <c r="Q402" s="6"/>
      <c r="R402" s="6"/>
      <c r="S402" s="6"/>
      <c r="T402" s="6"/>
      <c r="U402" s="6"/>
    </row>
    <row r="403" spans="1:21">
      <c r="A403" s="82"/>
      <c r="B403" s="83"/>
      <c r="C403" s="82"/>
      <c r="D403" s="82"/>
      <c r="E403" s="82"/>
      <c r="F403" s="82"/>
      <c r="G403" s="82"/>
      <c r="H403" s="83"/>
      <c r="I403" s="83"/>
      <c r="J403" s="83"/>
      <c r="K403" s="6"/>
      <c r="L403" s="6"/>
      <c r="M403" s="6"/>
      <c r="N403" s="6"/>
      <c r="O403" s="6"/>
      <c r="P403" s="6"/>
      <c r="Q403" s="6"/>
      <c r="R403" s="6"/>
      <c r="S403" s="6"/>
      <c r="T403" s="6"/>
      <c r="U403" s="6"/>
    </row>
    <row r="404" spans="1:21">
      <c r="A404" s="82"/>
      <c r="B404" s="83"/>
      <c r="C404" s="82"/>
      <c r="D404" s="82"/>
      <c r="E404" s="82"/>
      <c r="F404" s="82"/>
      <c r="G404" s="82"/>
      <c r="H404" s="83"/>
      <c r="I404" s="83"/>
      <c r="J404" s="83"/>
      <c r="K404" s="6"/>
      <c r="L404" s="6"/>
      <c r="M404" s="6"/>
      <c r="N404" s="6"/>
      <c r="O404" s="6"/>
      <c r="P404" s="6"/>
      <c r="Q404" s="6"/>
      <c r="R404" s="6"/>
      <c r="S404" s="6"/>
      <c r="T404" s="6"/>
      <c r="U404" s="6"/>
    </row>
    <row r="405" spans="1:21">
      <c r="A405" s="82"/>
      <c r="B405" s="83"/>
      <c r="C405" s="82"/>
      <c r="D405" s="82"/>
      <c r="E405" s="82"/>
      <c r="F405" s="82"/>
      <c r="G405" s="82"/>
      <c r="H405" s="83"/>
      <c r="I405" s="83"/>
      <c r="J405" s="83"/>
      <c r="K405" s="6"/>
      <c r="L405" s="6"/>
      <c r="M405" s="6"/>
      <c r="N405" s="6"/>
      <c r="O405" s="6"/>
      <c r="P405" s="6"/>
      <c r="Q405" s="6"/>
      <c r="R405" s="6"/>
      <c r="S405" s="6"/>
      <c r="T405" s="6"/>
      <c r="U405" s="6"/>
    </row>
    <row r="406" spans="1:21">
      <c r="A406" s="82"/>
      <c r="B406" s="83"/>
      <c r="C406" s="82"/>
      <c r="D406" s="82"/>
      <c r="E406" s="82"/>
      <c r="F406" s="82"/>
      <c r="G406" s="82"/>
      <c r="H406" s="83"/>
      <c r="I406" s="83"/>
      <c r="J406" s="83"/>
      <c r="K406" s="6"/>
      <c r="L406" s="6"/>
      <c r="M406" s="6"/>
      <c r="N406" s="6"/>
      <c r="O406" s="6"/>
      <c r="P406" s="6"/>
      <c r="Q406" s="6"/>
      <c r="R406" s="6"/>
      <c r="S406" s="6"/>
      <c r="T406" s="6"/>
      <c r="U406" s="6"/>
    </row>
    <row r="407" spans="1:21">
      <c r="A407" s="82"/>
      <c r="B407" s="83"/>
      <c r="C407" s="82"/>
      <c r="D407" s="82"/>
      <c r="E407" s="82"/>
      <c r="F407" s="82"/>
      <c r="G407" s="82"/>
      <c r="H407" s="83"/>
      <c r="I407" s="83"/>
      <c r="J407" s="83"/>
      <c r="K407" s="6"/>
      <c r="L407" s="6"/>
      <c r="M407" s="6"/>
      <c r="N407" s="6"/>
      <c r="O407" s="6"/>
      <c r="P407" s="6"/>
      <c r="Q407" s="6"/>
      <c r="R407" s="6"/>
      <c r="S407" s="6"/>
      <c r="T407" s="6"/>
      <c r="U407" s="6"/>
    </row>
    <row r="408" spans="1:21">
      <c r="A408" s="82"/>
      <c r="B408" s="83"/>
      <c r="C408" s="82"/>
      <c r="D408" s="82"/>
      <c r="E408" s="82"/>
      <c r="F408" s="82"/>
      <c r="G408" s="82"/>
      <c r="H408" s="83"/>
      <c r="I408" s="83"/>
      <c r="J408" s="83"/>
      <c r="K408" s="6"/>
      <c r="L408" s="6"/>
      <c r="M408" s="6"/>
      <c r="N408" s="6"/>
      <c r="O408" s="6"/>
      <c r="P408" s="6"/>
      <c r="Q408" s="6"/>
      <c r="R408" s="6"/>
      <c r="S408" s="6"/>
      <c r="T408" s="6"/>
      <c r="U408" s="6"/>
    </row>
    <row r="409" spans="1:21">
      <c r="A409" s="82"/>
      <c r="B409" s="83"/>
      <c r="C409" s="82"/>
      <c r="D409" s="82"/>
      <c r="E409" s="82"/>
      <c r="F409" s="82"/>
      <c r="G409" s="82"/>
      <c r="H409" s="83"/>
      <c r="I409" s="83"/>
      <c r="J409" s="83"/>
      <c r="K409" s="6"/>
      <c r="L409" s="6"/>
      <c r="M409" s="6"/>
      <c r="N409" s="6"/>
      <c r="O409" s="6"/>
      <c r="P409" s="6"/>
      <c r="Q409" s="6"/>
      <c r="R409" s="6"/>
      <c r="S409" s="6"/>
      <c r="T409" s="6"/>
      <c r="U409" s="6"/>
    </row>
    <row r="410" spans="1:21">
      <c r="A410" s="82"/>
      <c r="B410" s="83"/>
      <c r="C410" s="82"/>
      <c r="D410" s="82"/>
      <c r="E410" s="82"/>
      <c r="F410" s="82"/>
      <c r="G410" s="82"/>
      <c r="H410" s="83"/>
      <c r="I410" s="83"/>
      <c r="J410" s="83"/>
      <c r="K410" s="6"/>
      <c r="L410" s="6"/>
      <c r="M410" s="6"/>
      <c r="N410" s="6"/>
      <c r="O410" s="6"/>
      <c r="P410" s="6"/>
      <c r="Q410" s="6"/>
      <c r="R410" s="6"/>
      <c r="S410" s="6"/>
      <c r="T410" s="6"/>
      <c r="U410" s="6"/>
    </row>
    <row r="411" spans="1:21">
      <c r="A411" s="82"/>
      <c r="B411" s="83"/>
      <c r="C411" s="82"/>
      <c r="D411" s="82"/>
      <c r="E411" s="82"/>
      <c r="F411" s="82"/>
      <c r="G411" s="82"/>
      <c r="H411" s="83"/>
      <c r="I411" s="83"/>
      <c r="J411" s="83"/>
      <c r="K411" s="6"/>
      <c r="L411" s="6"/>
      <c r="M411" s="6"/>
      <c r="N411" s="6"/>
      <c r="O411" s="6"/>
      <c r="P411" s="6"/>
      <c r="Q411" s="6"/>
      <c r="R411" s="6"/>
      <c r="S411" s="6"/>
      <c r="T411" s="6"/>
      <c r="U411" s="6"/>
    </row>
    <row r="412" spans="1:21">
      <c r="A412" s="82"/>
      <c r="B412" s="83"/>
      <c r="C412" s="82"/>
      <c r="D412" s="82"/>
      <c r="E412" s="82"/>
      <c r="F412" s="82"/>
      <c r="G412" s="82"/>
      <c r="H412" s="83"/>
      <c r="I412" s="83"/>
      <c r="J412" s="83"/>
      <c r="K412" s="6"/>
      <c r="L412" s="6"/>
      <c r="M412" s="6"/>
      <c r="N412" s="6"/>
      <c r="O412" s="6"/>
      <c r="P412" s="6"/>
      <c r="Q412" s="6"/>
      <c r="R412" s="6"/>
      <c r="S412" s="6"/>
      <c r="T412" s="6"/>
      <c r="U412" s="6"/>
    </row>
    <row r="413" spans="1:21">
      <c r="A413" s="82"/>
      <c r="B413" s="83"/>
      <c r="C413" s="82"/>
      <c r="D413" s="82"/>
      <c r="E413" s="82"/>
      <c r="F413" s="82"/>
      <c r="G413" s="82"/>
      <c r="H413" s="83"/>
      <c r="I413" s="83"/>
      <c r="J413" s="83"/>
      <c r="K413" s="6"/>
      <c r="L413" s="6"/>
      <c r="M413" s="6"/>
      <c r="N413" s="6"/>
      <c r="O413" s="6"/>
      <c r="P413" s="6"/>
      <c r="Q413" s="6"/>
      <c r="R413" s="6"/>
      <c r="S413" s="6"/>
      <c r="T413" s="6"/>
      <c r="U413" s="6"/>
    </row>
    <row r="414" spans="1:21">
      <c r="A414" s="82"/>
      <c r="B414" s="83"/>
      <c r="C414" s="82"/>
      <c r="D414" s="82"/>
      <c r="E414" s="82"/>
      <c r="F414" s="82"/>
      <c r="G414" s="82"/>
      <c r="H414" s="83"/>
      <c r="I414" s="83"/>
      <c r="J414" s="83"/>
      <c r="K414" s="6"/>
      <c r="L414" s="6"/>
      <c r="M414" s="6"/>
      <c r="N414" s="6"/>
      <c r="O414" s="6"/>
      <c r="P414" s="6"/>
      <c r="Q414" s="6"/>
      <c r="R414" s="6"/>
      <c r="S414" s="6"/>
      <c r="T414" s="6"/>
      <c r="U414" s="6"/>
    </row>
    <row r="415" spans="1:21">
      <c r="A415" s="82"/>
      <c r="B415" s="83"/>
      <c r="C415" s="82"/>
      <c r="D415" s="82"/>
      <c r="E415" s="82"/>
      <c r="F415" s="82"/>
      <c r="G415" s="82"/>
      <c r="H415" s="83"/>
      <c r="I415" s="83"/>
      <c r="J415" s="83"/>
      <c r="K415" s="6"/>
      <c r="L415" s="6"/>
      <c r="M415" s="6"/>
      <c r="N415" s="6"/>
      <c r="O415" s="6"/>
      <c r="P415" s="6"/>
      <c r="Q415" s="6"/>
      <c r="R415" s="6"/>
      <c r="S415" s="6"/>
      <c r="T415" s="6"/>
      <c r="U415" s="6"/>
    </row>
    <row r="416" spans="1:21">
      <c r="A416" s="82"/>
      <c r="B416" s="83"/>
      <c r="C416" s="82"/>
      <c r="D416" s="82"/>
      <c r="E416" s="82"/>
      <c r="F416" s="82"/>
      <c r="G416" s="82"/>
      <c r="H416" s="83"/>
      <c r="I416" s="83"/>
      <c r="J416" s="83"/>
      <c r="K416" s="6"/>
      <c r="L416" s="6"/>
      <c r="M416" s="6"/>
      <c r="N416" s="6"/>
      <c r="O416" s="6"/>
      <c r="P416" s="6"/>
      <c r="Q416" s="6"/>
      <c r="R416" s="6"/>
      <c r="S416" s="6"/>
      <c r="T416" s="6"/>
      <c r="U416" s="6"/>
    </row>
    <row r="417" spans="1:21">
      <c r="A417" s="82"/>
      <c r="B417" s="83"/>
      <c r="C417" s="82"/>
      <c r="D417" s="82"/>
      <c r="E417" s="82"/>
      <c r="F417" s="82"/>
      <c r="G417" s="82"/>
      <c r="H417" s="83"/>
      <c r="I417" s="83"/>
      <c r="J417" s="83"/>
      <c r="K417" s="6"/>
      <c r="L417" s="6"/>
      <c r="M417" s="6"/>
      <c r="N417" s="6"/>
      <c r="O417" s="6"/>
      <c r="P417" s="6"/>
      <c r="Q417" s="6"/>
      <c r="R417" s="6"/>
      <c r="S417" s="6"/>
      <c r="T417" s="6"/>
      <c r="U417" s="6"/>
    </row>
    <row r="418" spans="1:21">
      <c r="A418" s="82"/>
      <c r="B418" s="83"/>
      <c r="C418" s="82"/>
      <c r="D418" s="82"/>
      <c r="E418" s="82"/>
      <c r="F418" s="82"/>
      <c r="G418" s="82"/>
      <c r="H418" s="83"/>
      <c r="I418" s="83"/>
      <c r="J418" s="83"/>
      <c r="K418" s="6"/>
      <c r="L418" s="6"/>
      <c r="M418" s="6"/>
      <c r="N418" s="6"/>
      <c r="O418" s="6"/>
      <c r="P418" s="6"/>
      <c r="Q418" s="6"/>
      <c r="R418" s="6"/>
      <c r="S418" s="6"/>
      <c r="T418" s="6"/>
      <c r="U418" s="6"/>
    </row>
    <row r="419" spans="1:21">
      <c r="A419" s="82"/>
      <c r="B419" s="83"/>
      <c r="C419" s="82"/>
      <c r="D419" s="82"/>
      <c r="E419" s="82"/>
      <c r="F419" s="82"/>
      <c r="G419" s="82"/>
      <c r="H419" s="83"/>
      <c r="I419" s="83"/>
      <c r="J419" s="83"/>
      <c r="K419" s="6"/>
      <c r="L419" s="6"/>
      <c r="M419" s="6"/>
      <c r="N419" s="6"/>
      <c r="O419" s="6"/>
      <c r="P419" s="6"/>
      <c r="Q419" s="6"/>
      <c r="R419" s="6"/>
      <c r="S419" s="6"/>
      <c r="T419" s="6"/>
      <c r="U419" s="6"/>
    </row>
    <row r="420" spans="1:21">
      <c r="A420" s="82"/>
      <c r="B420" s="83"/>
      <c r="C420" s="82"/>
      <c r="D420" s="82"/>
      <c r="E420" s="82"/>
      <c r="F420" s="82"/>
      <c r="G420" s="82"/>
      <c r="H420" s="83"/>
      <c r="I420" s="83"/>
      <c r="J420" s="83"/>
      <c r="K420" s="6"/>
      <c r="L420" s="6"/>
      <c r="M420" s="6"/>
      <c r="N420" s="6"/>
      <c r="O420" s="6"/>
      <c r="P420" s="6"/>
      <c r="Q420" s="6"/>
      <c r="R420" s="6"/>
      <c r="S420" s="6"/>
      <c r="T420" s="6"/>
      <c r="U420" s="6"/>
    </row>
    <row r="421" spans="1:21">
      <c r="A421" s="82"/>
      <c r="B421" s="83"/>
      <c r="C421" s="82"/>
      <c r="D421" s="82"/>
      <c r="E421" s="82"/>
      <c r="F421" s="82"/>
      <c r="G421" s="82"/>
      <c r="H421" s="83"/>
      <c r="I421" s="83"/>
      <c r="J421" s="83"/>
      <c r="K421" s="6"/>
      <c r="L421" s="6"/>
      <c r="M421" s="6"/>
      <c r="N421" s="6"/>
      <c r="O421" s="6"/>
      <c r="P421" s="6"/>
      <c r="Q421" s="6"/>
      <c r="R421" s="6"/>
      <c r="S421" s="6"/>
      <c r="T421" s="6"/>
      <c r="U421" s="6"/>
    </row>
    <row r="422" spans="1:21">
      <c r="A422" s="82"/>
      <c r="B422" s="83"/>
      <c r="C422" s="82"/>
      <c r="D422" s="82"/>
      <c r="E422" s="82"/>
      <c r="F422" s="82"/>
      <c r="G422" s="82"/>
      <c r="H422" s="83"/>
      <c r="I422" s="83"/>
      <c r="J422" s="83"/>
      <c r="K422" s="6"/>
      <c r="L422" s="6"/>
      <c r="M422" s="6"/>
      <c r="N422" s="6"/>
      <c r="O422" s="6"/>
      <c r="P422" s="6"/>
      <c r="Q422" s="6"/>
      <c r="R422" s="6"/>
      <c r="S422" s="6"/>
      <c r="T422" s="6"/>
      <c r="U422" s="6"/>
    </row>
    <row r="423" spans="1:21">
      <c r="A423" s="82"/>
      <c r="B423" s="83"/>
      <c r="C423" s="82"/>
      <c r="D423" s="82"/>
      <c r="E423" s="82"/>
      <c r="F423" s="82"/>
      <c r="G423" s="82"/>
      <c r="H423" s="83"/>
      <c r="I423" s="83"/>
      <c r="J423" s="83"/>
      <c r="K423" s="6"/>
      <c r="L423" s="6"/>
      <c r="M423" s="6"/>
      <c r="N423" s="6"/>
      <c r="O423" s="6"/>
      <c r="P423" s="6"/>
      <c r="Q423" s="6"/>
      <c r="R423" s="6"/>
      <c r="S423" s="6"/>
      <c r="T423" s="6"/>
      <c r="U423" s="6"/>
    </row>
    <row r="424" spans="1:21">
      <c r="A424" s="82"/>
      <c r="B424" s="83"/>
      <c r="C424" s="82"/>
      <c r="D424" s="82"/>
      <c r="E424" s="82"/>
      <c r="F424" s="82"/>
      <c r="G424" s="82"/>
      <c r="H424" s="83"/>
      <c r="I424" s="83"/>
      <c r="J424" s="83"/>
      <c r="K424" s="6"/>
      <c r="L424" s="6"/>
      <c r="M424" s="6"/>
      <c r="N424" s="6"/>
      <c r="O424" s="6"/>
      <c r="P424" s="6"/>
      <c r="Q424" s="6"/>
      <c r="R424" s="6"/>
      <c r="S424" s="6"/>
      <c r="T424" s="6"/>
      <c r="U424" s="6"/>
    </row>
    <row r="425" spans="1:21">
      <c r="A425" s="82"/>
      <c r="B425" s="83"/>
      <c r="C425" s="82"/>
      <c r="D425" s="82"/>
      <c r="E425" s="82"/>
      <c r="F425" s="82"/>
      <c r="G425" s="82"/>
      <c r="H425" s="83"/>
      <c r="I425" s="83"/>
      <c r="J425" s="83"/>
      <c r="K425" s="6"/>
      <c r="L425" s="6"/>
      <c r="M425" s="6"/>
      <c r="N425" s="6"/>
      <c r="O425" s="6"/>
      <c r="P425" s="6"/>
      <c r="Q425" s="6"/>
      <c r="R425" s="6"/>
      <c r="S425" s="6"/>
      <c r="T425" s="6"/>
      <c r="U425" s="6"/>
    </row>
    <row r="426" spans="1:21">
      <c r="A426" s="82"/>
      <c r="B426" s="83"/>
      <c r="C426" s="82"/>
      <c r="D426" s="82"/>
      <c r="E426" s="82"/>
      <c r="F426" s="82"/>
      <c r="G426" s="82"/>
      <c r="H426" s="83"/>
      <c r="I426" s="83"/>
      <c r="J426" s="83"/>
      <c r="K426" s="6"/>
      <c r="L426" s="6"/>
      <c r="M426" s="6"/>
      <c r="N426" s="6"/>
      <c r="O426" s="6"/>
      <c r="P426" s="6"/>
      <c r="Q426" s="6"/>
      <c r="R426" s="6"/>
      <c r="S426" s="6"/>
      <c r="T426" s="6"/>
      <c r="U426" s="6"/>
    </row>
    <row r="427" spans="1:21">
      <c r="A427" s="82"/>
      <c r="B427" s="83"/>
      <c r="C427" s="82"/>
      <c r="D427" s="82"/>
      <c r="E427" s="82"/>
      <c r="F427" s="82"/>
      <c r="G427" s="82"/>
      <c r="H427" s="83"/>
      <c r="I427" s="83"/>
      <c r="J427" s="83"/>
      <c r="K427" s="6"/>
      <c r="L427" s="6"/>
      <c r="M427" s="6"/>
      <c r="N427" s="6"/>
      <c r="O427" s="6"/>
      <c r="P427" s="6"/>
      <c r="Q427" s="6"/>
      <c r="R427" s="6"/>
      <c r="S427" s="6"/>
      <c r="T427" s="6"/>
      <c r="U427" s="6"/>
    </row>
    <row r="428" spans="1:21">
      <c r="A428" s="82"/>
      <c r="B428" s="83"/>
      <c r="C428" s="82"/>
      <c r="D428" s="82"/>
      <c r="E428" s="82"/>
      <c r="F428" s="82"/>
      <c r="G428" s="82"/>
      <c r="H428" s="83"/>
      <c r="I428" s="83"/>
      <c r="J428" s="83"/>
      <c r="K428" s="6"/>
      <c r="L428" s="6"/>
      <c r="M428" s="6"/>
      <c r="N428" s="6"/>
      <c r="O428" s="6"/>
      <c r="P428" s="6"/>
      <c r="Q428" s="6"/>
      <c r="R428" s="6"/>
      <c r="S428" s="6"/>
      <c r="T428" s="6"/>
      <c r="U428" s="6"/>
    </row>
    <row r="429" spans="1:21">
      <c r="A429" s="82"/>
      <c r="B429" s="83"/>
      <c r="C429" s="82"/>
      <c r="D429" s="82"/>
      <c r="E429" s="82"/>
      <c r="F429" s="82"/>
      <c r="G429" s="82"/>
      <c r="H429" s="83"/>
      <c r="I429" s="83"/>
      <c r="J429" s="83"/>
      <c r="K429" s="6"/>
      <c r="L429" s="6"/>
      <c r="M429" s="6"/>
      <c r="N429" s="6"/>
      <c r="O429" s="6"/>
      <c r="P429" s="6"/>
      <c r="Q429" s="6"/>
      <c r="R429" s="6"/>
      <c r="S429" s="6"/>
      <c r="T429" s="6"/>
      <c r="U429" s="6"/>
    </row>
    <row r="430" spans="1:21">
      <c r="A430" s="82"/>
      <c r="B430" s="83"/>
      <c r="C430" s="82"/>
      <c r="D430" s="82"/>
      <c r="E430" s="82"/>
      <c r="F430" s="82"/>
      <c r="G430" s="82"/>
      <c r="H430" s="83"/>
      <c r="I430" s="83"/>
      <c r="J430" s="83"/>
      <c r="K430" s="6"/>
      <c r="L430" s="6"/>
      <c r="M430" s="6"/>
      <c r="N430" s="6"/>
      <c r="O430" s="6"/>
      <c r="P430" s="6"/>
      <c r="Q430" s="6"/>
      <c r="R430" s="6"/>
      <c r="S430" s="6"/>
      <c r="T430" s="6"/>
      <c r="U430" s="6"/>
    </row>
    <row r="431" spans="1:21">
      <c r="A431" s="82"/>
      <c r="B431" s="83"/>
      <c r="C431" s="82"/>
      <c r="D431" s="82"/>
      <c r="E431" s="82"/>
      <c r="F431" s="82"/>
      <c r="G431" s="82"/>
      <c r="H431" s="83"/>
      <c r="I431" s="83"/>
      <c r="J431" s="83"/>
      <c r="K431" s="6"/>
      <c r="L431" s="6"/>
      <c r="M431" s="6"/>
      <c r="N431" s="6"/>
      <c r="O431" s="6"/>
      <c r="P431" s="6"/>
      <c r="Q431" s="6"/>
      <c r="R431" s="6"/>
      <c r="S431" s="6"/>
      <c r="T431" s="6"/>
      <c r="U431" s="6"/>
    </row>
    <row r="432" spans="1:21">
      <c r="A432" s="82"/>
      <c r="B432" s="83"/>
      <c r="C432" s="82"/>
      <c r="D432" s="82"/>
      <c r="E432" s="82"/>
      <c r="F432" s="82"/>
      <c r="G432" s="82"/>
      <c r="H432" s="83"/>
      <c r="I432" s="83"/>
      <c r="J432" s="83"/>
      <c r="K432" s="6"/>
      <c r="L432" s="6"/>
      <c r="M432" s="6"/>
      <c r="N432" s="6"/>
      <c r="O432" s="6"/>
      <c r="P432" s="6"/>
      <c r="Q432" s="6"/>
      <c r="R432" s="6"/>
      <c r="S432" s="6"/>
      <c r="T432" s="6"/>
      <c r="U432" s="6"/>
    </row>
    <row r="433" spans="1:21">
      <c r="A433" s="82"/>
      <c r="B433" s="83"/>
      <c r="C433" s="82"/>
      <c r="D433" s="82"/>
      <c r="E433" s="82"/>
      <c r="F433" s="82"/>
      <c r="G433" s="82"/>
      <c r="H433" s="83"/>
      <c r="I433" s="83"/>
      <c r="J433" s="83"/>
      <c r="K433" s="6"/>
      <c r="L433" s="6"/>
      <c r="M433" s="6"/>
      <c r="N433" s="6"/>
      <c r="O433" s="6"/>
      <c r="P433" s="6"/>
      <c r="Q433" s="6"/>
      <c r="R433" s="6"/>
      <c r="S433" s="6"/>
      <c r="T433" s="6"/>
      <c r="U433" s="6"/>
    </row>
    <row r="434" spans="1:21">
      <c r="A434" s="82"/>
      <c r="B434" s="83"/>
      <c r="C434" s="82"/>
      <c r="D434" s="82"/>
      <c r="E434" s="82"/>
      <c r="F434" s="82"/>
      <c r="G434" s="82"/>
      <c r="H434" s="83"/>
      <c r="I434" s="83"/>
      <c r="J434" s="83"/>
      <c r="K434" s="6"/>
      <c r="L434" s="6"/>
      <c r="M434" s="6"/>
      <c r="N434" s="6"/>
      <c r="O434" s="6"/>
      <c r="P434" s="6"/>
      <c r="Q434" s="6"/>
      <c r="R434" s="6"/>
      <c r="S434" s="6"/>
      <c r="T434" s="6"/>
      <c r="U434" s="6"/>
    </row>
    <row r="435" spans="1:21">
      <c r="A435" s="82"/>
      <c r="B435" s="83"/>
      <c r="C435" s="82"/>
      <c r="D435" s="82"/>
      <c r="E435" s="82"/>
      <c r="F435" s="82"/>
      <c r="G435" s="82"/>
      <c r="H435" s="83"/>
      <c r="I435" s="83"/>
      <c r="J435" s="83"/>
      <c r="K435" s="6"/>
      <c r="L435" s="6"/>
      <c r="M435" s="6"/>
      <c r="N435" s="6"/>
      <c r="O435" s="6"/>
      <c r="P435" s="6"/>
      <c r="Q435" s="6"/>
      <c r="R435" s="6"/>
      <c r="S435" s="6"/>
      <c r="T435" s="6"/>
      <c r="U435" s="6"/>
    </row>
    <row r="436" spans="1:21">
      <c r="A436" s="82"/>
      <c r="B436" s="83"/>
      <c r="C436" s="82"/>
      <c r="D436" s="82"/>
      <c r="E436" s="82"/>
      <c r="F436" s="82"/>
      <c r="G436" s="82"/>
      <c r="H436" s="83"/>
      <c r="I436" s="83"/>
      <c r="J436" s="83"/>
      <c r="K436" s="6"/>
      <c r="L436" s="6"/>
      <c r="M436" s="6"/>
      <c r="N436" s="6"/>
      <c r="O436" s="6"/>
      <c r="P436" s="6"/>
      <c r="Q436" s="6"/>
      <c r="R436" s="6"/>
      <c r="S436" s="6"/>
      <c r="T436" s="6"/>
      <c r="U436" s="6"/>
    </row>
    <row r="437" spans="1:21">
      <c r="A437" s="82"/>
      <c r="B437" s="83"/>
      <c r="C437" s="82"/>
      <c r="D437" s="82"/>
      <c r="E437" s="82"/>
      <c r="F437" s="82"/>
      <c r="G437" s="82"/>
      <c r="H437" s="83"/>
      <c r="I437" s="83"/>
      <c r="J437" s="83"/>
      <c r="K437" s="6"/>
      <c r="L437" s="6"/>
      <c r="M437" s="6"/>
      <c r="N437" s="6"/>
      <c r="O437" s="6"/>
      <c r="P437" s="6"/>
      <c r="Q437" s="6"/>
      <c r="R437" s="6"/>
      <c r="S437" s="6"/>
      <c r="T437" s="6"/>
      <c r="U437" s="6"/>
    </row>
    <row r="438" spans="1:21">
      <c r="A438" s="82"/>
      <c r="B438" s="83"/>
      <c r="C438" s="82"/>
      <c r="D438" s="82"/>
      <c r="E438" s="82"/>
      <c r="F438" s="82"/>
      <c r="G438" s="82"/>
      <c r="H438" s="83"/>
      <c r="I438" s="83"/>
      <c r="J438" s="83"/>
      <c r="K438" s="6"/>
      <c r="L438" s="6"/>
      <c r="M438" s="6"/>
      <c r="N438" s="6"/>
      <c r="O438" s="6"/>
      <c r="P438" s="6"/>
      <c r="Q438" s="6"/>
      <c r="R438" s="6"/>
      <c r="S438" s="6"/>
      <c r="T438" s="6"/>
      <c r="U438" s="6"/>
    </row>
    <row r="439" spans="1:21">
      <c r="A439" s="82"/>
      <c r="B439" s="83"/>
      <c r="C439" s="82"/>
      <c r="D439" s="82"/>
      <c r="E439" s="82"/>
      <c r="F439" s="82"/>
      <c r="G439" s="82"/>
      <c r="H439" s="83"/>
      <c r="I439" s="83"/>
      <c r="J439" s="83"/>
      <c r="K439" s="6"/>
      <c r="L439" s="6"/>
      <c r="M439" s="6"/>
      <c r="N439" s="6"/>
      <c r="O439" s="6"/>
      <c r="P439" s="6"/>
      <c r="Q439" s="6"/>
      <c r="R439" s="6"/>
      <c r="S439" s="6"/>
      <c r="T439" s="6"/>
      <c r="U439" s="6"/>
    </row>
    <row r="440" spans="1:21">
      <c r="A440" s="82"/>
      <c r="B440" s="83"/>
      <c r="C440" s="82"/>
      <c r="D440" s="82"/>
      <c r="E440" s="82"/>
      <c r="F440" s="82"/>
      <c r="G440" s="82"/>
      <c r="H440" s="83"/>
      <c r="I440" s="83"/>
      <c r="J440" s="83"/>
      <c r="K440" s="6"/>
      <c r="L440" s="6"/>
      <c r="M440" s="6"/>
      <c r="N440" s="6"/>
      <c r="O440" s="6"/>
      <c r="P440" s="6"/>
      <c r="Q440" s="6"/>
      <c r="R440" s="6"/>
      <c r="S440" s="6"/>
      <c r="T440" s="6"/>
      <c r="U440" s="6"/>
    </row>
    <row r="441" spans="1:21">
      <c r="A441" s="82"/>
      <c r="B441" s="83"/>
      <c r="C441" s="82"/>
      <c r="D441" s="82"/>
      <c r="E441" s="82"/>
      <c r="F441" s="82"/>
      <c r="G441" s="82"/>
      <c r="H441" s="83"/>
      <c r="I441" s="83"/>
      <c r="J441" s="83"/>
      <c r="K441" s="6"/>
      <c r="L441" s="6"/>
      <c r="M441" s="6"/>
      <c r="N441" s="6"/>
      <c r="O441" s="6"/>
      <c r="P441" s="6"/>
      <c r="Q441" s="6"/>
      <c r="R441" s="6"/>
      <c r="S441" s="6"/>
      <c r="T441" s="6"/>
      <c r="U441" s="6"/>
    </row>
    <row r="442" spans="1:21">
      <c r="A442" s="82"/>
      <c r="B442" s="83"/>
      <c r="C442" s="82"/>
      <c r="D442" s="82"/>
      <c r="E442" s="82"/>
      <c r="F442" s="82"/>
      <c r="G442" s="82"/>
      <c r="H442" s="83"/>
      <c r="I442" s="83"/>
      <c r="J442" s="83"/>
      <c r="K442" s="6"/>
      <c r="L442" s="6"/>
      <c r="M442" s="6"/>
      <c r="N442" s="6"/>
      <c r="O442" s="6"/>
      <c r="P442" s="6"/>
      <c r="Q442" s="6"/>
      <c r="R442" s="6"/>
      <c r="S442" s="6"/>
      <c r="T442" s="6"/>
      <c r="U442" s="6"/>
    </row>
    <row r="443" spans="1:21">
      <c r="A443" s="82"/>
      <c r="B443" s="83"/>
      <c r="C443" s="82"/>
      <c r="D443" s="82"/>
      <c r="E443" s="82"/>
      <c r="F443" s="82"/>
      <c r="G443" s="82"/>
      <c r="H443" s="83"/>
      <c r="I443" s="83"/>
      <c r="J443" s="83"/>
      <c r="K443" s="6"/>
      <c r="L443" s="6"/>
      <c r="M443" s="6"/>
      <c r="N443" s="6"/>
      <c r="O443" s="6"/>
      <c r="P443" s="6"/>
      <c r="Q443" s="6"/>
      <c r="R443" s="6"/>
      <c r="S443" s="6"/>
      <c r="T443" s="6"/>
      <c r="U443" s="6"/>
    </row>
    <row r="444" spans="1:21">
      <c r="A444" s="82"/>
      <c r="B444" s="83"/>
      <c r="C444" s="82"/>
      <c r="D444" s="82"/>
      <c r="E444" s="82"/>
      <c r="F444" s="82"/>
      <c r="G444" s="82"/>
      <c r="H444" s="83"/>
      <c r="I444" s="83"/>
      <c r="J444" s="83"/>
      <c r="K444" s="6"/>
      <c r="L444" s="6"/>
      <c r="M444" s="6"/>
      <c r="N444" s="6"/>
      <c r="O444" s="6"/>
      <c r="P444" s="6"/>
      <c r="Q444" s="6"/>
      <c r="R444" s="6"/>
      <c r="S444" s="6"/>
      <c r="T444" s="6"/>
      <c r="U444" s="6"/>
    </row>
    <row r="445" spans="1:21">
      <c r="A445" s="82"/>
      <c r="B445" s="83"/>
      <c r="C445" s="82"/>
      <c r="D445" s="82"/>
      <c r="E445" s="82"/>
      <c r="F445" s="82"/>
      <c r="G445" s="82"/>
      <c r="H445" s="83"/>
      <c r="I445" s="83"/>
      <c r="J445" s="83"/>
      <c r="K445" s="6"/>
      <c r="L445" s="6"/>
      <c r="M445" s="6"/>
      <c r="N445" s="6"/>
      <c r="O445" s="6"/>
      <c r="P445" s="6"/>
      <c r="Q445" s="6"/>
      <c r="R445" s="6"/>
      <c r="S445" s="6"/>
      <c r="T445" s="6"/>
      <c r="U445" s="6"/>
    </row>
    <row r="446" spans="1:21">
      <c r="A446" s="82"/>
      <c r="B446" s="83"/>
      <c r="C446" s="82"/>
      <c r="D446" s="82"/>
      <c r="E446" s="82"/>
      <c r="F446" s="82"/>
      <c r="G446" s="82"/>
      <c r="H446" s="83"/>
      <c r="I446" s="83"/>
      <c r="J446" s="83"/>
      <c r="K446" s="6"/>
      <c r="L446" s="6"/>
      <c r="M446" s="6"/>
      <c r="N446" s="6"/>
      <c r="O446" s="6"/>
      <c r="P446" s="6"/>
      <c r="Q446" s="6"/>
      <c r="R446" s="6"/>
      <c r="S446" s="6"/>
      <c r="T446" s="6"/>
      <c r="U446" s="6"/>
    </row>
    <row r="447" spans="1:21">
      <c r="A447" s="82"/>
      <c r="B447" s="83"/>
      <c r="C447" s="82"/>
      <c r="D447" s="82"/>
      <c r="E447" s="82"/>
      <c r="F447" s="82"/>
      <c r="G447" s="82"/>
      <c r="H447" s="83"/>
      <c r="I447" s="83"/>
      <c r="J447" s="83"/>
      <c r="K447" s="6"/>
      <c r="L447" s="6"/>
      <c r="M447" s="6"/>
      <c r="N447" s="6"/>
      <c r="O447" s="6"/>
      <c r="P447" s="6"/>
      <c r="Q447" s="6"/>
      <c r="R447" s="6"/>
      <c r="S447" s="6"/>
      <c r="T447" s="6"/>
      <c r="U447" s="6"/>
    </row>
    <row r="448" spans="1:21">
      <c r="A448" s="82"/>
      <c r="B448" s="83"/>
      <c r="C448" s="82"/>
      <c r="D448" s="82"/>
      <c r="E448" s="82"/>
      <c r="F448" s="82"/>
      <c r="G448" s="82"/>
      <c r="H448" s="83"/>
      <c r="I448" s="83"/>
      <c r="J448" s="83"/>
      <c r="K448" s="6"/>
      <c r="L448" s="6"/>
      <c r="M448" s="6"/>
      <c r="N448" s="6"/>
      <c r="O448" s="6"/>
      <c r="P448" s="6"/>
      <c r="Q448" s="6"/>
      <c r="R448" s="6"/>
      <c r="S448" s="6"/>
      <c r="T448" s="6"/>
      <c r="U448" s="6"/>
    </row>
    <row r="449" spans="1:21">
      <c r="A449" s="82"/>
      <c r="B449" s="83"/>
      <c r="C449" s="82"/>
      <c r="D449" s="82"/>
      <c r="E449" s="82"/>
      <c r="F449" s="82"/>
      <c r="G449" s="82"/>
      <c r="H449" s="83"/>
      <c r="I449" s="83"/>
      <c r="J449" s="83"/>
      <c r="K449" s="6"/>
      <c r="L449" s="6"/>
      <c r="M449" s="6"/>
      <c r="N449" s="6"/>
      <c r="O449" s="6"/>
      <c r="P449" s="6"/>
      <c r="Q449" s="6"/>
      <c r="R449" s="6"/>
      <c r="S449" s="6"/>
      <c r="T449" s="6"/>
      <c r="U449" s="6"/>
    </row>
    <row r="450" spans="1:21">
      <c r="A450" s="82"/>
      <c r="B450" s="83"/>
      <c r="C450" s="82"/>
      <c r="D450" s="82"/>
      <c r="E450" s="82"/>
      <c r="F450" s="82"/>
      <c r="G450" s="82"/>
      <c r="H450" s="83"/>
      <c r="I450" s="83"/>
      <c r="J450" s="83"/>
      <c r="K450" s="6"/>
      <c r="L450" s="6"/>
      <c r="M450" s="6"/>
      <c r="N450" s="6"/>
      <c r="O450" s="6"/>
      <c r="P450" s="6"/>
      <c r="Q450" s="6"/>
      <c r="R450" s="6"/>
      <c r="S450" s="6"/>
      <c r="T450" s="6"/>
      <c r="U450" s="6"/>
    </row>
    <row r="451" spans="1:21">
      <c r="A451" s="82"/>
      <c r="B451" s="83"/>
      <c r="C451" s="82"/>
      <c r="D451" s="82"/>
      <c r="E451" s="82"/>
      <c r="F451" s="82"/>
      <c r="G451" s="82"/>
      <c r="H451" s="83"/>
      <c r="I451" s="83"/>
      <c r="J451" s="83"/>
      <c r="K451" s="6"/>
      <c r="L451" s="6"/>
      <c r="M451" s="6"/>
      <c r="N451" s="6"/>
      <c r="O451" s="6"/>
      <c r="P451" s="6"/>
      <c r="Q451" s="6"/>
      <c r="R451" s="6"/>
      <c r="S451" s="6"/>
      <c r="T451" s="6"/>
      <c r="U451" s="6"/>
    </row>
    <row r="452" spans="1:21">
      <c r="A452" s="82"/>
      <c r="B452" s="83"/>
      <c r="C452" s="82"/>
      <c r="D452" s="82"/>
      <c r="E452" s="82"/>
      <c r="F452" s="82"/>
      <c r="G452" s="82"/>
      <c r="H452" s="83"/>
      <c r="I452" s="83"/>
      <c r="J452" s="83"/>
      <c r="K452" s="6"/>
      <c r="L452" s="6"/>
      <c r="M452" s="6"/>
      <c r="N452" s="6"/>
      <c r="O452" s="6"/>
      <c r="P452" s="6"/>
      <c r="Q452" s="6"/>
      <c r="R452" s="6"/>
      <c r="S452" s="6"/>
      <c r="T452" s="6"/>
      <c r="U452" s="6"/>
    </row>
    <row r="453" spans="1:21">
      <c r="A453" s="82"/>
      <c r="B453" s="83"/>
      <c r="C453" s="82"/>
      <c r="D453" s="82"/>
      <c r="E453" s="82"/>
      <c r="F453" s="82"/>
      <c r="G453" s="82"/>
      <c r="H453" s="83"/>
      <c r="I453" s="83"/>
      <c r="J453" s="83"/>
      <c r="K453" s="6"/>
      <c r="L453" s="6"/>
      <c r="M453" s="6"/>
      <c r="N453" s="6"/>
      <c r="O453" s="6"/>
      <c r="P453" s="6"/>
      <c r="Q453" s="6"/>
      <c r="R453" s="6"/>
      <c r="S453" s="6"/>
      <c r="T453" s="6"/>
      <c r="U453" s="6"/>
    </row>
    <row r="454" spans="1:21">
      <c r="A454" s="82"/>
      <c r="B454" s="83"/>
      <c r="C454" s="82"/>
      <c r="D454" s="82"/>
      <c r="E454" s="82"/>
      <c r="F454" s="82"/>
      <c r="G454" s="82"/>
      <c r="H454" s="83"/>
      <c r="I454" s="83"/>
      <c r="J454" s="83"/>
      <c r="K454" s="6"/>
      <c r="L454" s="6"/>
      <c r="M454" s="6"/>
      <c r="N454" s="6"/>
      <c r="O454" s="6"/>
      <c r="P454" s="6"/>
      <c r="Q454" s="6"/>
      <c r="R454" s="6"/>
      <c r="S454" s="6"/>
      <c r="T454" s="6"/>
      <c r="U454" s="6"/>
    </row>
    <row r="455" spans="1:21">
      <c r="A455" s="82"/>
      <c r="B455" s="83"/>
      <c r="C455" s="82"/>
      <c r="D455" s="82"/>
      <c r="E455" s="82"/>
      <c r="F455" s="82"/>
      <c r="G455" s="82"/>
      <c r="H455" s="83"/>
      <c r="I455" s="83"/>
      <c r="J455" s="83"/>
      <c r="K455" s="6"/>
      <c r="L455" s="6"/>
      <c r="M455" s="6"/>
      <c r="N455" s="6"/>
      <c r="O455" s="6"/>
      <c r="P455" s="6"/>
      <c r="Q455" s="6"/>
      <c r="R455" s="6"/>
      <c r="S455" s="6"/>
      <c r="T455" s="6"/>
      <c r="U455" s="6"/>
    </row>
    <row r="456" spans="1:21">
      <c r="A456" s="82"/>
      <c r="B456" s="83"/>
      <c r="C456" s="82"/>
      <c r="D456" s="82"/>
      <c r="E456" s="82"/>
      <c r="F456" s="82"/>
      <c r="G456" s="82"/>
      <c r="H456" s="83"/>
      <c r="I456" s="83"/>
      <c r="J456" s="83"/>
      <c r="K456" s="6"/>
      <c r="L456" s="6"/>
      <c r="M456" s="6"/>
      <c r="N456" s="6"/>
      <c r="O456" s="6"/>
      <c r="P456" s="6"/>
      <c r="Q456" s="6"/>
      <c r="R456" s="6"/>
      <c r="S456" s="6"/>
      <c r="T456" s="6"/>
      <c r="U456" s="6"/>
    </row>
    <row r="457" spans="1:21">
      <c r="A457" s="82"/>
      <c r="B457" s="83"/>
      <c r="C457" s="82"/>
      <c r="D457" s="82"/>
      <c r="E457" s="82"/>
      <c r="F457" s="82"/>
      <c r="G457" s="82"/>
      <c r="H457" s="83"/>
      <c r="I457" s="83"/>
      <c r="J457" s="83"/>
      <c r="K457" s="6"/>
      <c r="L457" s="6"/>
      <c r="M457" s="6"/>
      <c r="N457" s="6"/>
      <c r="O457" s="6"/>
      <c r="P457" s="6"/>
      <c r="Q457" s="6"/>
      <c r="R457" s="6"/>
      <c r="S457" s="6"/>
      <c r="T457" s="6"/>
      <c r="U457" s="6"/>
    </row>
    <row r="458" spans="1:21">
      <c r="A458" s="82"/>
      <c r="B458" s="83"/>
      <c r="C458" s="82"/>
      <c r="D458" s="82"/>
      <c r="E458" s="82"/>
      <c r="F458" s="82"/>
      <c r="G458" s="82"/>
      <c r="H458" s="83"/>
      <c r="I458" s="83"/>
      <c r="J458" s="83"/>
      <c r="K458" s="6"/>
      <c r="L458" s="6"/>
      <c r="M458" s="6"/>
      <c r="N458" s="6"/>
      <c r="O458" s="6"/>
      <c r="P458" s="6"/>
      <c r="Q458" s="6"/>
      <c r="R458" s="6"/>
      <c r="S458" s="6"/>
      <c r="T458" s="6"/>
      <c r="U458" s="6"/>
    </row>
    <row r="459" spans="1:21">
      <c r="A459" s="82"/>
      <c r="B459" s="83"/>
      <c r="C459" s="82"/>
      <c r="D459" s="82"/>
      <c r="E459" s="82"/>
      <c r="F459" s="82"/>
      <c r="G459" s="82"/>
      <c r="H459" s="83"/>
      <c r="I459" s="83"/>
      <c r="J459" s="83"/>
      <c r="K459" s="6"/>
      <c r="L459" s="6"/>
      <c r="M459" s="6"/>
      <c r="N459" s="6"/>
      <c r="O459" s="6"/>
      <c r="P459" s="6"/>
      <c r="Q459" s="6"/>
      <c r="R459" s="6"/>
      <c r="S459" s="6"/>
      <c r="T459" s="6"/>
      <c r="U459" s="6"/>
    </row>
    <row r="460" spans="1:21">
      <c r="A460" s="82"/>
      <c r="B460" s="83"/>
      <c r="C460" s="82"/>
      <c r="D460" s="82"/>
      <c r="E460" s="82"/>
      <c r="F460" s="82"/>
      <c r="G460" s="82"/>
      <c r="H460" s="83"/>
      <c r="I460" s="83"/>
      <c r="J460" s="83"/>
      <c r="K460" s="6"/>
      <c r="L460" s="6"/>
      <c r="M460" s="6"/>
      <c r="N460" s="6"/>
      <c r="O460" s="6"/>
      <c r="P460" s="6"/>
      <c r="Q460" s="6"/>
      <c r="R460" s="6"/>
      <c r="S460" s="6"/>
      <c r="T460" s="6"/>
      <c r="U460" s="6"/>
    </row>
    <row r="461" spans="1:21">
      <c r="A461" s="82"/>
      <c r="B461" s="83"/>
      <c r="C461" s="82"/>
      <c r="D461" s="82"/>
      <c r="E461" s="82"/>
      <c r="F461" s="82"/>
      <c r="G461" s="82"/>
      <c r="H461" s="83"/>
      <c r="I461" s="83"/>
      <c r="J461" s="83"/>
      <c r="K461" s="6"/>
      <c r="L461" s="6"/>
      <c r="M461" s="6"/>
      <c r="N461" s="6"/>
      <c r="O461" s="6"/>
      <c r="P461" s="6"/>
      <c r="Q461" s="6"/>
      <c r="R461" s="6"/>
      <c r="S461" s="6"/>
      <c r="T461" s="6"/>
      <c r="U461" s="6"/>
    </row>
    <row r="462" spans="1:21">
      <c r="A462" s="82"/>
      <c r="B462" s="83"/>
      <c r="C462" s="82"/>
      <c r="D462" s="82"/>
      <c r="E462" s="82"/>
      <c r="F462" s="82"/>
      <c r="G462" s="82"/>
      <c r="H462" s="83"/>
      <c r="I462" s="83"/>
      <c r="J462" s="83"/>
      <c r="K462" s="6"/>
      <c r="L462" s="6"/>
      <c r="M462" s="6"/>
      <c r="N462" s="6"/>
      <c r="O462" s="6"/>
      <c r="P462" s="6"/>
      <c r="Q462" s="6"/>
      <c r="R462" s="6"/>
      <c r="S462" s="6"/>
      <c r="T462" s="6"/>
      <c r="U462" s="6"/>
    </row>
    <row r="463" spans="1:21">
      <c r="A463" s="82"/>
      <c r="B463" s="83"/>
      <c r="C463" s="82"/>
      <c r="D463" s="82"/>
      <c r="E463" s="82"/>
      <c r="F463" s="82"/>
      <c r="G463" s="82"/>
      <c r="H463" s="83"/>
      <c r="I463" s="83"/>
      <c r="J463" s="83"/>
      <c r="K463" s="6"/>
      <c r="L463" s="6"/>
      <c r="M463" s="6"/>
      <c r="N463" s="6"/>
      <c r="O463" s="6"/>
      <c r="P463" s="6"/>
      <c r="Q463" s="6"/>
      <c r="R463" s="6"/>
      <c r="S463" s="6"/>
      <c r="T463" s="6"/>
      <c r="U463" s="6"/>
    </row>
    <row r="464" spans="1:21">
      <c r="A464" s="82"/>
      <c r="B464" s="83"/>
      <c r="C464" s="82"/>
      <c r="D464" s="82"/>
      <c r="E464" s="82"/>
      <c r="F464" s="82"/>
      <c r="G464" s="82"/>
      <c r="H464" s="83"/>
      <c r="I464" s="83"/>
      <c r="J464" s="83"/>
      <c r="K464" s="6"/>
      <c r="L464" s="6"/>
      <c r="M464" s="6"/>
      <c r="N464" s="6"/>
      <c r="O464" s="6"/>
      <c r="P464" s="6"/>
      <c r="Q464" s="6"/>
      <c r="R464" s="6"/>
      <c r="S464" s="6"/>
      <c r="T464" s="6"/>
      <c r="U464" s="6"/>
    </row>
    <row r="465" spans="1:21">
      <c r="A465" s="82"/>
      <c r="B465" s="83"/>
      <c r="C465" s="82"/>
      <c r="D465" s="82"/>
      <c r="E465" s="82"/>
      <c r="F465" s="82"/>
      <c r="G465" s="82"/>
      <c r="H465" s="83"/>
      <c r="I465" s="83"/>
      <c r="J465" s="83"/>
      <c r="K465" s="6"/>
      <c r="L465" s="6"/>
      <c r="M465" s="6"/>
      <c r="N465" s="6"/>
      <c r="O465" s="6"/>
      <c r="P465" s="6"/>
      <c r="Q465" s="6"/>
      <c r="R465" s="6"/>
      <c r="S465" s="6"/>
      <c r="T465" s="6"/>
      <c r="U465" s="6"/>
    </row>
    <row r="466" spans="1:21">
      <c r="A466" s="82"/>
      <c r="B466" s="83"/>
      <c r="C466" s="82"/>
      <c r="D466" s="82"/>
      <c r="E466" s="82"/>
      <c r="F466" s="82"/>
      <c r="G466" s="82"/>
      <c r="H466" s="83"/>
      <c r="I466" s="83"/>
      <c r="J466" s="83"/>
      <c r="K466" s="6"/>
      <c r="L466" s="6"/>
      <c r="M466" s="6"/>
      <c r="N466" s="6"/>
      <c r="O466" s="6"/>
      <c r="P466" s="6"/>
      <c r="Q466" s="6"/>
      <c r="R466" s="6"/>
      <c r="S466" s="6"/>
      <c r="T466" s="6"/>
      <c r="U466" s="6"/>
    </row>
    <row r="467" spans="1:21">
      <c r="A467" s="82"/>
      <c r="B467" s="83"/>
      <c r="C467" s="82"/>
      <c r="D467" s="82"/>
      <c r="E467" s="82"/>
      <c r="F467" s="82"/>
      <c r="G467" s="82"/>
      <c r="H467" s="83"/>
      <c r="I467" s="83"/>
      <c r="J467" s="83"/>
      <c r="K467" s="6"/>
      <c r="L467" s="6"/>
      <c r="M467" s="6"/>
      <c r="N467" s="6"/>
      <c r="O467" s="6"/>
      <c r="P467" s="6"/>
      <c r="Q467" s="6"/>
      <c r="R467" s="6"/>
      <c r="S467" s="6"/>
      <c r="T467" s="6"/>
      <c r="U467" s="6"/>
    </row>
    <row r="468" spans="1:21">
      <c r="A468" s="82"/>
      <c r="B468" s="83"/>
      <c r="C468" s="82"/>
      <c r="D468" s="82"/>
      <c r="E468" s="82"/>
      <c r="F468" s="82"/>
      <c r="G468" s="82"/>
      <c r="H468" s="83"/>
      <c r="I468" s="83"/>
      <c r="J468" s="83"/>
      <c r="K468" s="6"/>
      <c r="L468" s="6"/>
      <c r="M468" s="6"/>
      <c r="N468" s="6"/>
      <c r="O468" s="6"/>
      <c r="P468" s="6"/>
      <c r="Q468" s="6"/>
      <c r="R468" s="6"/>
      <c r="S468" s="6"/>
      <c r="T468" s="6"/>
      <c r="U468" s="6"/>
    </row>
    <row r="469" spans="1:21">
      <c r="A469" s="82"/>
      <c r="B469" s="83"/>
      <c r="C469" s="82"/>
      <c r="D469" s="82"/>
      <c r="E469" s="82"/>
      <c r="F469" s="82"/>
      <c r="G469" s="82"/>
      <c r="H469" s="83"/>
      <c r="I469" s="83"/>
      <c r="J469" s="83"/>
      <c r="K469" s="6"/>
      <c r="L469" s="6"/>
      <c r="M469" s="6"/>
      <c r="N469" s="6"/>
      <c r="O469" s="6"/>
      <c r="P469" s="6"/>
      <c r="Q469" s="6"/>
      <c r="R469" s="6"/>
      <c r="S469" s="6"/>
      <c r="T469" s="6"/>
      <c r="U469" s="6"/>
    </row>
    <row r="470" spans="1:21">
      <c r="A470" s="82"/>
      <c r="B470" s="83"/>
      <c r="C470" s="82"/>
      <c r="D470" s="82"/>
      <c r="E470" s="82"/>
      <c r="F470" s="82"/>
      <c r="G470" s="82"/>
      <c r="H470" s="83"/>
      <c r="I470" s="83"/>
      <c r="J470" s="83"/>
      <c r="K470" s="6"/>
      <c r="L470" s="6"/>
      <c r="M470" s="6"/>
      <c r="N470" s="6"/>
      <c r="O470" s="6"/>
      <c r="P470" s="6"/>
      <c r="Q470" s="6"/>
      <c r="R470" s="6"/>
      <c r="S470" s="6"/>
      <c r="T470" s="6"/>
      <c r="U470" s="6"/>
    </row>
    <row r="471" spans="1:21">
      <c r="A471" s="82"/>
      <c r="B471" s="83"/>
      <c r="C471" s="82"/>
      <c r="D471" s="82"/>
      <c r="E471" s="82"/>
      <c r="F471" s="82"/>
      <c r="G471" s="82"/>
      <c r="H471" s="83"/>
      <c r="I471" s="83"/>
      <c r="J471" s="83"/>
      <c r="K471" s="6"/>
      <c r="L471" s="6"/>
      <c r="M471" s="6"/>
      <c r="N471" s="6"/>
      <c r="O471" s="6"/>
      <c r="P471" s="6"/>
      <c r="Q471" s="6"/>
      <c r="R471" s="6"/>
      <c r="S471" s="6"/>
      <c r="T471" s="6"/>
      <c r="U471" s="6"/>
    </row>
    <row r="472" spans="1:21">
      <c r="A472" s="82"/>
      <c r="B472" s="83"/>
      <c r="C472" s="82"/>
      <c r="D472" s="82"/>
      <c r="E472" s="82"/>
      <c r="F472" s="82"/>
      <c r="G472" s="82"/>
      <c r="H472" s="83"/>
      <c r="I472" s="83"/>
      <c r="J472" s="83"/>
      <c r="K472" s="6"/>
      <c r="L472" s="6"/>
      <c r="M472" s="6"/>
      <c r="N472" s="6"/>
      <c r="O472" s="6"/>
      <c r="P472" s="6"/>
      <c r="Q472" s="6"/>
      <c r="R472" s="6"/>
      <c r="S472" s="6"/>
      <c r="T472" s="6"/>
      <c r="U472" s="6"/>
    </row>
    <row r="473" spans="1:21">
      <c r="A473" s="82"/>
      <c r="B473" s="83"/>
      <c r="C473" s="82"/>
      <c r="D473" s="82"/>
      <c r="E473" s="82"/>
      <c r="F473" s="82"/>
      <c r="G473" s="82"/>
      <c r="H473" s="83"/>
      <c r="I473" s="83"/>
      <c r="J473" s="83"/>
      <c r="K473" s="6"/>
      <c r="L473" s="6"/>
      <c r="M473" s="6"/>
      <c r="N473" s="6"/>
      <c r="O473" s="6"/>
      <c r="P473" s="6"/>
      <c r="Q473" s="6"/>
      <c r="R473" s="6"/>
      <c r="S473" s="6"/>
      <c r="T473" s="6"/>
      <c r="U473" s="6"/>
    </row>
    <row r="474" spans="1:21">
      <c r="A474" s="82"/>
      <c r="B474" s="83"/>
      <c r="C474" s="82"/>
      <c r="D474" s="82"/>
      <c r="E474" s="82"/>
      <c r="F474" s="82"/>
      <c r="G474" s="82"/>
      <c r="H474" s="83"/>
      <c r="I474" s="83"/>
      <c r="J474" s="83"/>
      <c r="K474" s="6"/>
      <c r="L474" s="6"/>
      <c r="M474" s="6"/>
      <c r="N474" s="6"/>
      <c r="O474" s="6"/>
      <c r="P474" s="6"/>
      <c r="Q474" s="6"/>
      <c r="R474" s="6"/>
      <c r="S474" s="6"/>
      <c r="T474" s="6"/>
      <c r="U474" s="6"/>
    </row>
    <row r="475" spans="1:21">
      <c r="A475" s="82"/>
      <c r="B475" s="83"/>
      <c r="C475" s="82"/>
      <c r="D475" s="82"/>
      <c r="E475" s="82"/>
      <c r="F475" s="82"/>
      <c r="G475" s="82"/>
      <c r="H475" s="83"/>
      <c r="I475" s="83"/>
      <c r="J475" s="83"/>
      <c r="K475" s="6"/>
      <c r="L475" s="6"/>
      <c r="M475" s="6"/>
      <c r="N475" s="6"/>
      <c r="O475" s="6"/>
      <c r="P475" s="6"/>
      <c r="Q475" s="6"/>
      <c r="R475" s="6"/>
      <c r="S475" s="6"/>
      <c r="T475" s="6"/>
      <c r="U475" s="6"/>
    </row>
    <row r="476" spans="1:21">
      <c r="A476" s="82"/>
      <c r="B476" s="83"/>
      <c r="C476" s="82"/>
      <c r="D476" s="82"/>
      <c r="E476" s="82"/>
      <c r="F476" s="82"/>
      <c r="G476" s="82"/>
      <c r="H476" s="83"/>
      <c r="I476" s="83"/>
      <c r="J476" s="83"/>
      <c r="K476" s="6"/>
      <c r="L476" s="6"/>
      <c r="M476" s="6"/>
      <c r="N476" s="6"/>
      <c r="O476" s="6"/>
      <c r="P476" s="6"/>
      <c r="Q476" s="6"/>
      <c r="R476" s="6"/>
      <c r="S476" s="6"/>
      <c r="T476" s="6"/>
      <c r="U476" s="6"/>
    </row>
    <row r="477" spans="1:21">
      <c r="A477" s="82"/>
      <c r="B477" s="83"/>
      <c r="C477" s="82"/>
      <c r="D477" s="82"/>
      <c r="E477" s="82"/>
      <c r="F477" s="82"/>
      <c r="G477" s="82"/>
      <c r="H477" s="83"/>
      <c r="I477" s="83"/>
      <c r="J477" s="83"/>
      <c r="K477" s="6"/>
      <c r="L477" s="6"/>
      <c r="M477" s="6"/>
      <c r="N477" s="6"/>
      <c r="O477" s="6"/>
      <c r="P477" s="6"/>
      <c r="Q477" s="6"/>
      <c r="R477" s="6"/>
      <c r="S477" s="6"/>
      <c r="T477" s="6"/>
      <c r="U477" s="6"/>
    </row>
    <row r="478" spans="1:21">
      <c r="A478" s="82"/>
      <c r="B478" s="83"/>
      <c r="C478" s="82"/>
      <c r="D478" s="82"/>
      <c r="E478" s="82"/>
      <c r="F478" s="82"/>
      <c r="G478" s="82"/>
      <c r="H478" s="83"/>
      <c r="I478" s="83"/>
      <c r="J478" s="83"/>
      <c r="K478" s="6"/>
      <c r="L478" s="6"/>
      <c r="M478" s="6"/>
      <c r="N478" s="6"/>
      <c r="O478" s="6"/>
      <c r="P478" s="6"/>
      <c r="Q478" s="6"/>
      <c r="R478" s="6"/>
      <c r="S478" s="6"/>
      <c r="T478" s="6"/>
      <c r="U478" s="6"/>
    </row>
    <row r="479" spans="1:21">
      <c r="A479" s="82"/>
      <c r="B479" s="83"/>
      <c r="C479" s="82"/>
      <c r="D479" s="82"/>
      <c r="E479" s="82"/>
      <c r="F479" s="82"/>
      <c r="G479" s="82"/>
      <c r="H479" s="83"/>
      <c r="I479" s="83"/>
      <c r="J479" s="83"/>
      <c r="K479" s="6"/>
      <c r="L479" s="6"/>
      <c r="M479" s="6"/>
      <c r="N479" s="6"/>
      <c r="O479" s="6"/>
      <c r="P479" s="6"/>
      <c r="Q479" s="6"/>
      <c r="R479" s="6"/>
      <c r="S479" s="6"/>
      <c r="T479" s="6"/>
      <c r="U479" s="6"/>
    </row>
    <row r="480" spans="1:21">
      <c r="A480" s="82"/>
      <c r="B480" s="83"/>
      <c r="C480" s="82"/>
      <c r="D480" s="82"/>
      <c r="E480" s="82"/>
      <c r="F480" s="82"/>
      <c r="G480" s="82"/>
      <c r="H480" s="83"/>
      <c r="I480" s="83"/>
      <c r="J480" s="83"/>
      <c r="K480" s="6"/>
      <c r="L480" s="6"/>
      <c r="M480" s="6"/>
      <c r="N480" s="6"/>
      <c r="O480" s="6"/>
      <c r="P480" s="6"/>
      <c r="Q480" s="6"/>
      <c r="R480" s="6"/>
      <c r="S480" s="6"/>
      <c r="T480" s="6"/>
      <c r="U480" s="6"/>
    </row>
    <row r="481" spans="1:21">
      <c r="A481" s="82"/>
      <c r="B481" s="83"/>
      <c r="C481" s="82"/>
      <c r="D481" s="82"/>
      <c r="E481" s="82"/>
      <c r="F481" s="82"/>
      <c r="G481" s="82"/>
      <c r="H481" s="83"/>
      <c r="I481" s="83"/>
      <c r="J481" s="83"/>
      <c r="K481" s="6"/>
      <c r="L481" s="6"/>
      <c r="M481" s="6"/>
      <c r="N481" s="6"/>
      <c r="O481" s="6"/>
      <c r="P481" s="6"/>
      <c r="Q481" s="6"/>
      <c r="R481" s="6"/>
      <c r="S481" s="6"/>
      <c r="T481" s="6"/>
      <c r="U481" s="6"/>
    </row>
    <row r="482" spans="1:21">
      <c r="A482" s="82"/>
      <c r="B482" s="83"/>
      <c r="C482" s="82"/>
      <c r="D482" s="82"/>
      <c r="E482" s="82"/>
      <c r="F482" s="82"/>
      <c r="G482" s="82"/>
      <c r="H482" s="83"/>
      <c r="I482" s="83"/>
      <c r="J482" s="83"/>
      <c r="K482" s="6"/>
      <c r="L482" s="6"/>
      <c r="M482" s="6"/>
      <c r="N482" s="6"/>
      <c r="O482" s="6"/>
      <c r="P482" s="6"/>
      <c r="Q482" s="6"/>
      <c r="R482" s="6"/>
      <c r="S482" s="6"/>
      <c r="T482" s="6"/>
      <c r="U482" s="6"/>
    </row>
    <row r="483" spans="1:21">
      <c r="A483" s="82"/>
      <c r="B483" s="83"/>
      <c r="C483" s="82"/>
      <c r="D483" s="82"/>
      <c r="E483" s="82"/>
      <c r="F483" s="82"/>
      <c r="G483" s="82"/>
      <c r="H483" s="83"/>
      <c r="I483" s="83"/>
      <c r="J483" s="83"/>
      <c r="K483" s="6"/>
      <c r="L483" s="6"/>
      <c r="M483" s="6"/>
      <c r="N483" s="6"/>
      <c r="O483" s="6"/>
      <c r="P483" s="6"/>
      <c r="Q483" s="6"/>
      <c r="R483" s="6"/>
      <c r="S483" s="6"/>
      <c r="T483" s="6"/>
      <c r="U483" s="6"/>
    </row>
    <row r="484" spans="1:21">
      <c r="A484" s="82"/>
      <c r="B484" s="83"/>
      <c r="C484" s="82"/>
      <c r="D484" s="82"/>
      <c r="E484" s="82"/>
      <c r="F484" s="82"/>
      <c r="G484" s="82"/>
      <c r="H484" s="83"/>
      <c r="I484" s="83"/>
      <c r="J484" s="83"/>
      <c r="K484" s="6"/>
      <c r="L484" s="6"/>
      <c r="M484" s="6"/>
      <c r="N484" s="6"/>
      <c r="O484" s="6"/>
      <c r="P484" s="6"/>
      <c r="Q484" s="6"/>
      <c r="R484" s="6"/>
      <c r="S484" s="6"/>
      <c r="T484" s="6"/>
      <c r="U484" s="6"/>
    </row>
    <row r="485" spans="1:21">
      <c r="A485" s="82"/>
      <c r="B485" s="83"/>
      <c r="C485" s="82"/>
      <c r="D485" s="82"/>
      <c r="E485" s="82"/>
      <c r="F485" s="82"/>
      <c r="G485" s="82"/>
      <c r="H485" s="83"/>
      <c r="I485" s="83"/>
      <c r="J485" s="83"/>
      <c r="K485" s="6"/>
      <c r="L485" s="6"/>
      <c r="M485" s="6"/>
      <c r="N485" s="6"/>
      <c r="O485" s="6"/>
      <c r="P485" s="6"/>
      <c r="Q485" s="6"/>
      <c r="R485" s="6"/>
      <c r="S485" s="6"/>
      <c r="T485" s="6"/>
      <c r="U485" s="6"/>
    </row>
    <row r="486" spans="1:21">
      <c r="A486" s="82"/>
      <c r="B486" s="83"/>
      <c r="C486" s="82"/>
      <c r="D486" s="82"/>
      <c r="E486" s="82"/>
      <c r="F486" s="82"/>
      <c r="G486" s="82"/>
      <c r="H486" s="83"/>
      <c r="I486" s="83"/>
      <c r="J486" s="83"/>
      <c r="K486" s="6"/>
      <c r="L486" s="6"/>
      <c r="M486" s="6"/>
      <c r="N486" s="6"/>
      <c r="O486" s="6"/>
      <c r="P486" s="6"/>
      <c r="Q486" s="6"/>
      <c r="R486" s="6"/>
      <c r="S486" s="6"/>
      <c r="T486" s="6"/>
      <c r="U486" s="6"/>
    </row>
    <row r="487" spans="1:21">
      <c r="A487" s="82"/>
      <c r="B487" s="83"/>
      <c r="C487" s="82"/>
      <c r="D487" s="82"/>
      <c r="E487" s="82"/>
      <c r="F487" s="82"/>
      <c r="G487" s="82"/>
      <c r="H487" s="83"/>
      <c r="I487" s="83"/>
      <c r="J487" s="83"/>
      <c r="K487" s="6"/>
      <c r="L487" s="6"/>
      <c r="M487" s="6"/>
      <c r="N487" s="6"/>
      <c r="O487" s="6"/>
      <c r="P487" s="6"/>
      <c r="Q487" s="6"/>
      <c r="R487" s="6"/>
      <c r="S487" s="6"/>
      <c r="T487" s="6"/>
      <c r="U487" s="6"/>
    </row>
    <row r="488" spans="1:21">
      <c r="A488" s="82"/>
      <c r="B488" s="83"/>
      <c r="C488" s="82"/>
      <c r="D488" s="82"/>
      <c r="E488" s="82"/>
      <c r="F488" s="82"/>
      <c r="G488" s="82"/>
      <c r="H488" s="83"/>
      <c r="I488" s="83"/>
      <c r="J488" s="83"/>
      <c r="K488" s="6"/>
      <c r="L488" s="6"/>
      <c r="M488" s="6"/>
      <c r="N488" s="6"/>
      <c r="O488" s="6"/>
      <c r="P488" s="6"/>
      <c r="Q488" s="6"/>
      <c r="R488" s="6"/>
      <c r="S488" s="6"/>
      <c r="T488" s="6"/>
      <c r="U488" s="6"/>
    </row>
    <row r="489" spans="1:21">
      <c r="A489" s="82"/>
      <c r="B489" s="83"/>
      <c r="C489" s="82"/>
      <c r="D489" s="82"/>
      <c r="E489" s="82"/>
      <c r="F489" s="82"/>
      <c r="G489" s="82"/>
      <c r="H489" s="83"/>
      <c r="I489" s="83"/>
      <c r="J489" s="83"/>
      <c r="K489" s="6"/>
      <c r="L489" s="6"/>
      <c r="M489" s="6"/>
      <c r="N489" s="6"/>
      <c r="O489" s="6"/>
      <c r="P489" s="6"/>
      <c r="Q489" s="6"/>
      <c r="R489" s="6"/>
      <c r="S489" s="6"/>
      <c r="T489" s="6"/>
      <c r="U489" s="6"/>
    </row>
    <row r="490" spans="1:21">
      <c r="A490" s="82"/>
      <c r="B490" s="83"/>
      <c r="C490" s="82"/>
      <c r="D490" s="82"/>
      <c r="E490" s="82"/>
      <c r="F490" s="82"/>
      <c r="G490" s="82"/>
      <c r="H490" s="83"/>
      <c r="I490" s="83"/>
      <c r="J490" s="83"/>
      <c r="K490" s="6"/>
      <c r="L490" s="6"/>
      <c r="M490" s="6"/>
      <c r="N490" s="6"/>
      <c r="O490" s="6"/>
      <c r="P490" s="6"/>
      <c r="Q490" s="6"/>
      <c r="R490" s="6"/>
      <c r="S490" s="6"/>
      <c r="T490" s="6"/>
      <c r="U490" s="6"/>
    </row>
    <row r="491" spans="1:21">
      <c r="A491" s="82"/>
      <c r="B491" s="83"/>
      <c r="C491" s="82"/>
      <c r="D491" s="82"/>
      <c r="E491" s="82"/>
      <c r="F491" s="82"/>
      <c r="G491" s="82"/>
      <c r="H491" s="83"/>
      <c r="I491" s="83"/>
      <c r="J491" s="83"/>
      <c r="K491" s="6"/>
      <c r="L491" s="6"/>
      <c r="M491" s="6"/>
      <c r="N491" s="6"/>
      <c r="O491" s="6"/>
      <c r="P491" s="6"/>
      <c r="Q491" s="6"/>
      <c r="R491" s="6"/>
      <c r="S491" s="6"/>
      <c r="T491" s="6"/>
      <c r="U491" s="6"/>
    </row>
    <row r="492" spans="1:21">
      <c r="A492" s="82"/>
      <c r="B492" s="83"/>
      <c r="C492" s="82"/>
      <c r="D492" s="82"/>
      <c r="E492" s="82"/>
      <c r="F492" s="82"/>
      <c r="G492" s="82"/>
      <c r="H492" s="83"/>
      <c r="I492" s="83"/>
      <c r="J492" s="83"/>
      <c r="K492" s="6"/>
      <c r="L492" s="6"/>
      <c r="M492" s="6"/>
      <c r="N492" s="6"/>
      <c r="O492" s="6"/>
      <c r="P492" s="6"/>
      <c r="Q492" s="6"/>
      <c r="R492" s="6"/>
      <c r="S492" s="6"/>
      <c r="T492" s="6"/>
      <c r="U492" s="6"/>
    </row>
    <row r="493" spans="1:21">
      <c r="A493" s="82"/>
      <c r="B493" s="83"/>
      <c r="C493" s="82"/>
      <c r="D493" s="82"/>
      <c r="E493" s="82"/>
      <c r="F493" s="82"/>
      <c r="G493" s="82"/>
      <c r="H493" s="83"/>
      <c r="I493" s="83"/>
      <c r="J493" s="83"/>
      <c r="K493" s="6"/>
      <c r="L493" s="6"/>
      <c r="M493" s="6"/>
      <c r="N493" s="6"/>
      <c r="O493" s="6"/>
      <c r="P493" s="6"/>
      <c r="Q493" s="6"/>
      <c r="R493" s="6"/>
      <c r="S493" s="6"/>
      <c r="T493" s="6"/>
      <c r="U493" s="6"/>
    </row>
    <row r="494" spans="1:21">
      <c r="A494" s="82"/>
      <c r="B494" s="83"/>
      <c r="C494" s="82"/>
      <c r="D494" s="82"/>
      <c r="E494" s="82"/>
      <c r="F494" s="82"/>
      <c r="G494" s="82"/>
      <c r="H494" s="83"/>
      <c r="I494" s="83"/>
      <c r="J494" s="83"/>
      <c r="K494" s="6"/>
      <c r="L494" s="6"/>
      <c r="M494" s="6"/>
      <c r="N494" s="6"/>
      <c r="O494" s="6"/>
      <c r="P494" s="6"/>
      <c r="Q494" s="6"/>
      <c r="R494" s="6"/>
      <c r="S494" s="6"/>
      <c r="T494" s="6"/>
      <c r="U494" s="6"/>
    </row>
    <row r="495" spans="1:21">
      <c r="A495" s="82"/>
      <c r="B495" s="83"/>
      <c r="C495" s="82"/>
      <c r="D495" s="82"/>
      <c r="E495" s="82"/>
      <c r="F495" s="82"/>
      <c r="G495" s="82"/>
      <c r="H495" s="83"/>
      <c r="I495" s="83"/>
      <c r="J495" s="83"/>
      <c r="K495" s="6"/>
      <c r="L495" s="6"/>
      <c r="M495" s="6"/>
      <c r="N495" s="6"/>
      <c r="O495" s="6"/>
      <c r="P495" s="6"/>
      <c r="Q495" s="6"/>
      <c r="R495" s="6"/>
      <c r="S495" s="6"/>
      <c r="T495" s="6"/>
      <c r="U495" s="6"/>
    </row>
    <row r="496" spans="1:21">
      <c r="A496" s="82"/>
      <c r="B496" s="83"/>
      <c r="C496" s="82"/>
      <c r="D496" s="82"/>
      <c r="E496" s="82"/>
      <c r="F496" s="82"/>
      <c r="G496" s="82"/>
      <c r="H496" s="83"/>
      <c r="I496" s="83"/>
      <c r="J496" s="83"/>
      <c r="K496" s="6"/>
      <c r="L496" s="6"/>
      <c r="M496" s="6"/>
      <c r="N496" s="6"/>
      <c r="O496" s="6"/>
      <c r="P496" s="6"/>
      <c r="Q496" s="6"/>
      <c r="R496" s="6"/>
      <c r="S496" s="6"/>
      <c r="T496" s="6"/>
      <c r="U496" s="6"/>
    </row>
    <row r="497" spans="1:21">
      <c r="A497" s="82"/>
      <c r="B497" s="83"/>
      <c r="C497" s="82"/>
      <c r="D497" s="82"/>
      <c r="E497" s="82"/>
      <c r="F497" s="82"/>
      <c r="G497" s="82"/>
      <c r="H497" s="83"/>
      <c r="I497" s="83"/>
      <c r="J497" s="83"/>
      <c r="K497" s="6"/>
      <c r="L497" s="6"/>
      <c r="M497" s="6"/>
      <c r="N497" s="6"/>
      <c r="O497" s="6"/>
      <c r="P497" s="6"/>
      <c r="Q497" s="6"/>
      <c r="R497" s="6"/>
      <c r="S497" s="6"/>
      <c r="T497" s="6"/>
      <c r="U497" s="6"/>
    </row>
    <row r="498" spans="1:21">
      <c r="A498" s="82"/>
      <c r="B498" s="83"/>
      <c r="C498" s="82"/>
      <c r="D498" s="82"/>
      <c r="E498" s="82"/>
      <c r="F498" s="82"/>
      <c r="G498" s="82"/>
      <c r="H498" s="83"/>
      <c r="I498" s="83"/>
      <c r="J498" s="83"/>
      <c r="K498" s="6"/>
      <c r="L498" s="6"/>
      <c r="M498" s="6"/>
      <c r="N498" s="6"/>
      <c r="O498" s="6"/>
      <c r="P498" s="6"/>
      <c r="Q498" s="6"/>
      <c r="R498" s="6"/>
      <c r="S498" s="6"/>
      <c r="T498" s="6"/>
      <c r="U498" s="6"/>
    </row>
    <row r="499" spans="1:21">
      <c r="A499" s="82"/>
      <c r="B499" s="83"/>
      <c r="C499" s="82"/>
      <c r="D499" s="82"/>
      <c r="E499" s="82"/>
      <c r="F499" s="82"/>
      <c r="G499" s="82"/>
      <c r="H499" s="83"/>
      <c r="I499" s="83"/>
      <c r="J499" s="83"/>
      <c r="K499" s="6"/>
      <c r="L499" s="6"/>
      <c r="M499" s="6"/>
      <c r="N499" s="6"/>
      <c r="O499" s="6"/>
      <c r="P499" s="6"/>
      <c r="Q499" s="6"/>
      <c r="R499" s="6"/>
      <c r="S499" s="6"/>
      <c r="T499" s="6"/>
      <c r="U499" s="6"/>
    </row>
    <row r="500" spans="1:21">
      <c r="A500" s="82"/>
      <c r="B500" s="83"/>
      <c r="C500" s="82"/>
      <c r="D500" s="82"/>
      <c r="E500" s="82"/>
      <c r="F500" s="82"/>
      <c r="G500" s="82"/>
      <c r="H500" s="83"/>
      <c r="I500" s="83"/>
      <c r="J500" s="83"/>
      <c r="K500" s="6"/>
      <c r="L500" s="6"/>
      <c r="M500" s="6"/>
      <c r="N500" s="6"/>
      <c r="O500" s="6"/>
      <c r="P500" s="6"/>
      <c r="Q500" s="6"/>
      <c r="R500" s="6"/>
      <c r="S500" s="6"/>
      <c r="T500" s="6"/>
      <c r="U500" s="6"/>
    </row>
    <row r="501" spans="1:21">
      <c r="A501" s="82"/>
      <c r="B501" s="83"/>
      <c r="C501" s="82"/>
      <c r="D501" s="82"/>
      <c r="E501" s="82"/>
      <c r="F501" s="82"/>
      <c r="G501" s="82"/>
      <c r="H501" s="83"/>
      <c r="I501" s="83"/>
      <c r="J501" s="83"/>
      <c r="K501" s="6"/>
      <c r="L501" s="6"/>
      <c r="M501" s="6"/>
      <c r="N501" s="6"/>
      <c r="O501" s="6"/>
      <c r="P501" s="6"/>
      <c r="Q501" s="6"/>
      <c r="R501" s="6"/>
      <c r="S501" s="6"/>
      <c r="T501" s="6"/>
      <c r="U501" s="6"/>
    </row>
    <row r="502" spans="1:21">
      <c r="A502" s="82"/>
      <c r="B502" s="83"/>
      <c r="C502" s="82"/>
      <c r="D502" s="82"/>
      <c r="E502" s="82"/>
      <c r="F502" s="82"/>
      <c r="G502" s="82"/>
      <c r="H502" s="83"/>
      <c r="I502" s="83"/>
      <c r="J502" s="83"/>
      <c r="K502" s="6"/>
      <c r="L502" s="6"/>
      <c r="M502" s="6"/>
      <c r="N502" s="6"/>
      <c r="O502" s="6"/>
      <c r="P502" s="6"/>
      <c r="Q502" s="6"/>
      <c r="R502" s="6"/>
      <c r="S502" s="6"/>
      <c r="T502" s="6"/>
      <c r="U502" s="6"/>
    </row>
    <row r="503" spans="1:21">
      <c r="A503" s="82"/>
      <c r="B503" s="83"/>
      <c r="C503" s="82"/>
      <c r="D503" s="82"/>
      <c r="E503" s="82"/>
      <c r="F503" s="82"/>
      <c r="G503" s="82"/>
      <c r="H503" s="83"/>
      <c r="I503" s="83"/>
      <c r="J503" s="83"/>
      <c r="K503" s="6"/>
      <c r="L503" s="6"/>
      <c r="M503" s="6"/>
      <c r="N503" s="6"/>
      <c r="O503" s="6"/>
      <c r="P503" s="6"/>
      <c r="Q503" s="6"/>
      <c r="R503" s="6"/>
      <c r="S503" s="6"/>
      <c r="T503" s="6"/>
      <c r="U503" s="6"/>
    </row>
    <row r="504" spans="1:21">
      <c r="A504" s="82"/>
      <c r="B504" s="83"/>
      <c r="C504" s="82"/>
      <c r="D504" s="82"/>
      <c r="E504" s="82"/>
      <c r="F504" s="82"/>
      <c r="G504" s="82"/>
      <c r="H504" s="83"/>
      <c r="I504" s="83"/>
      <c r="J504" s="83"/>
      <c r="K504" s="6"/>
      <c r="L504" s="6"/>
      <c r="M504" s="6"/>
      <c r="N504" s="6"/>
      <c r="O504" s="6"/>
      <c r="P504" s="6"/>
      <c r="Q504" s="6"/>
      <c r="R504" s="6"/>
      <c r="S504" s="6"/>
      <c r="T504" s="6"/>
      <c r="U504" s="6"/>
    </row>
    <row r="505" spans="1:21">
      <c r="A505" s="82"/>
      <c r="B505" s="83"/>
      <c r="C505" s="82"/>
      <c r="D505" s="82"/>
      <c r="E505" s="82"/>
      <c r="F505" s="82"/>
      <c r="G505" s="82"/>
      <c r="H505" s="83"/>
      <c r="I505" s="83"/>
      <c r="J505" s="83"/>
      <c r="K505" s="6"/>
      <c r="L505" s="6"/>
      <c r="M505" s="6"/>
      <c r="N505" s="6"/>
      <c r="O505" s="6"/>
      <c r="P505" s="6"/>
      <c r="Q505" s="6"/>
      <c r="R505" s="6"/>
      <c r="S505" s="6"/>
      <c r="T505" s="6"/>
      <c r="U505" s="6"/>
    </row>
    <row r="506" spans="1:21">
      <c r="A506" s="82"/>
      <c r="B506" s="83"/>
      <c r="C506" s="82"/>
      <c r="D506" s="82"/>
      <c r="E506" s="82"/>
      <c r="F506" s="82"/>
      <c r="G506" s="82"/>
      <c r="H506" s="83"/>
      <c r="I506" s="83"/>
      <c r="J506" s="83"/>
      <c r="K506" s="6"/>
      <c r="L506" s="6"/>
      <c r="M506" s="6"/>
      <c r="N506" s="6"/>
      <c r="O506" s="6"/>
      <c r="P506" s="6"/>
      <c r="Q506" s="6"/>
      <c r="R506" s="6"/>
      <c r="S506" s="6"/>
      <c r="T506" s="6"/>
      <c r="U506" s="6"/>
    </row>
    <row r="507" spans="1:21">
      <c r="A507" s="82"/>
      <c r="B507" s="83"/>
      <c r="C507" s="82"/>
      <c r="D507" s="82"/>
      <c r="E507" s="82"/>
      <c r="F507" s="82"/>
      <c r="G507" s="82"/>
      <c r="H507" s="83"/>
      <c r="I507" s="83"/>
      <c r="J507" s="83"/>
      <c r="K507" s="6"/>
      <c r="L507" s="6"/>
      <c r="M507" s="6"/>
      <c r="N507" s="6"/>
      <c r="O507" s="6"/>
      <c r="P507" s="6"/>
      <c r="Q507" s="6"/>
      <c r="R507" s="6"/>
      <c r="S507" s="6"/>
      <c r="T507" s="6"/>
      <c r="U507" s="6"/>
    </row>
    <row r="508" spans="1:21">
      <c r="A508" s="82"/>
      <c r="B508" s="83"/>
      <c r="C508" s="82"/>
      <c r="D508" s="82"/>
      <c r="E508" s="82"/>
      <c r="F508" s="82"/>
      <c r="G508" s="82"/>
      <c r="H508" s="83"/>
      <c r="I508" s="83"/>
      <c r="J508" s="83"/>
      <c r="K508" s="6"/>
      <c r="L508" s="6"/>
      <c r="M508" s="6"/>
      <c r="N508" s="6"/>
      <c r="O508" s="6"/>
      <c r="P508" s="6"/>
      <c r="Q508" s="6"/>
      <c r="R508" s="6"/>
      <c r="S508" s="6"/>
      <c r="T508" s="6"/>
      <c r="U508" s="6"/>
    </row>
    <row r="509" spans="1:21">
      <c r="A509" s="82"/>
      <c r="B509" s="83"/>
      <c r="C509" s="82"/>
      <c r="D509" s="82"/>
      <c r="E509" s="82"/>
      <c r="F509" s="82"/>
      <c r="G509" s="82"/>
      <c r="H509" s="83"/>
      <c r="I509" s="83"/>
      <c r="J509" s="83"/>
      <c r="K509" s="6"/>
      <c r="L509" s="6"/>
      <c r="M509" s="6"/>
      <c r="N509" s="6"/>
      <c r="O509" s="6"/>
      <c r="P509" s="6"/>
      <c r="Q509" s="6"/>
      <c r="R509" s="6"/>
      <c r="S509" s="6"/>
      <c r="T509" s="6"/>
      <c r="U509" s="6"/>
    </row>
    <row r="510" spans="1:21">
      <c r="A510" s="82"/>
      <c r="B510" s="83"/>
      <c r="C510" s="82"/>
      <c r="D510" s="82"/>
      <c r="E510" s="82"/>
      <c r="F510" s="82"/>
      <c r="G510" s="82"/>
      <c r="H510" s="83"/>
      <c r="I510" s="83"/>
      <c r="J510" s="83"/>
      <c r="K510" s="6"/>
      <c r="L510" s="6"/>
      <c r="M510" s="6"/>
      <c r="N510" s="6"/>
      <c r="O510" s="6"/>
      <c r="P510" s="6"/>
      <c r="Q510" s="6"/>
      <c r="R510" s="6"/>
      <c r="S510" s="6"/>
      <c r="T510" s="6"/>
      <c r="U510" s="6"/>
    </row>
    <row r="511" spans="1:21">
      <c r="A511" s="82"/>
      <c r="B511" s="83"/>
      <c r="C511" s="82"/>
      <c r="D511" s="82"/>
      <c r="E511" s="82"/>
      <c r="F511" s="82"/>
      <c r="G511" s="82"/>
      <c r="H511" s="83"/>
      <c r="I511" s="83"/>
      <c r="J511" s="83"/>
      <c r="K511" s="6"/>
      <c r="L511" s="6"/>
      <c r="M511" s="6"/>
      <c r="N511" s="6"/>
      <c r="O511" s="6"/>
      <c r="P511" s="6"/>
      <c r="Q511" s="6"/>
      <c r="R511" s="6"/>
      <c r="S511" s="6"/>
      <c r="T511" s="6"/>
      <c r="U511" s="6"/>
    </row>
    <row r="512" spans="1:21">
      <c r="A512" s="82"/>
      <c r="B512" s="83"/>
      <c r="C512" s="82"/>
      <c r="D512" s="82"/>
      <c r="E512" s="82"/>
      <c r="F512" s="82"/>
      <c r="G512" s="82"/>
      <c r="H512" s="83"/>
      <c r="I512" s="83"/>
      <c r="J512" s="83"/>
      <c r="K512" s="6"/>
      <c r="L512" s="6"/>
      <c r="M512" s="6"/>
      <c r="N512" s="6"/>
      <c r="O512" s="6"/>
      <c r="P512" s="6"/>
      <c r="Q512" s="6"/>
      <c r="R512" s="6"/>
      <c r="S512" s="6"/>
      <c r="T512" s="6"/>
      <c r="U512" s="6"/>
    </row>
    <row r="513" spans="1:21">
      <c r="A513" s="82"/>
      <c r="B513" s="83"/>
      <c r="C513" s="82"/>
      <c r="D513" s="82"/>
      <c r="E513" s="82"/>
      <c r="F513" s="82"/>
      <c r="G513" s="82"/>
      <c r="H513" s="83"/>
      <c r="I513" s="83"/>
      <c r="J513" s="83"/>
      <c r="K513" s="6"/>
      <c r="L513" s="6"/>
      <c r="M513" s="6"/>
      <c r="N513" s="6"/>
      <c r="O513" s="6"/>
      <c r="P513" s="6"/>
      <c r="Q513" s="6"/>
      <c r="R513" s="6"/>
      <c r="S513" s="6"/>
      <c r="T513" s="6"/>
      <c r="U513" s="6"/>
    </row>
    <row r="514" spans="1:21">
      <c r="A514" s="82"/>
      <c r="B514" s="83"/>
      <c r="C514" s="82"/>
      <c r="D514" s="82"/>
      <c r="E514" s="82"/>
      <c r="F514" s="82"/>
      <c r="G514" s="82"/>
      <c r="H514" s="83"/>
      <c r="I514" s="83"/>
      <c r="J514" s="83"/>
      <c r="K514" s="6"/>
      <c r="L514" s="6"/>
      <c r="M514" s="6"/>
      <c r="N514" s="6"/>
      <c r="O514" s="6"/>
      <c r="P514" s="6"/>
      <c r="Q514" s="6"/>
      <c r="R514" s="6"/>
      <c r="S514" s="6"/>
      <c r="T514" s="6"/>
      <c r="U514" s="6"/>
    </row>
    <row r="515" spans="1:21">
      <c r="A515" s="82"/>
      <c r="B515" s="83"/>
      <c r="C515" s="82"/>
      <c r="D515" s="82"/>
      <c r="E515" s="82"/>
      <c r="F515" s="82"/>
      <c r="G515" s="82"/>
      <c r="H515" s="83"/>
      <c r="I515" s="83"/>
      <c r="J515" s="83"/>
      <c r="K515" s="6"/>
      <c r="L515" s="6"/>
      <c r="M515" s="6"/>
      <c r="N515" s="6"/>
      <c r="O515" s="6"/>
      <c r="P515" s="6"/>
      <c r="Q515" s="6"/>
      <c r="R515" s="6"/>
      <c r="S515" s="6"/>
      <c r="T515" s="6"/>
      <c r="U515" s="6"/>
    </row>
    <row r="516" spans="1:21">
      <c r="A516" s="82"/>
      <c r="B516" s="83"/>
      <c r="C516" s="82"/>
      <c r="D516" s="82"/>
      <c r="E516" s="82"/>
      <c r="F516" s="82"/>
      <c r="G516" s="82"/>
      <c r="H516" s="83"/>
      <c r="I516" s="83"/>
      <c r="J516" s="83"/>
      <c r="K516" s="6"/>
      <c r="L516" s="6"/>
      <c r="M516" s="6"/>
      <c r="N516" s="6"/>
      <c r="O516" s="6"/>
      <c r="P516" s="6"/>
      <c r="Q516" s="6"/>
      <c r="R516" s="6"/>
      <c r="S516" s="6"/>
      <c r="T516" s="6"/>
      <c r="U516" s="6"/>
    </row>
    <row r="517" spans="1:21">
      <c r="A517" s="82"/>
      <c r="B517" s="83"/>
      <c r="C517" s="82"/>
      <c r="D517" s="82"/>
      <c r="E517" s="82"/>
      <c r="F517" s="82"/>
      <c r="G517" s="82"/>
      <c r="H517" s="83"/>
      <c r="I517" s="83"/>
      <c r="J517" s="83"/>
      <c r="K517" s="6"/>
      <c r="L517" s="6"/>
      <c r="M517" s="6"/>
      <c r="N517" s="6"/>
      <c r="O517" s="6"/>
      <c r="P517" s="6"/>
      <c r="Q517" s="6"/>
      <c r="R517" s="6"/>
      <c r="S517" s="6"/>
      <c r="T517" s="6"/>
      <c r="U517" s="6"/>
    </row>
    <row r="518" spans="1:21">
      <c r="A518" s="82"/>
      <c r="B518" s="83"/>
      <c r="C518" s="82"/>
      <c r="D518" s="82"/>
      <c r="E518" s="82"/>
      <c r="F518" s="82"/>
      <c r="G518" s="82"/>
      <c r="H518" s="83"/>
      <c r="I518" s="83"/>
      <c r="J518" s="83"/>
      <c r="K518" s="6"/>
      <c r="L518" s="6"/>
      <c r="M518" s="6"/>
      <c r="N518" s="6"/>
      <c r="O518" s="6"/>
      <c r="P518" s="6"/>
      <c r="Q518" s="6"/>
      <c r="R518" s="6"/>
      <c r="S518" s="6"/>
      <c r="T518" s="6"/>
      <c r="U518" s="6"/>
    </row>
    <row r="519" spans="1:21">
      <c r="A519" s="82"/>
      <c r="B519" s="83"/>
      <c r="C519" s="82"/>
      <c r="D519" s="82"/>
      <c r="E519" s="82"/>
      <c r="F519" s="82"/>
      <c r="G519" s="82"/>
      <c r="H519" s="83"/>
      <c r="I519" s="83"/>
      <c r="J519" s="83"/>
      <c r="K519" s="6"/>
      <c r="L519" s="6"/>
      <c r="M519" s="6"/>
      <c r="N519" s="6"/>
      <c r="O519" s="6"/>
      <c r="P519" s="6"/>
      <c r="Q519" s="6"/>
      <c r="R519" s="6"/>
      <c r="S519" s="6"/>
      <c r="T519" s="6"/>
      <c r="U519" s="6"/>
    </row>
    <row r="520" spans="1:21">
      <c r="A520" s="82"/>
      <c r="B520" s="83"/>
      <c r="C520" s="82"/>
      <c r="D520" s="82"/>
      <c r="E520" s="82"/>
      <c r="F520" s="82"/>
      <c r="G520" s="82"/>
      <c r="H520" s="83"/>
      <c r="I520" s="83"/>
      <c r="J520" s="83"/>
      <c r="K520" s="6"/>
      <c r="L520" s="6"/>
      <c r="M520" s="6"/>
      <c r="N520" s="6"/>
      <c r="O520" s="6"/>
      <c r="P520" s="6"/>
      <c r="Q520" s="6"/>
      <c r="R520" s="6"/>
      <c r="S520" s="6"/>
      <c r="T520" s="6"/>
      <c r="U520" s="6"/>
    </row>
    <row r="521" spans="1:21">
      <c r="A521" s="82"/>
      <c r="B521" s="83"/>
      <c r="C521" s="82"/>
      <c r="D521" s="82"/>
      <c r="E521" s="82"/>
      <c r="F521" s="82"/>
      <c r="G521" s="82"/>
      <c r="H521" s="83"/>
      <c r="I521" s="83"/>
      <c r="J521" s="83"/>
      <c r="K521" s="6"/>
      <c r="L521" s="6"/>
      <c r="M521" s="6"/>
      <c r="N521" s="6"/>
      <c r="O521" s="6"/>
      <c r="P521" s="6"/>
      <c r="Q521" s="6"/>
      <c r="R521" s="6"/>
      <c r="S521" s="6"/>
      <c r="T521" s="6"/>
      <c r="U521" s="6"/>
    </row>
    <row r="522" spans="1:21">
      <c r="A522" s="82"/>
      <c r="B522" s="83"/>
      <c r="C522" s="82"/>
      <c r="D522" s="82"/>
      <c r="E522" s="82"/>
      <c r="F522" s="82"/>
      <c r="G522" s="82"/>
      <c r="H522" s="83"/>
      <c r="I522" s="83"/>
      <c r="J522" s="83"/>
      <c r="K522" s="6"/>
      <c r="L522" s="6"/>
      <c r="M522" s="6"/>
      <c r="N522" s="6"/>
      <c r="O522" s="6"/>
      <c r="P522" s="6"/>
      <c r="Q522" s="6"/>
      <c r="R522" s="6"/>
      <c r="S522" s="6"/>
      <c r="T522" s="6"/>
      <c r="U522" s="6"/>
    </row>
    <row r="523" spans="1:21">
      <c r="A523" s="82"/>
      <c r="B523" s="83"/>
      <c r="C523" s="82"/>
      <c r="D523" s="82"/>
      <c r="E523" s="82"/>
      <c r="F523" s="82"/>
      <c r="G523" s="82"/>
      <c r="H523" s="83"/>
      <c r="I523" s="83"/>
      <c r="J523" s="83"/>
      <c r="K523" s="6"/>
      <c r="L523" s="6"/>
      <c r="M523" s="6"/>
      <c r="N523" s="6"/>
      <c r="O523" s="6"/>
      <c r="P523" s="6"/>
      <c r="Q523" s="6"/>
      <c r="R523" s="6"/>
      <c r="S523" s="6"/>
      <c r="T523" s="6"/>
      <c r="U523" s="6"/>
    </row>
    <row r="524" spans="1:21">
      <c r="A524" s="82"/>
      <c r="B524" s="83"/>
      <c r="C524" s="82"/>
      <c r="D524" s="82"/>
      <c r="E524" s="82"/>
      <c r="F524" s="82"/>
      <c r="G524" s="82"/>
      <c r="H524" s="83"/>
      <c r="I524" s="83"/>
      <c r="J524" s="83"/>
      <c r="K524" s="6"/>
      <c r="L524" s="6"/>
      <c r="M524" s="6"/>
      <c r="N524" s="6"/>
      <c r="O524" s="6"/>
      <c r="P524" s="6"/>
      <c r="Q524" s="6"/>
      <c r="R524" s="6"/>
      <c r="S524" s="6"/>
      <c r="T524" s="6"/>
      <c r="U524" s="6"/>
    </row>
    <row r="525" spans="1:21">
      <c r="A525" s="82"/>
      <c r="B525" s="83"/>
      <c r="C525" s="82"/>
      <c r="D525" s="82"/>
      <c r="E525" s="82"/>
      <c r="F525" s="82"/>
      <c r="G525" s="82"/>
      <c r="H525" s="83"/>
      <c r="I525" s="83"/>
      <c r="J525" s="83"/>
      <c r="K525" s="6"/>
      <c r="L525" s="6"/>
      <c r="M525" s="6"/>
      <c r="N525" s="6"/>
      <c r="O525" s="6"/>
      <c r="P525" s="6"/>
      <c r="Q525" s="6"/>
      <c r="R525" s="6"/>
      <c r="S525" s="6"/>
      <c r="T525" s="6"/>
      <c r="U525" s="6"/>
    </row>
    <row r="526" spans="1:21">
      <c r="A526" s="82"/>
      <c r="B526" s="83"/>
      <c r="C526" s="82"/>
      <c r="D526" s="82"/>
      <c r="E526" s="82"/>
      <c r="F526" s="82"/>
      <c r="G526" s="82"/>
      <c r="H526" s="83"/>
      <c r="I526" s="83"/>
      <c r="J526" s="83"/>
      <c r="K526" s="6"/>
      <c r="L526" s="6"/>
      <c r="M526" s="6"/>
      <c r="N526" s="6"/>
      <c r="O526" s="6"/>
      <c r="P526" s="6"/>
      <c r="Q526" s="6"/>
      <c r="R526" s="6"/>
      <c r="S526" s="6"/>
      <c r="T526" s="6"/>
      <c r="U526" s="6"/>
    </row>
    <row r="527" spans="1:21">
      <c r="A527" s="82"/>
      <c r="B527" s="83"/>
      <c r="C527" s="82"/>
      <c r="D527" s="82"/>
      <c r="E527" s="82"/>
      <c r="F527" s="82"/>
      <c r="G527" s="82"/>
      <c r="H527" s="83"/>
      <c r="I527" s="83"/>
      <c r="J527" s="83"/>
      <c r="K527" s="6"/>
      <c r="L527" s="6"/>
      <c r="M527" s="6"/>
      <c r="N527" s="6"/>
      <c r="O527" s="6"/>
      <c r="P527" s="6"/>
      <c r="Q527" s="6"/>
      <c r="R527" s="6"/>
      <c r="S527" s="6"/>
      <c r="T527" s="6"/>
      <c r="U527" s="6"/>
    </row>
    <row r="528" spans="1:21">
      <c r="A528" s="82"/>
      <c r="B528" s="83"/>
      <c r="C528" s="82"/>
      <c r="D528" s="82"/>
      <c r="E528" s="82"/>
      <c r="F528" s="82"/>
      <c r="G528" s="82"/>
      <c r="H528" s="83"/>
      <c r="I528" s="83"/>
      <c r="J528" s="83"/>
      <c r="K528" s="6"/>
      <c r="L528" s="6"/>
      <c r="M528" s="6"/>
      <c r="N528" s="6"/>
      <c r="O528" s="6"/>
      <c r="P528" s="6"/>
      <c r="Q528" s="6"/>
      <c r="R528" s="6"/>
      <c r="S528" s="6"/>
      <c r="T528" s="6"/>
      <c r="U528" s="6"/>
    </row>
    <row r="529" spans="1:21">
      <c r="A529" s="82"/>
      <c r="B529" s="83"/>
      <c r="C529" s="82"/>
      <c r="D529" s="82"/>
      <c r="E529" s="82"/>
      <c r="F529" s="82"/>
      <c r="G529" s="82"/>
      <c r="H529" s="83"/>
      <c r="I529" s="83"/>
      <c r="J529" s="83"/>
      <c r="K529" s="6"/>
      <c r="L529" s="6"/>
      <c r="M529" s="6"/>
      <c r="N529" s="6"/>
      <c r="O529" s="6"/>
      <c r="P529" s="6"/>
      <c r="Q529" s="6"/>
      <c r="R529" s="6"/>
      <c r="S529" s="6"/>
      <c r="T529" s="6"/>
      <c r="U529" s="6"/>
    </row>
    <row r="530" spans="1:21">
      <c r="A530" s="82"/>
      <c r="B530" s="83"/>
      <c r="C530" s="82"/>
      <c r="D530" s="82"/>
      <c r="E530" s="82"/>
      <c r="F530" s="82"/>
      <c r="G530" s="82"/>
      <c r="H530" s="83"/>
      <c r="I530" s="83"/>
      <c r="J530" s="83"/>
      <c r="K530" s="6"/>
      <c r="L530" s="6"/>
      <c r="M530" s="6"/>
      <c r="N530" s="6"/>
      <c r="O530" s="6"/>
      <c r="P530" s="6"/>
      <c r="Q530" s="6"/>
      <c r="R530" s="6"/>
      <c r="S530" s="6"/>
      <c r="T530" s="6"/>
      <c r="U530" s="6"/>
    </row>
    <row r="531" spans="1:21">
      <c r="A531" s="82"/>
      <c r="B531" s="83"/>
      <c r="C531" s="82"/>
      <c r="D531" s="82"/>
      <c r="E531" s="82"/>
      <c r="F531" s="82"/>
      <c r="G531" s="82"/>
      <c r="H531" s="83"/>
      <c r="I531" s="83"/>
      <c r="J531" s="83"/>
      <c r="K531" s="6"/>
      <c r="L531" s="6"/>
      <c r="M531" s="6"/>
      <c r="N531" s="6"/>
      <c r="O531" s="6"/>
      <c r="P531" s="6"/>
      <c r="Q531" s="6"/>
      <c r="R531" s="6"/>
      <c r="S531" s="6"/>
      <c r="T531" s="6"/>
      <c r="U531" s="6"/>
    </row>
    <row r="532" spans="1:21">
      <c r="A532" s="82"/>
      <c r="B532" s="83"/>
      <c r="C532" s="82"/>
      <c r="D532" s="82"/>
      <c r="E532" s="82"/>
      <c r="F532" s="82"/>
      <c r="G532" s="82"/>
      <c r="H532" s="83"/>
      <c r="I532" s="83"/>
      <c r="J532" s="83"/>
      <c r="K532" s="6"/>
      <c r="L532" s="6"/>
      <c r="M532" s="6"/>
      <c r="N532" s="6"/>
      <c r="O532" s="6"/>
      <c r="P532" s="6"/>
      <c r="Q532" s="6"/>
      <c r="R532" s="6"/>
      <c r="S532" s="6"/>
      <c r="T532" s="6"/>
      <c r="U532" s="6"/>
    </row>
    <row r="533" spans="1:21">
      <c r="A533" s="82"/>
      <c r="B533" s="83"/>
      <c r="C533" s="82"/>
      <c r="D533" s="82"/>
      <c r="E533" s="82"/>
      <c r="F533" s="82"/>
      <c r="G533" s="82"/>
      <c r="H533" s="83"/>
      <c r="I533" s="83"/>
      <c r="J533" s="83"/>
      <c r="K533" s="6"/>
      <c r="L533" s="6"/>
      <c r="M533" s="6"/>
      <c r="N533" s="6"/>
      <c r="O533" s="6"/>
      <c r="P533" s="6"/>
      <c r="Q533" s="6"/>
      <c r="R533" s="6"/>
      <c r="S533" s="6"/>
      <c r="T533" s="6"/>
      <c r="U533" s="6"/>
    </row>
    <row r="534" spans="1:21">
      <c r="A534" s="82"/>
      <c r="B534" s="83"/>
      <c r="C534" s="82"/>
      <c r="D534" s="82"/>
      <c r="E534" s="82"/>
      <c r="F534" s="82"/>
      <c r="G534" s="82"/>
      <c r="H534" s="83"/>
      <c r="I534" s="83"/>
      <c r="J534" s="83"/>
      <c r="K534" s="6"/>
      <c r="L534" s="6"/>
      <c r="M534" s="6"/>
      <c r="N534" s="6"/>
      <c r="O534" s="6"/>
      <c r="P534" s="6"/>
      <c r="Q534" s="6"/>
      <c r="R534" s="6"/>
      <c r="S534" s="6"/>
      <c r="T534" s="6"/>
      <c r="U534" s="6"/>
    </row>
    <row r="535" spans="1:21">
      <c r="A535" s="82"/>
      <c r="B535" s="83"/>
      <c r="C535" s="82"/>
      <c r="D535" s="82"/>
      <c r="E535" s="82"/>
      <c r="F535" s="82"/>
      <c r="G535" s="82"/>
      <c r="H535" s="83"/>
      <c r="I535" s="83"/>
      <c r="J535" s="83"/>
      <c r="K535" s="6"/>
      <c r="L535" s="6"/>
      <c r="M535" s="6"/>
      <c r="N535" s="6"/>
      <c r="O535" s="6"/>
      <c r="P535" s="6"/>
      <c r="Q535" s="6"/>
      <c r="R535" s="6"/>
      <c r="S535" s="6"/>
      <c r="T535" s="6"/>
      <c r="U535" s="6"/>
    </row>
    <row r="536" spans="1:21">
      <c r="A536" s="82"/>
      <c r="B536" s="83"/>
      <c r="C536" s="82"/>
      <c r="D536" s="82"/>
      <c r="E536" s="82"/>
      <c r="F536" s="82"/>
      <c r="G536" s="82"/>
      <c r="H536" s="83"/>
      <c r="I536" s="83"/>
      <c r="J536" s="83"/>
      <c r="K536" s="6"/>
      <c r="L536" s="6"/>
      <c r="M536" s="6"/>
      <c r="N536" s="6"/>
      <c r="O536" s="6"/>
      <c r="P536" s="6"/>
      <c r="Q536" s="6"/>
      <c r="R536" s="6"/>
      <c r="S536" s="6"/>
      <c r="T536" s="6"/>
      <c r="U536" s="6"/>
    </row>
    <row r="537" spans="1:21">
      <c r="A537" s="82"/>
      <c r="B537" s="83"/>
      <c r="C537" s="82"/>
      <c r="D537" s="82"/>
      <c r="E537" s="82"/>
      <c r="F537" s="82"/>
      <c r="G537" s="82"/>
      <c r="H537" s="83"/>
      <c r="I537" s="83"/>
      <c r="J537" s="83"/>
      <c r="K537" s="6"/>
      <c r="L537" s="6"/>
      <c r="M537" s="6"/>
      <c r="N537" s="6"/>
      <c r="O537" s="6"/>
      <c r="P537" s="6"/>
      <c r="Q537" s="6"/>
      <c r="R537" s="6"/>
      <c r="S537" s="6"/>
      <c r="T537" s="6"/>
      <c r="U537" s="6"/>
    </row>
    <row r="538" spans="1:21">
      <c r="A538" s="82"/>
      <c r="B538" s="83"/>
      <c r="C538" s="82"/>
      <c r="D538" s="82"/>
      <c r="E538" s="82"/>
      <c r="F538" s="82"/>
      <c r="G538" s="82"/>
      <c r="H538" s="83"/>
      <c r="I538" s="83"/>
      <c r="J538" s="83"/>
      <c r="K538" s="6"/>
      <c r="L538" s="6"/>
      <c r="M538" s="6"/>
      <c r="N538" s="6"/>
      <c r="O538" s="6"/>
      <c r="P538" s="6"/>
      <c r="Q538" s="6"/>
      <c r="R538" s="6"/>
      <c r="S538" s="6"/>
      <c r="T538" s="6"/>
      <c r="U538" s="6"/>
    </row>
    <row r="539" spans="1:21">
      <c r="A539" s="82"/>
      <c r="B539" s="83"/>
      <c r="C539" s="82"/>
      <c r="D539" s="82"/>
      <c r="E539" s="82"/>
      <c r="F539" s="82"/>
      <c r="G539" s="82"/>
      <c r="H539" s="83"/>
      <c r="I539" s="83"/>
      <c r="J539" s="83"/>
      <c r="K539" s="6"/>
      <c r="L539" s="6"/>
      <c r="M539" s="6"/>
      <c r="N539" s="6"/>
      <c r="O539" s="6"/>
      <c r="P539" s="6"/>
      <c r="Q539" s="6"/>
      <c r="R539" s="6"/>
      <c r="S539" s="6"/>
      <c r="T539" s="6"/>
      <c r="U539" s="6"/>
    </row>
    <row r="540" spans="1:21">
      <c r="A540" s="82"/>
      <c r="B540" s="83"/>
      <c r="C540" s="82"/>
      <c r="D540" s="82"/>
      <c r="E540" s="82"/>
      <c r="F540" s="82"/>
      <c r="G540" s="82"/>
      <c r="H540" s="83"/>
      <c r="I540" s="83"/>
      <c r="J540" s="83"/>
      <c r="K540" s="6"/>
      <c r="L540" s="6"/>
      <c r="M540" s="6"/>
      <c r="N540" s="6"/>
      <c r="O540" s="6"/>
      <c r="P540" s="6"/>
      <c r="Q540" s="6"/>
      <c r="R540" s="6"/>
      <c r="S540" s="6"/>
      <c r="T540" s="6"/>
      <c r="U540" s="6"/>
    </row>
    <row r="541" spans="1:21">
      <c r="A541" s="82"/>
      <c r="B541" s="83"/>
      <c r="C541" s="82"/>
      <c r="D541" s="82"/>
      <c r="E541" s="82"/>
      <c r="F541" s="82"/>
      <c r="G541" s="82"/>
      <c r="H541" s="83"/>
      <c r="I541" s="83"/>
      <c r="J541" s="83"/>
      <c r="K541" s="6"/>
      <c r="L541" s="6"/>
      <c r="M541" s="6"/>
      <c r="N541" s="6"/>
      <c r="O541" s="6"/>
      <c r="P541" s="6"/>
      <c r="Q541" s="6"/>
      <c r="R541" s="6"/>
      <c r="S541" s="6"/>
      <c r="T541" s="6"/>
      <c r="U541" s="6"/>
    </row>
    <row r="542" spans="1:21">
      <c r="A542" s="82"/>
      <c r="B542" s="83"/>
      <c r="C542" s="82"/>
      <c r="D542" s="82"/>
      <c r="E542" s="82"/>
      <c r="F542" s="82"/>
      <c r="G542" s="82"/>
      <c r="H542" s="83"/>
      <c r="I542" s="83"/>
      <c r="J542" s="83"/>
      <c r="K542" s="6"/>
      <c r="L542" s="6"/>
      <c r="M542" s="6"/>
      <c r="N542" s="6"/>
      <c r="O542" s="6"/>
      <c r="P542" s="6"/>
      <c r="Q542" s="6"/>
      <c r="R542" s="6"/>
      <c r="S542" s="6"/>
      <c r="T542" s="6"/>
      <c r="U542" s="6"/>
    </row>
    <row r="543" spans="1:21">
      <c r="A543" s="82"/>
      <c r="B543" s="83"/>
      <c r="C543" s="82"/>
      <c r="D543" s="82"/>
      <c r="E543" s="82"/>
      <c r="F543" s="82"/>
      <c r="G543" s="82"/>
      <c r="H543" s="83"/>
      <c r="I543" s="83"/>
      <c r="J543" s="83"/>
      <c r="K543" s="6"/>
      <c r="L543" s="6"/>
      <c r="M543" s="6"/>
      <c r="N543" s="6"/>
      <c r="O543" s="6"/>
      <c r="P543" s="6"/>
      <c r="Q543" s="6"/>
      <c r="R543" s="6"/>
      <c r="S543" s="6"/>
      <c r="T543" s="6"/>
      <c r="U543" s="6"/>
    </row>
    <row r="544" spans="1:21">
      <c r="A544" s="82"/>
      <c r="B544" s="83"/>
      <c r="C544" s="82"/>
      <c r="D544" s="82"/>
      <c r="E544" s="82"/>
      <c r="F544" s="82"/>
      <c r="G544" s="82"/>
      <c r="H544" s="83"/>
      <c r="I544" s="83"/>
      <c r="J544" s="83"/>
      <c r="K544" s="6"/>
      <c r="L544" s="6"/>
      <c r="M544" s="6"/>
      <c r="N544" s="6"/>
      <c r="O544" s="6"/>
      <c r="P544" s="6"/>
      <c r="Q544" s="6"/>
      <c r="R544" s="6"/>
      <c r="S544" s="6"/>
      <c r="T544" s="6"/>
      <c r="U544" s="6"/>
    </row>
    <row r="545" spans="1:21">
      <c r="A545" s="82"/>
      <c r="B545" s="83"/>
      <c r="C545" s="82"/>
      <c r="D545" s="82"/>
      <c r="E545" s="82"/>
      <c r="F545" s="82"/>
      <c r="G545" s="82"/>
      <c r="H545" s="83"/>
      <c r="I545" s="83"/>
      <c r="J545" s="83"/>
      <c r="K545" s="6"/>
      <c r="L545" s="6"/>
      <c r="M545" s="6"/>
      <c r="N545" s="6"/>
      <c r="O545" s="6"/>
      <c r="P545" s="6"/>
      <c r="Q545" s="6"/>
      <c r="R545" s="6"/>
      <c r="S545" s="6"/>
      <c r="T545" s="6"/>
      <c r="U545" s="6"/>
    </row>
    <row r="546" spans="1:21">
      <c r="A546" s="82"/>
      <c r="B546" s="83"/>
      <c r="C546" s="82"/>
      <c r="D546" s="82"/>
      <c r="E546" s="82"/>
      <c r="F546" s="82"/>
      <c r="G546" s="82"/>
      <c r="H546" s="83"/>
      <c r="I546" s="83"/>
      <c r="J546" s="83"/>
      <c r="K546" s="6"/>
      <c r="L546" s="6"/>
      <c r="M546" s="6"/>
      <c r="N546" s="6"/>
      <c r="O546" s="6"/>
      <c r="P546" s="6"/>
      <c r="Q546" s="6"/>
      <c r="R546" s="6"/>
      <c r="S546" s="6"/>
      <c r="T546" s="6"/>
      <c r="U546" s="6"/>
    </row>
    <row r="547" spans="1:21">
      <c r="A547" s="82"/>
      <c r="B547" s="83"/>
      <c r="C547" s="82"/>
      <c r="D547" s="82"/>
      <c r="E547" s="82"/>
      <c r="F547" s="82"/>
      <c r="G547" s="82"/>
      <c r="H547" s="83"/>
      <c r="I547" s="83"/>
      <c r="J547" s="83"/>
      <c r="K547" s="6"/>
      <c r="L547" s="6"/>
      <c r="M547" s="6"/>
      <c r="N547" s="6"/>
      <c r="O547" s="6"/>
      <c r="P547" s="6"/>
      <c r="Q547" s="6"/>
      <c r="R547" s="6"/>
      <c r="S547" s="6"/>
      <c r="T547" s="6"/>
      <c r="U547" s="6"/>
    </row>
    <row r="548" spans="1:21">
      <c r="A548" s="82"/>
      <c r="B548" s="83"/>
      <c r="C548" s="82"/>
      <c r="D548" s="82"/>
      <c r="E548" s="82"/>
      <c r="F548" s="82"/>
      <c r="G548" s="82"/>
      <c r="H548" s="83"/>
      <c r="I548" s="83"/>
      <c r="J548" s="83"/>
      <c r="K548" s="6"/>
      <c r="L548" s="6"/>
      <c r="M548" s="6"/>
      <c r="N548" s="6"/>
      <c r="O548" s="6"/>
      <c r="P548" s="6"/>
      <c r="Q548" s="6"/>
      <c r="R548" s="6"/>
      <c r="S548" s="6"/>
      <c r="T548" s="6"/>
      <c r="U548" s="6"/>
    </row>
    <row r="549" spans="1:21">
      <c r="A549" s="82"/>
      <c r="B549" s="83"/>
      <c r="C549" s="82"/>
      <c r="D549" s="82"/>
      <c r="E549" s="82"/>
      <c r="F549" s="82"/>
      <c r="G549" s="82"/>
      <c r="H549" s="83"/>
      <c r="I549" s="83"/>
      <c r="J549" s="83"/>
      <c r="K549" s="6"/>
      <c r="L549" s="6"/>
      <c r="M549" s="6"/>
      <c r="N549" s="6"/>
      <c r="O549" s="6"/>
      <c r="P549" s="6"/>
      <c r="Q549" s="6"/>
      <c r="R549" s="6"/>
      <c r="S549" s="6"/>
      <c r="T549" s="6"/>
      <c r="U549" s="6"/>
    </row>
    <row r="550" spans="1:21">
      <c r="A550" s="82"/>
      <c r="B550" s="83"/>
      <c r="C550" s="82"/>
      <c r="D550" s="82"/>
      <c r="E550" s="82"/>
      <c r="F550" s="82"/>
      <c r="G550" s="82"/>
      <c r="H550" s="83"/>
      <c r="I550" s="83"/>
      <c r="J550" s="83"/>
      <c r="K550" s="6"/>
      <c r="L550" s="6"/>
      <c r="M550" s="6"/>
      <c r="N550" s="6"/>
      <c r="O550" s="6"/>
      <c r="P550" s="6"/>
      <c r="Q550" s="6"/>
      <c r="R550" s="6"/>
      <c r="S550" s="6"/>
      <c r="T550" s="6"/>
      <c r="U550" s="6"/>
    </row>
    <row r="551" spans="1:21">
      <c r="A551" s="82"/>
      <c r="B551" s="83"/>
      <c r="C551" s="82"/>
      <c r="D551" s="82"/>
      <c r="E551" s="82"/>
      <c r="F551" s="82"/>
      <c r="G551" s="82"/>
      <c r="H551" s="83"/>
      <c r="I551" s="83"/>
      <c r="J551" s="83"/>
      <c r="K551" s="6"/>
      <c r="L551" s="6"/>
      <c r="M551" s="6"/>
      <c r="N551" s="6"/>
      <c r="O551" s="6"/>
      <c r="P551" s="6"/>
      <c r="Q551" s="6"/>
      <c r="R551" s="6"/>
      <c r="S551" s="6"/>
      <c r="T551" s="6"/>
      <c r="U551" s="6"/>
    </row>
    <row r="552" spans="1:21">
      <c r="A552" s="82"/>
      <c r="B552" s="83"/>
      <c r="C552" s="82"/>
      <c r="D552" s="82"/>
      <c r="E552" s="82"/>
      <c r="F552" s="82"/>
      <c r="G552" s="82"/>
      <c r="H552" s="83"/>
      <c r="I552" s="83"/>
      <c r="J552" s="83"/>
      <c r="K552" s="6"/>
      <c r="L552" s="6"/>
      <c r="M552" s="6"/>
      <c r="N552" s="6"/>
      <c r="O552" s="6"/>
      <c r="P552" s="6"/>
      <c r="Q552" s="6"/>
      <c r="R552" s="6"/>
      <c r="S552" s="6"/>
      <c r="T552" s="6"/>
      <c r="U552" s="6"/>
    </row>
    <row r="553" spans="1:21">
      <c r="A553" s="82"/>
      <c r="B553" s="83"/>
      <c r="C553" s="82"/>
      <c r="D553" s="82"/>
      <c r="E553" s="82"/>
      <c r="F553" s="82"/>
      <c r="G553" s="82"/>
      <c r="H553" s="83"/>
      <c r="I553" s="83"/>
      <c r="J553" s="83"/>
      <c r="K553" s="6"/>
      <c r="L553" s="6"/>
      <c r="M553" s="6"/>
      <c r="N553" s="6"/>
      <c r="O553" s="6"/>
      <c r="P553" s="6"/>
      <c r="Q553" s="6"/>
      <c r="R553" s="6"/>
      <c r="S553" s="6"/>
      <c r="T553" s="6"/>
      <c r="U553" s="6"/>
    </row>
    <row r="554" spans="1:21">
      <c r="A554" s="82"/>
      <c r="B554" s="83"/>
      <c r="C554" s="82"/>
      <c r="D554" s="82"/>
      <c r="E554" s="82"/>
      <c r="F554" s="82"/>
      <c r="G554" s="82"/>
      <c r="H554" s="83"/>
      <c r="I554" s="83"/>
      <c r="J554" s="83"/>
      <c r="K554" s="6"/>
      <c r="L554" s="6"/>
      <c r="M554" s="6"/>
      <c r="N554" s="6"/>
      <c r="O554" s="6"/>
      <c r="P554" s="6"/>
      <c r="Q554" s="6"/>
      <c r="R554" s="6"/>
      <c r="S554" s="6"/>
      <c r="T554" s="6"/>
      <c r="U554" s="6"/>
    </row>
    <row r="555" spans="1:21">
      <c r="A555" s="82"/>
      <c r="B555" s="83"/>
      <c r="C555" s="82"/>
      <c r="D555" s="82"/>
      <c r="E555" s="82"/>
      <c r="F555" s="82"/>
      <c r="G555" s="82"/>
      <c r="H555" s="83"/>
      <c r="I555" s="83"/>
      <c r="J555" s="83"/>
      <c r="K555" s="6"/>
      <c r="L555" s="6"/>
      <c r="M555" s="6"/>
      <c r="N555" s="6"/>
      <c r="O555" s="6"/>
      <c r="P555" s="6"/>
      <c r="Q555" s="6"/>
      <c r="R555" s="6"/>
      <c r="S555" s="6"/>
      <c r="T555" s="6"/>
      <c r="U555" s="6"/>
    </row>
    <row r="556" spans="1:21">
      <c r="A556" s="82"/>
      <c r="B556" s="83"/>
      <c r="C556" s="82"/>
      <c r="D556" s="82"/>
      <c r="E556" s="82"/>
      <c r="F556" s="82"/>
      <c r="G556" s="82"/>
      <c r="H556" s="83"/>
      <c r="I556" s="83"/>
      <c r="J556" s="83"/>
      <c r="K556" s="6"/>
      <c r="L556" s="6"/>
      <c r="M556" s="6"/>
      <c r="N556" s="6"/>
      <c r="O556" s="6"/>
      <c r="P556" s="6"/>
      <c r="Q556" s="6"/>
      <c r="R556" s="6"/>
      <c r="S556" s="6"/>
      <c r="T556" s="6"/>
      <c r="U556" s="6"/>
    </row>
    <row r="557" spans="1:21">
      <c r="A557" s="82"/>
      <c r="B557" s="83"/>
      <c r="C557" s="82"/>
      <c r="D557" s="82"/>
      <c r="E557" s="82"/>
      <c r="F557" s="82"/>
      <c r="G557" s="82"/>
      <c r="H557" s="83"/>
      <c r="I557" s="83"/>
      <c r="J557" s="83"/>
      <c r="K557" s="6"/>
      <c r="L557" s="6"/>
      <c r="M557" s="6"/>
      <c r="N557" s="6"/>
      <c r="O557" s="6"/>
      <c r="P557" s="6"/>
      <c r="Q557" s="6"/>
      <c r="R557" s="6"/>
      <c r="S557" s="6"/>
      <c r="T557" s="6"/>
      <c r="U557" s="6"/>
    </row>
    <row r="558" spans="1:21">
      <c r="A558" s="82"/>
      <c r="B558" s="83"/>
      <c r="C558" s="82"/>
      <c r="D558" s="82"/>
      <c r="E558" s="82"/>
      <c r="F558" s="82"/>
      <c r="G558" s="82"/>
      <c r="H558" s="83"/>
      <c r="I558" s="83"/>
      <c r="J558" s="83"/>
      <c r="K558" s="6"/>
      <c r="L558" s="6"/>
      <c r="M558" s="6"/>
      <c r="N558" s="6"/>
      <c r="O558" s="6"/>
      <c r="P558" s="6"/>
      <c r="Q558" s="6"/>
      <c r="R558" s="6"/>
      <c r="S558" s="6"/>
      <c r="T558" s="6"/>
      <c r="U558" s="6"/>
    </row>
    <row r="559" spans="1:21">
      <c r="A559" s="82"/>
      <c r="B559" s="83"/>
      <c r="C559" s="82"/>
      <c r="D559" s="82"/>
      <c r="E559" s="82"/>
      <c r="F559" s="82"/>
      <c r="G559" s="82"/>
      <c r="H559" s="83"/>
      <c r="I559" s="83"/>
      <c r="J559" s="83"/>
      <c r="K559" s="6"/>
      <c r="L559" s="6"/>
      <c r="M559" s="6"/>
      <c r="N559" s="6"/>
      <c r="O559" s="6"/>
      <c r="P559" s="6"/>
      <c r="Q559" s="6"/>
      <c r="R559" s="6"/>
      <c r="S559" s="6"/>
      <c r="T559" s="6"/>
      <c r="U559" s="6"/>
    </row>
    <row r="560" spans="1:21">
      <c r="A560" s="82"/>
      <c r="B560" s="83"/>
      <c r="C560" s="82"/>
      <c r="D560" s="82"/>
      <c r="E560" s="82"/>
      <c r="F560" s="82"/>
      <c r="G560" s="82"/>
      <c r="H560" s="83"/>
      <c r="I560" s="83"/>
      <c r="J560" s="83"/>
      <c r="K560" s="6"/>
      <c r="L560" s="6"/>
      <c r="M560" s="6"/>
      <c r="N560" s="6"/>
      <c r="O560" s="6"/>
      <c r="P560" s="6"/>
      <c r="Q560" s="6"/>
      <c r="R560" s="6"/>
      <c r="S560" s="6"/>
      <c r="T560" s="6"/>
      <c r="U560" s="6"/>
    </row>
    <row r="561" spans="1:21">
      <c r="A561" s="82"/>
      <c r="B561" s="83"/>
      <c r="C561" s="82"/>
      <c r="D561" s="82"/>
      <c r="E561" s="82"/>
      <c r="F561" s="82"/>
      <c r="G561" s="82"/>
      <c r="H561" s="83"/>
      <c r="I561" s="83"/>
      <c r="J561" s="83"/>
      <c r="K561" s="6"/>
      <c r="L561" s="6"/>
      <c r="M561" s="6"/>
      <c r="N561" s="6"/>
      <c r="O561" s="6"/>
      <c r="P561" s="6"/>
      <c r="Q561" s="6"/>
      <c r="R561" s="6"/>
      <c r="S561" s="6"/>
      <c r="T561" s="6"/>
      <c r="U561" s="6"/>
    </row>
    <row r="562" spans="1:21">
      <c r="A562" s="82"/>
      <c r="B562" s="83"/>
      <c r="C562" s="82"/>
      <c r="D562" s="82"/>
      <c r="E562" s="82"/>
      <c r="F562" s="82"/>
      <c r="G562" s="82"/>
      <c r="H562" s="83"/>
      <c r="I562" s="83"/>
      <c r="J562" s="83"/>
      <c r="K562" s="6"/>
      <c r="L562" s="6"/>
      <c r="M562" s="6"/>
      <c r="N562" s="6"/>
      <c r="O562" s="6"/>
      <c r="P562" s="6"/>
      <c r="Q562" s="6"/>
      <c r="R562" s="6"/>
      <c r="S562" s="6"/>
      <c r="T562" s="6"/>
      <c r="U562" s="6"/>
    </row>
    <row r="563" spans="1:21">
      <c r="A563" s="82"/>
      <c r="B563" s="83"/>
      <c r="C563" s="82"/>
      <c r="D563" s="82"/>
      <c r="E563" s="82"/>
      <c r="F563" s="82"/>
      <c r="G563" s="82"/>
      <c r="H563" s="83"/>
      <c r="I563" s="83"/>
      <c r="J563" s="83"/>
      <c r="K563" s="6"/>
      <c r="L563" s="6"/>
      <c r="M563" s="6"/>
      <c r="N563" s="6"/>
      <c r="O563" s="6"/>
      <c r="P563" s="6"/>
      <c r="Q563" s="6"/>
      <c r="R563" s="6"/>
      <c r="S563" s="6"/>
      <c r="T563" s="6"/>
      <c r="U563" s="6"/>
    </row>
    <row r="564" spans="1:21">
      <c r="A564" s="82"/>
      <c r="B564" s="83"/>
      <c r="C564" s="82"/>
      <c r="D564" s="82"/>
      <c r="E564" s="82"/>
      <c r="F564" s="82"/>
      <c r="G564" s="82"/>
      <c r="H564" s="83"/>
      <c r="I564" s="83"/>
      <c r="J564" s="83"/>
      <c r="K564" s="6"/>
      <c r="L564" s="6"/>
      <c r="M564" s="6"/>
      <c r="N564" s="6"/>
      <c r="O564" s="6"/>
      <c r="P564" s="6"/>
      <c r="Q564" s="6"/>
      <c r="R564" s="6"/>
      <c r="S564" s="6"/>
      <c r="T564" s="6"/>
      <c r="U564" s="6"/>
    </row>
    <row r="565" spans="1:21">
      <c r="A565" s="82"/>
      <c r="B565" s="83"/>
      <c r="C565" s="82"/>
      <c r="D565" s="82"/>
      <c r="E565" s="82"/>
      <c r="F565" s="82"/>
      <c r="G565" s="82"/>
      <c r="H565" s="83"/>
      <c r="I565" s="83"/>
      <c r="J565" s="83"/>
      <c r="K565" s="6"/>
      <c r="L565" s="6"/>
      <c r="M565" s="6"/>
      <c r="N565" s="6"/>
      <c r="O565" s="6"/>
      <c r="P565" s="6"/>
      <c r="Q565" s="6"/>
      <c r="R565" s="6"/>
      <c r="S565" s="6"/>
      <c r="T565" s="6"/>
      <c r="U565" s="6"/>
    </row>
    <row r="566" spans="1:21">
      <c r="A566" s="82"/>
      <c r="B566" s="83"/>
      <c r="C566" s="82"/>
      <c r="D566" s="82"/>
      <c r="E566" s="82"/>
      <c r="F566" s="82"/>
      <c r="G566" s="82"/>
      <c r="H566" s="83"/>
      <c r="I566" s="83"/>
      <c r="J566" s="83"/>
      <c r="K566" s="6"/>
      <c r="L566" s="6"/>
      <c r="M566" s="6"/>
      <c r="N566" s="6"/>
      <c r="O566" s="6"/>
      <c r="P566" s="6"/>
      <c r="Q566" s="6"/>
      <c r="R566" s="6"/>
      <c r="S566" s="6"/>
      <c r="T566" s="6"/>
      <c r="U566" s="6"/>
    </row>
    <row r="567" spans="1:21">
      <c r="A567" s="82"/>
      <c r="B567" s="83"/>
      <c r="C567" s="82"/>
      <c r="D567" s="82"/>
      <c r="E567" s="82"/>
      <c r="F567" s="82"/>
      <c r="G567" s="82"/>
      <c r="H567" s="83"/>
      <c r="I567" s="83"/>
      <c r="J567" s="83"/>
      <c r="K567" s="6"/>
      <c r="L567" s="6"/>
      <c r="M567" s="6"/>
      <c r="N567" s="6"/>
      <c r="O567" s="6"/>
      <c r="P567" s="6"/>
      <c r="Q567" s="6"/>
      <c r="R567" s="6"/>
      <c r="S567" s="6"/>
      <c r="T567" s="6"/>
      <c r="U567" s="6"/>
    </row>
    <row r="568" spans="1:21">
      <c r="A568" s="82"/>
      <c r="B568" s="83"/>
      <c r="C568" s="82"/>
      <c r="D568" s="82"/>
      <c r="E568" s="82"/>
      <c r="F568" s="82"/>
      <c r="G568" s="82"/>
      <c r="H568" s="83"/>
      <c r="I568" s="83"/>
      <c r="J568" s="83"/>
      <c r="K568" s="6"/>
      <c r="L568" s="6"/>
      <c r="M568" s="6"/>
      <c r="N568" s="6"/>
      <c r="O568" s="6"/>
      <c r="P568" s="6"/>
      <c r="Q568" s="6"/>
      <c r="R568" s="6"/>
      <c r="S568" s="6"/>
      <c r="T568" s="6"/>
      <c r="U568" s="6"/>
    </row>
    <row r="569" spans="1:21">
      <c r="A569" s="82"/>
      <c r="B569" s="83"/>
      <c r="C569" s="82"/>
      <c r="D569" s="82"/>
      <c r="E569" s="82"/>
      <c r="F569" s="82"/>
      <c r="G569" s="82"/>
      <c r="H569" s="83"/>
      <c r="I569" s="83"/>
      <c r="J569" s="83"/>
      <c r="K569" s="6"/>
      <c r="L569" s="6"/>
      <c r="M569" s="6"/>
      <c r="N569" s="6"/>
      <c r="O569" s="6"/>
      <c r="P569" s="6"/>
      <c r="Q569" s="6"/>
      <c r="R569" s="6"/>
      <c r="S569" s="6"/>
      <c r="T569" s="6"/>
      <c r="U569" s="6"/>
    </row>
    <row r="570" spans="1:21">
      <c r="A570" s="82"/>
      <c r="B570" s="83"/>
      <c r="C570" s="82"/>
      <c r="D570" s="82"/>
      <c r="E570" s="82"/>
      <c r="F570" s="82"/>
      <c r="G570" s="82"/>
      <c r="H570" s="83"/>
      <c r="I570" s="83"/>
      <c r="J570" s="83"/>
      <c r="K570" s="6"/>
      <c r="L570" s="6"/>
      <c r="M570" s="6"/>
      <c r="N570" s="6"/>
      <c r="O570" s="6"/>
      <c r="P570" s="6"/>
      <c r="Q570" s="6"/>
      <c r="R570" s="6"/>
      <c r="S570" s="6"/>
      <c r="T570" s="6"/>
      <c r="U570" s="6"/>
    </row>
    <row r="571" spans="1:21">
      <c r="A571" s="82"/>
      <c r="B571" s="83"/>
      <c r="C571" s="82"/>
      <c r="D571" s="82"/>
      <c r="E571" s="82"/>
      <c r="F571" s="82"/>
      <c r="G571" s="82"/>
      <c r="H571" s="83"/>
      <c r="I571" s="83"/>
      <c r="J571" s="83"/>
      <c r="K571" s="6"/>
      <c r="L571" s="6"/>
      <c r="M571" s="6"/>
      <c r="N571" s="6"/>
      <c r="O571" s="6"/>
      <c r="P571" s="6"/>
      <c r="Q571" s="6"/>
      <c r="R571" s="6"/>
      <c r="S571" s="6"/>
      <c r="T571" s="6"/>
      <c r="U571" s="6"/>
    </row>
    <row r="572" spans="1:21">
      <c r="A572" s="82"/>
      <c r="B572" s="83"/>
      <c r="C572" s="82"/>
      <c r="D572" s="82"/>
      <c r="E572" s="82"/>
      <c r="F572" s="82"/>
      <c r="G572" s="82"/>
      <c r="H572" s="83"/>
      <c r="I572" s="83"/>
      <c r="J572" s="83"/>
      <c r="K572" s="6"/>
      <c r="L572" s="6"/>
      <c r="M572" s="6"/>
      <c r="N572" s="6"/>
      <c r="O572" s="6"/>
      <c r="P572" s="6"/>
      <c r="Q572" s="6"/>
      <c r="R572" s="6"/>
      <c r="S572" s="6"/>
      <c r="T572" s="6"/>
      <c r="U572" s="6"/>
    </row>
    <row r="573" spans="1:21">
      <c r="A573" s="82"/>
      <c r="B573" s="83"/>
      <c r="C573" s="82"/>
      <c r="D573" s="82"/>
      <c r="E573" s="82"/>
      <c r="F573" s="82"/>
      <c r="G573" s="82"/>
      <c r="H573" s="83"/>
      <c r="I573" s="83"/>
      <c r="J573" s="83"/>
      <c r="K573" s="6"/>
      <c r="L573" s="6"/>
      <c r="M573" s="6"/>
      <c r="N573" s="6"/>
      <c r="O573" s="6"/>
      <c r="P573" s="6"/>
      <c r="Q573" s="6"/>
      <c r="R573" s="6"/>
      <c r="S573" s="6"/>
      <c r="T573" s="6"/>
      <c r="U573" s="6"/>
    </row>
    <row r="574" spans="1:21">
      <c r="A574" s="82"/>
      <c r="B574" s="83"/>
      <c r="C574" s="82"/>
      <c r="D574" s="82"/>
      <c r="E574" s="82"/>
      <c r="F574" s="82"/>
      <c r="G574" s="82"/>
      <c r="H574" s="83"/>
      <c r="I574" s="83"/>
      <c r="J574" s="83"/>
      <c r="K574" s="6"/>
      <c r="L574" s="6"/>
      <c r="M574" s="6"/>
      <c r="N574" s="6"/>
      <c r="O574" s="6"/>
      <c r="P574" s="6"/>
      <c r="Q574" s="6"/>
      <c r="R574" s="6"/>
      <c r="S574" s="6"/>
      <c r="T574" s="6"/>
      <c r="U574" s="6"/>
    </row>
    <row r="575" spans="1:21">
      <c r="A575" s="82"/>
      <c r="B575" s="83"/>
      <c r="C575" s="82"/>
      <c r="D575" s="82"/>
      <c r="E575" s="82"/>
      <c r="F575" s="82"/>
      <c r="G575" s="82"/>
      <c r="H575" s="83"/>
      <c r="I575" s="83"/>
      <c r="J575" s="83"/>
      <c r="K575" s="6"/>
      <c r="L575" s="6"/>
      <c r="M575" s="6"/>
      <c r="N575" s="6"/>
      <c r="O575" s="6"/>
      <c r="P575" s="6"/>
      <c r="Q575" s="6"/>
      <c r="R575" s="6"/>
      <c r="S575" s="6"/>
      <c r="T575" s="6"/>
      <c r="U575" s="6"/>
    </row>
    <row r="576" spans="1:21">
      <c r="A576" s="82"/>
      <c r="B576" s="83"/>
      <c r="C576" s="82"/>
      <c r="D576" s="82"/>
      <c r="E576" s="82"/>
      <c r="F576" s="82"/>
      <c r="G576" s="82"/>
      <c r="H576" s="83"/>
      <c r="I576" s="83"/>
      <c r="J576" s="83"/>
      <c r="K576" s="6"/>
      <c r="L576" s="6"/>
      <c r="M576" s="6"/>
      <c r="N576" s="6"/>
      <c r="O576" s="6"/>
      <c r="P576" s="6"/>
      <c r="Q576" s="6"/>
      <c r="R576" s="6"/>
      <c r="S576" s="6"/>
      <c r="T576" s="6"/>
      <c r="U576" s="6"/>
    </row>
    <row r="577" spans="1:21">
      <c r="A577" s="82"/>
      <c r="B577" s="83"/>
      <c r="C577" s="82"/>
      <c r="D577" s="82"/>
      <c r="E577" s="82"/>
      <c r="F577" s="82"/>
      <c r="G577" s="82"/>
      <c r="H577" s="83"/>
      <c r="I577" s="83"/>
      <c r="J577" s="83"/>
      <c r="K577" s="6"/>
      <c r="L577" s="6"/>
      <c r="M577" s="6"/>
      <c r="N577" s="6"/>
      <c r="O577" s="6"/>
      <c r="P577" s="6"/>
      <c r="Q577" s="6"/>
      <c r="R577" s="6"/>
      <c r="S577" s="6"/>
      <c r="T577" s="6"/>
      <c r="U577" s="6"/>
    </row>
    <row r="578" spans="1:21">
      <c r="A578" s="82"/>
      <c r="B578" s="83"/>
      <c r="C578" s="82"/>
      <c r="D578" s="82"/>
      <c r="E578" s="82"/>
      <c r="F578" s="82"/>
      <c r="G578" s="82"/>
      <c r="H578" s="83"/>
      <c r="I578" s="83"/>
      <c r="J578" s="83"/>
      <c r="K578" s="6"/>
      <c r="L578" s="6"/>
      <c r="M578" s="6"/>
      <c r="N578" s="6"/>
      <c r="O578" s="6"/>
      <c r="P578" s="6"/>
      <c r="Q578" s="6"/>
      <c r="R578" s="6"/>
      <c r="S578" s="6"/>
      <c r="T578" s="6"/>
      <c r="U578" s="6"/>
    </row>
    <row r="579" spans="1:21">
      <c r="A579" s="82"/>
      <c r="B579" s="83"/>
      <c r="C579" s="82"/>
      <c r="D579" s="82"/>
      <c r="E579" s="82"/>
      <c r="F579" s="82"/>
      <c r="G579" s="82"/>
      <c r="H579" s="83"/>
      <c r="I579" s="83"/>
      <c r="J579" s="83"/>
      <c r="K579" s="6"/>
      <c r="L579" s="6"/>
      <c r="M579" s="6"/>
      <c r="N579" s="6"/>
      <c r="O579" s="6"/>
      <c r="P579" s="6"/>
      <c r="Q579" s="6"/>
      <c r="R579" s="6"/>
      <c r="S579" s="6"/>
      <c r="T579" s="6"/>
      <c r="U579" s="6"/>
    </row>
    <row r="580" spans="1:21">
      <c r="A580" s="82"/>
      <c r="B580" s="83"/>
      <c r="C580" s="82"/>
      <c r="D580" s="82"/>
      <c r="E580" s="82"/>
      <c r="F580" s="82"/>
      <c r="G580" s="82"/>
      <c r="H580" s="83"/>
      <c r="I580" s="83"/>
      <c r="J580" s="83"/>
      <c r="K580" s="6"/>
      <c r="L580" s="6"/>
      <c r="M580" s="6"/>
      <c r="N580" s="6"/>
      <c r="O580" s="6"/>
      <c r="P580" s="6"/>
      <c r="Q580" s="6"/>
      <c r="R580" s="6"/>
      <c r="S580" s="6"/>
      <c r="T580" s="6"/>
      <c r="U580" s="6"/>
    </row>
    <row r="581" spans="1:21">
      <c r="A581" s="82"/>
      <c r="B581" s="83"/>
      <c r="C581" s="82"/>
      <c r="D581" s="82"/>
      <c r="E581" s="82"/>
      <c r="F581" s="82"/>
      <c r="G581" s="82"/>
      <c r="H581" s="83"/>
      <c r="I581" s="83"/>
      <c r="J581" s="83"/>
      <c r="K581" s="6"/>
      <c r="L581" s="6"/>
      <c r="M581" s="6"/>
      <c r="N581" s="6"/>
      <c r="O581" s="6"/>
      <c r="P581" s="6"/>
      <c r="Q581" s="6"/>
      <c r="R581" s="6"/>
      <c r="S581" s="6"/>
      <c r="T581" s="6"/>
      <c r="U581" s="6"/>
    </row>
    <row r="582" spans="1:21">
      <c r="A582" s="82"/>
      <c r="B582" s="83"/>
      <c r="C582" s="82"/>
      <c r="D582" s="82"/>
      <c r="E582" s="82"/>
      <c r="F582" s="82"/>
      <c r="G582" s="82"/>
      <c r="H582" s="83"/>
      <c r="I582" s="83"/>
      <c r="J582" s="83"/>
      <c r="K582" s="6"/>
      <c r="L582" s="6"/>
      <c r="M582" s="6"/>
      <c r="N582" s="6"/>
      <c r="O582" s="6"/>
      <c r="P582" s="6"/>
      <c r="Q582" s="6"/>
      <c r="R582" s="6"/>
      <c r="S582" s="6"/>
      <c r="T582" s="6"/>
      <c r="U582" s="6"/>
    </row>
    <row r="583" spans="1:21">
      <c r="A583" s="82"/>
      <c r="B583" s="83"/>
      <c r="C583" s="82"/>
      <c r="D583" s="82"/>
      <c r="E583" s="82"/>
      <c r="F583" s="82"/>
      <c r="G583" s="82"/>
      <c r="H583" s="83"/>
      <c r="I583" s="83"/>
      <c r="J583" s="83"/>
      <c r="K583" s="6"/>
      <c r="L583" s="6"/>
      <c r="M583" s="6"/>
      <c r="N583" s="6"/>
      <c r="O583" s="6"/>
      <c r="P583" s="6"/>
      <c r="Q583" s="6"/>
      <c r="R583" s="6"/>
      <c r="S583" s="6"/>
      <c r="T583" s="6"/>
      <c r="U583" s="6"/>
    </row>
    <row r="584" spans="1:21">
      <c r="A584" s="82"/>
      <c r="B584" s="83"/>
      <c r="C584" s="82"/>
      <c r="D584" s="82"/>
      <c r="E584" s="82"/>
      <c r="F584" s="82"/>
      <c r="G584" s="82"/>
      <c r="H584" s="83"/>
      <c r="I584" s="83"/>
      <c r="J584" s="83"/>
      <c r="K584" s="6"/>
      <c r="L584" s="6"/>
      <c r="M584" s="6"/>
      <c r="N584" s="6"/>
      <c r="O584" s="6"/>
      <c r="P584" s="6"/>
      <c r="Q584" s="6"/>
      <c r="R584" s="6"/>
      <c r="S584" s="6"/>
      <c r="T584" s="6"/>
      <c r="U584" s="6"/>
    </row>
    <row r="585" spans="1:21">
      <c r="A585" s="82"/>
      <c r="B585" s="83"/>
      <c r="C585" s="82"/>
      <c r="D585" s="82"/>
      <c r="E585" s="82"/>
      <c r="F585" s="82"/>
      <c r="G585" s="82"/>
      <c r="H585" s="83"/>
      <c r="I585" s="83"/>
      <c r="J585" s="83"/>
      <c r="K585" s="6"/>
      <c r="L585" s="6"/>
      <c r="M585" s="6"/>
      <c r="N585" s="6"/>
      <c r="O585" s="6"/>
      <c r="P585" s="6"/>
      <c r="Q585" s="6"/>
      <c r="R585" s="6"/>
      <c r="S585" s="6"/>
      <c r="T585" s="6"/>
      <c r="U585" s="6"/>
    </row>
    <row r="586" spans="1:21">
      <c r="A586" s="82"/>
      <c r="B586" s="83"/>
      <c r="C586" s="82"/>
      <c r="D586" s="82"/>
      <c r="E586" s="82"/>
      <c r="F586" s="82"/>
      <c r="G586" s="82"/>
      <c r="H586" s="83"/>
      <c r="I586" s="83"/>
      <c r="J586" s="83"/>
      <c r="K586" s="6"/>
      <c r="L586" s="6"/>
      <c r="M586" s="6"/>
      <c r="N586" s="6"/>
      <c r="O586" s="6"/>
      <c r="P586" s="6"/>
      <c r="Q586" s="6"/>
      <c r="R586" s="6"/>
      <c r="S586" s="6"/>
      <c r="T586" s="6"/>
      <c r="U586" s="6"/>
    </row>
    <row r="587" spans="1:21">
      <c r="A587" s="82"/>
      <c r="B587" s="83"/>
      <c r="C587" s="82"/>
      <c r="D587" s="82"/>
      <c r="E587" s="82"/>
      <c r="F587" s="82"/>
      <c r="G587" s="82"/>
      <c r="H587" s="83"/>
      <c r="I587" s="83"/>
      <c r="J587" s="83"/>
      <c r="K587" s="6"/>
      <c r="L587" s="6"/>
      <c r="M587" s="6"/>
      <c r="N587" s="6"/>
      <c r="O587" s="6"/>
      <c r="P587" s="6"/>
      <c r="Q587" s="6"/>
      <c r="R587" s="6"/>
      <c r="S587" s="6"/>
      <c r="T587" s="6"/>
      <c r="U587" s="6"/>
    </row>
    <row r="588" spans="1:21">
      <c r="A588" s="82"/>
      <c r="B588" s="83"/>
      <c r="C588" s="82"/>
      <c r="D588" s="82"/>
      <c r="E588" s="82"/>
      <c r="F588" s="82"/>
      <c r="G588" s="82"/>
      <c r="H588" s="83"/>
      <c r="I588" s="83"/>
      <c r="J588" s="83"/>
      <c r="K588" s="6"/>
      <c r="L588" s="6"/>
      <c r="M588" s="6"/>
      <c r="N588" s="6"/>
      <c r="O588" s="6"/>
      <c r="P588" s="6"/>
      <c r="Q588" s="6"/>
      <c r="R588" s="6"/>
      <c r="S588" s="6"/>
      <c r="T588" s="6"/>
      <c r="U588" s="6"/>
    </row>
    <row r="589" spans="1:21">
      <c r="A589" s="82"/>
      <c r="B589" s="83"/>
      <c r="C589" s="82"/>
      <c r="D589" s="82"/>
      <c r="E589" s="82"/>
      <c r="F589" s="82"/>
      <c r="G589" s="82"/>
      <c r="H589" s="83"/>
      <c r="I589" s="83"/>
      <c r="J589" s="83"/>
      <c r="K589" s="6"/>
      <c r="L589" s="6"/>
      <c r="M589" s="6"/>
      <c r="N589" s="6"/>
      <c r="O589" s="6"/>
      <c r="P589" s="6"/>
      <c r="Q589" s="6"/>
      <c r="R589" s="6"/>
      <c r="S589" s="6"/>
      <c r="T589" s="6"/>
      <c r="U589" s="6"/>
    </row>
    <row r="590" spans="1:21">
      <c r="A590" s="82"/>
      <c r="B590" s="83"/>
      <c r="C590" s="82"/>
      <c r="D590" s="82"/>
      <c r="E590" s="82"/>
      <c r="F590" s="82"/>
      <c r="G590" s="82"/>
      <c r="H590" s="83"/>
      <c r="I590" s="83"/>
      <c r="J590" s="83"/>
      <c r="K590" s="6"/>
      <c r="L590" s="6"/>
      <c r="M590" s="6"/>
      <c r="N590" s="6"/>
      <c r="O590" s="6"/>
      <c r="P590" s="6"/>
      <c r="Q590" s="6"/>
      <c r="R590" s="6"/>
      <c r="S590" s="6"/>
      <c r="T590" s="6"/>
      <c r="U590" s="6"/>
    </row>
    <row r="591" spans="1:21">
      <c r="A591" s="82"/>
      <c r="B591" s="83"/>
      <c r="C591" s="82"/>
      <c r="D591" s="82"/>
      <c r="E591" s="82"/>
      <c r="F591" s="82"/>
      <c r="G591" s="82"/>
      <c r="H591" s="83"/>
      <c r="I591" s="83"/>
      <c r="J591" s="83"/>
      <c r="K591" s="6"/>
      <c r="L591" s="6"/>
      <c r="M591" s="6"/>
      <c r="N591" s="6"/>
      <c r="O591" s="6"/>
      <c r="P591" s="6"/>
      <c r="Q591" s="6"/>
      <c r="R591" s="6"/>
      <c r="S591" s="6"/>
      <c r="T591" s="6"/>
      <c r="U591" s="6"/>
    </row>
    <row r="592" spans="1:21">
      <c r="A592" s="82"/>
      <c r="B592" s="83"/>
      <c r="C592" s="82"/>
      <c r="D592" s="82"/>
      <c r="E592" s="82"/>
      <c r="F592" s="82"/>
      <c r="G592" s="82"/>
      <c r="H592" s="83"/>
      <c r="I592" s="83"/>
      <c r="J592" s="83"/>
      <c r="K592" s="6"/>
      <c r="L592" s="6"/>
      <c r="M592" s="6"/>
      <c r="N592" s="6"/>
      <c r="O592" s="6"/>
      <c r="P592" s="6"/>
      <c r="Q592" s="6"/>
      <c r="R592" s="6"/>
      <c r="S592" s="6"/>
      <c r="T592" s="6"/>
      <c r="U592" s="6"/>
    </row>
    <row r="593" spans="1:21">
      <c r="A593" s="82"/>
      <c r="B593" s="83"/>
      <c r="C593" s="82"/>
      <c r="D593" s="82"/>
      <c r="E593" s="82"/>
      <c r="F593" s="82"/>
      <c r="G593" s="82"/>
      <c r="H593" s="83"/>
      <c r="I593" s="83"/>
      <c r="J593" s="83"/>
      <c r="K593" s="6"/>
      <c r="L593" s="6"/>
      <c r="M593" s="6"/>
      <c r="N593" s="6"/>
      <c r="O593" s="6"/>
      <c r="P593" s="6"/>
      <c r="Q593" s="6"/>
      <c r="R593" s="6"/>
      <c r="S593" s="6"/>
      <c r="T593" s="6"/>
      <c r="U593" s="6"/>
    </row>
    <row r="594" spans="1:21">
      <c r="A594" s="82"/>
      <c r="B594" s="83"/>
      <c r="C594" s="82"/>
      <c r="D594" s="82"/>
      <c r="E594" s="82"/>
      <c r="F594" s="82"/>
      <c r="G594" s="82"/>
      <c r="H594" s="83"/>
      <c r="I594" s="83"/>
      <c r="J594" s="83"/>
      <c r="K594" s="6"/>
      <c r="L594" s="6"/>
      <c r="M594" s="6"/>
      <c r="N594" s="6"/>
      <c r="O594" s="6"/>
      <c r="P594" s="6"/>
      <c r="Q594" s="6"/>
      <c r="R594" s="6"/>
      <c r="S594" s="6"/>
      <c r="T594" s="6"/>
      <c r="U594" s="6"/>
    </row>
    <row r="595" spans="1:21">
      <c r="A595" s="82"/>
      <c r="B595" s="83"/>
      <c r="C595" s="82"/>
      <c r="D595" s="82"/>
      <c r="E595" s="82"/>
      <c r="F595" s="82"/>
      <c r="G595" s="82"/>
      <c r="H595" s="83"/>
      <c r="I595" s="83"/>
      <c r="J595" s="83"/>
      <c r="K595" s="6"/>
      <c r="L595" s="6"/>
      <c r="M595" s="6"/>
      <c r="N595" s="6"/>
      <c r="O595" s="6"/>
      <c r="P595" s="6"/>
      <c r="Q595" s="6"/>
      <c r="R595" s="6"/>
      <c r="S595" s="6"/>
      <c r="T595" s="6"/>
      <c r="U595" s="6"/>
    </row>
    <row r="596" spans="1:21">
      <c r="A596" s="82"/>
      <c r="B596" s="83"/>
      <c r="C596" s="82"/>
      <c r="D596" s="82"/>
      <c r="E596" s="82"/>
      <c r="F596" s="82"/>
      <c r="G596" s="82"/>
      <c r="H596" s="83"/>
      <c r="I596" s="83"/>
      <c r="J596" s="83"/>
      <c r="K596" s="6"/>
      <c r="L596" s="6"/>
      <c r="M596" s="6"/>
      <c r="N596" s="6"/>
      <c r="O596" s="6"/>
      <c r="P596" s="6"/>
      <c r="Q596" s="6"/>
      <c r="R596" s="6"/>
      <c r="S596" s="6"/>
      <c r="T596" s="6"/>
      <c r="U596" s="6"/>
    </row>
    <row r="597" spans="1:21">
      <c r="A597" s="82"/>
      <c r="B597" s="83"/>
      <c r="C597" s="82"/>
      <c r="D597" s="82"/>
      <c r="E597" s="82"/>
      <c r="F597" s="82"/>
      <c r="G597" s="82"/>
      <c r="H597" s="83"/>
      <c r="I597" s="83"/>
      <c r="J597" s="83"/>
      <c r="K597" s="6"/>
      <c r="L597" s="6"/>
      <c r="M597" s="6"/>
      <c r="N597" s="6"/>
      <c r="O597" s="6"/>
      <c r="P597" s="6"/>
      <c r="Q597" s="6"/>
      <c r="R597" s="6"/>
      <c r="S597" s="6"/>
      <c r="T597" s="6"/>
      <c r="U597" s="6"/>
    </row>
    <row r="598" spans="1:21">
      <c r="A598" s="82"/>
      <c r="B598" s="83"/>
      <c r="C598" s="82"/>
      <c r="D598" s="82"/>
      <c r="E598" s="82"/>
      <c r="F598" s="82"/>
      <c r="G598" s="82"/>
      <c r="H598" s="83"/>
      <c r="I598" s="83"/>
      <c r="J598" s="83"/>
      <c r="K598" s="6"/>
      <c r="L598" s="6"/>
      <c r="M598" s="6"/>
      <c r="N598" s="6"/>
      <c r="O598" s="6"/>
      <c r="P598" s="6"/>
      <c r="Q598" s="6"/>
      <c r="R598" s="6"/>
      <c r="S598" s="6"/>
      <c r="T598" s="6"/>
      <c r="U598" s="6"/>
    </row>
    <row r="599" spans="1:21">
      <c r="A599" s="82"/>
      <c r="B599" s="83"/>
      <c r="C599" s="82"/>
      <c r="D599" s="82"/>
      <c r="E599" s="82"/>
      <c r="F599" s="82"/>
      <c r="G599" s="82"/>
      <c r="H599" s="83"/>
      <c r="I599" s="83"/>
      <c r="J599" s="83"/>
      <c r="K599" s="6"/>
      <c r="L599" s="6"/>
      <c r="M599" s="6"/>
      <c r="N599" s="6"/>
      <c r="O599" s="6"/>
      <c r="P599" s="6"/>
      <c r="Q599" s="6"/>
      <c r="R599" s="6"/>
      <c r="S599" s="6"/>
      <c r="T599" s="6"/>
      <c r="U599" s="6"/>
    </row>
    <row r="600" spans="1:21">
      <c r="A600" s="82"/>
      <c r="B600" s="83"/>
      <c r="C600" s="82"/>
      <c r="D600" s="82"/>
      <c r="E600" s="82"/>
      <c r="F600" s="82"/>
      <c r="G600" s="82"/>
      <c r="H600" s="83"/>
      <c r="I600" s="83"/>
      <c r="J600" s="83"/>
      <c r="K600" s="6"/>
      <c r="L600" s="6"/>
      <c r="M600" s="6"/>
      <c r="N600" s="6"/>
      <c r="O600" s="6"/>
      <c r="P600" s="6"/>
      <c r="Q600" s="6"/>
      <c r="R600" s="6"/>
      <c r="S600" s="6"/>
      <c r="T600" s="6"/>
      <c r="U600" s="6"/>
    </row>
    <row r="601" spans="1:21">
      <c r="A601" s="82"/>
      <c r="B601" s="83"/>
      <c r="C601" s="82"/>
      <c r="D601" s="82"/>
      <c r="E601" s="82"/>
      <c r="F601" s="82"/>
      <c r="G601" s="82"/>
      <c r="H601" s="83"/>
      <c r="I601" s="83"/>
      <c r="J601" s="83"/>
      <c r="K601" s="6"/>
      <c r="L601" s="6"/>
      <c r="M601" s="6"/>
      <c r="N601" s="6"/>
      <c r="O601" s="6"/>
      <c r="P601" s="6"/>
      <c r="Q601" s="6"/>
      <c r="R601" s="6"/>
      <c r="S601" s="6"/>
      <c r="T601" s="6"/>
      <c r="U601" s="6"/>
    </row>
    <row r="602" spans="1:21">
      <c r="A602" s="82"/>
      <c r="B602" s="83"/>
      <c r="C602" s="82"/>
      <c r="D602" s="82"/>
      <c r="E602" s="82"/>
      <c r="F602" s="82"/>
      <c r="G602" s="82"/>
      <c r="H602" s="83"/>
      <c r="I602" s="83"/>
      <c r="J602" s="83"/>
      <c r="K602" s="6"/>
      <c r="L602" s="6"/>
      <c r="M602" s="6"/>
      <c r="N602" s="6"/>
      <c r="O602" s="6"/>
      <c r="P602" s="6"/>
      <c r="Q602" s="6"/>
      <c r="R602" s="6"/>
      <c r="S602" s="6"/>
      <c r="T602" s="6"/>
      <c r="U602" s="6"/>
    </row>
    <row r="603" spans="1:21">
      <c r="A603" s="82"/>
      <c r="B603" s="83"/>
      <c r="C603" s="82"/>
      <c r="D603" s="82"/>
      <c r="E603" s="82"/>
      <c r="F603" s="82"/>
      <c r="G603" s="82"/>
      <c r="H603" s="83"/>
      <c r="I603" s="83"/>
      <c r="J603" s="83"/>
      <c r="K603" s="6"/>
      <c r="L603" s="6"/>
      <c r="M603" s="6"/>
      <c r="N603" s="6"/>
      <c r="O603" s="6"/>
      <c r="P603" s="6"/>
      <c r="Q603" s="6"/>
      <c r="R603" s="6"/>
      <c r="S603" s="6"/>
      <c r="T603" s="6"/>
      <c r="U603" s="6"/>
    </row>
    <row r="604" spans="1:21">
      <c r="A604" s="82"/>
      <c r="B604" s="83"/>
      <c r="C604" s="82"/>
      <c r="D604" s="82"/>
      <c r="E604" s="82"/>
      <c r="F604" s="82"/>
      <c r="G604" s="82"/>
      <c r="H604" s="83"/>
      <c r="I604" s="83"/>
      <c r="J604" s="83"/>
      <c r="K604" s="6"/>
      <c r="L604" s="6"/>
      <c r="M604" s="6"/>
      <c r="N604" s="6"/>
      <c r="O604" s="6"/>
      <c r="P604" s="6"/>
      <c r="Q604" s="6"/>
      <c r="R604" s="6"/>
      <c r="S604" s="6"/>
      <c r="T604" s="6"/>
      <c r="U604" s="6"/>
    </row>
    <row r="605" spans="1:21">
      <c r="A605" s="82"/>
      <c r="B605" s="83"/>
      <c r="C605" s="82"/>
      <c r="D605" s="82"/>
      <c r="E605" s="82"/>
      <c r="F605" s="82"/>
      <c r="G605" s="82"/>
      <c r="H605" s="83"/>
      <c r="I605" s="83"/>
      <c r="J605" s="83"/>
      <c r="K605" s="6"/>
      <c r="L605" s="6"/>
      <c r="M605" s="6"/>
      <c r="N605" s="6"/>
      <c r="O605" s="6"/>
      <c r="P605" s="6"/>
      <c r="Q605" s="6"/>
      <c r="R605" s="6"/>
      <c r="S605" s="6"/>
      <c r="T605" s="6"/>
      <c r="U605" s="6"/>
    </row>
    <row r="606" spans="1:21">
      <c r="A606" s="82"/>
      <c r="B606" s="83"/>
      <c r="C606" s="82"/>
      <c r="D606" s="82"/>
      <c r="E606" s="82"/>
      <c r="F606" s="82"/>
      <c r="G606" s="82"/>
      <c r="H606" s="83"/>
      <c r="I606" s="83"/>
      <c r="J606" s="83"/>
      <c r="K606" s="6"/>
      <c r="L606" s="6"/>
      <c r="M606" s="6"/>
      <c r="N606" s="6"/>
      <c r="O606" s="6"/>
      <c r="P606" s="6"/>
      <c r="Q606" s="6"/>
      <c r="R606" s="6"/>
      <c r="S606" s="6"/>
      <c r="T606" s="6"/>
      <c r="U606" s="6"/>
    </row>
    <row r="607" spans="1:21">
      <c r="A607" s="82"/>
      <c r="B607" s="83"/>
      <c r="C607" s="82"/>
      <c r="D607" s="82"/>
      <c r="E607" s="82"/>
      <c r="F607" s="82"/>
      <c r="G607" s="82"/>
      <c r="H607" s="83"/>
      <c r="I607" s="83"/>
      <c r="J607" s="83"/>
      <c r="K607" s="6"/>
      <c r="L607" s="6"/>
      <c r="M607" s="6"/>
      <c r="N607" s="6"/>
      <c r="O607" s="6"/>
      <c r="P607" s="6"/>
      <c r="Q607" s="6"/>
      <c r="R607" s="6"/>
      <c r="S607" s="6"/>
      <c r="T607" s="6"/>
      <c r="U607" s="6"/>
    </row>
    <row r="608" spans="1:21">
      <c r="A608" s="82"/>
      <c r="B608" s="83"/>
      <c r="C608" s="82"/>
      <c r="D608" s="82"/>
      <c r="E608" s="82"/>
      <c r="F608" s="82"/>
      <c r="G608" s="82"/>
      <c r="H608" s="83"/>
      <c r="I608" s="83"/>
      <c r="J608" s="83"/>
      <c r="K608" s="6"/>
      <c r="L608" s="6"/>
      <c r="M608" s="6"/>
      <c r="N608" s="6"/>
      <c r="O608" s="6"/>
      <c r="P608" s="6"/>
      <c r="Q608" s="6"/>
      <c r="R608" s="6"/>
      <c r="S608" s="6"/>
      <c r="T608" s="6"/>
      <c r="U608" s="6"/>
    </row>
    <row r="609" spans="1:21">
      <c r="A609" s="82"/>
      <c r="B609" s="83"/>
      <c r="C609" s="82"/>
      <c r="D609" s="82"/>
      <c r="E609" s="82"/>
      <c r="F609" s="82"/>
      <c r="G609" s="82"/>
      <c r="H609" s="83"/>
      <c r="I609" s="83"/>
      <c r="J609" s="83"/>
      <c r="K609" s="6"/>
      <c r="L609" s="6"/>
      <c r="M609" s="6"/>
      <c r="N609" s="6"/>
      <c r="O609" s="6"/>
      <c r="P609" s="6"/>
      <c r="Q609" s="6"/>
      <c r="R609" s="6"/>
      <c r="S609" s="6"/>
      <c r="T609" s="6"/>
      <c r="U609" s="6"/>
    </row>
    <row r="610" spans="1:21">
      <c r="A610" s="82"/>
      <c r="B610" s="83"/>
      <c r="C610" s="82"/>
      <c r="D610" s="82"/>
      <c r="E610" s="82"/>
      <c r="F610" s="82"/>
      <c r="G610" s="82"/>
      <c r="H610" s="83"/>
      <c r="I610" s="83"/>
      <c r="J610" s="83"/>
      <c r="K610" s="6"/>
      <c r="L610" s="6"/>
      <c r="M610" s="6"/>
      <c r="N610" s="6"/>
      <c r="O610" s="6"/>
      <c r="P610" s="6"/>
      <c r="Q610" s="6"/>
      <c r="R610" s="6"/>
      <c r="S610" s="6"/>
      <c r="T610" s="6"/>
      <c r="U610" s="6"/>
    </row>
    <row r="611" spans="1:21">
      <c r="A611" s="82"/>
      <c r="B611" s="83"/>
      <c r="C611" s="82"/>
      <c r="D611" s="82"/>
      <c r="E611" s="82"/>
      <c r="F611" s="82"/>
      <c r="G611" s="82"/>
      <c r="H611" s="83"/>
      <c r="I611" s="83"/>
      <c r="J611" s="83"/>
      <c r="K611" s="6"/>
      <c r="L611" s="6"/>
      <c r="M611" s="6"/>
      <c r="N611" s="6"/>
      <c r="O611" s="6"/>
      <c r="P611" s="6"/>
      <c r="Q611" s="6"/>
      <c r="R611" s="6"/>
      <c r="S611" s="6"/>
      <c r="T611" s="6"/>
      <c r="U611" s="6"/>
    </row>
    <row r="612" spans="1:21">
      <c r="A612" s="82"/>
      <c r="B612" s="83"/>
      <c r="C612" s="82"/>
      <c r="D612" s="82"/>
      <c r="E612" s="82"/>
      <c r="F612" s="82"/>
      <c r="G612" s="82"/>
      <c r="H612" s="83"/>
      <c r="I612" s="83"/>
      <c r="J612" s="83"/>
      <c r="K612" s="6"/>
      <c r="L612" s="6"/>
      <c r="M612" s="6"/>
      <c r="N612" s="6"/>
      <c r="O612" s="6"/>
      <c r="P612" s="6"/>
      <c r="Q612" s="6"/>
      <c r="R612" s="6"/>
      <c r="S612" s="6"/>
      <c r="T612" s="6"/>
      <c r="U612" s="6"/>
    </row>
    <row r="613" spans="1:21">
      <c r="A613" s="82"/>
      <c r="B613" s="83"/>
      <c r="C613" s="82"/>
      <c r="D613" s="82"/>
      <c r="E613" s="82"/>
      <c r="F613" s="82"/>
      <c r="G613" s="82"/>
      <c r="H613" s="83"/>
      <c r="I613" s="83"/>
      <c r="J613" s="83"/>
      <c r="K613" s="6"/>
      <c r="L613" s="6"/>
      <c r="M613" s="6"/>
      <c r="N613" s="6"/>
      <c r="O613" s="6"/>
      <c r="P613" s="6"/>
      <c r="Q613" s="6"/>
      <c r="R613" s="6"/>
      <c r="S613" s="6"/>
      <c r="T613" s="6"/>
      <c r="U613" s="6"/>
    </row>
    <row r="614" spans="1:21">
      <c r="A614" s="82"/>
      <c r="B614" s="83"/>
      <c r="C614" s="82"/>
      <c r="D614" s="82"/>
      <c r="E614" s="82"/>
      <c r="F614" s="82"/>
      <c r="G614" s="82"/>
      <c r="H614" s="83"/>
      <c r="I614" s="83"/>
      <c r="J614" s="83"/>
      <c r="K614" s="6"/>
      <c r="L614" s="6"/>
      <c r="M614" s="6"/>
      <c r="N614" s="6"/>
      <c r="O614" s="6"/>
      <c r="P614" s="6"/>
      <c r="Q614" s="6"/>
      <c r="R614" s="6"/>
      <c r="S614" s="6"/>
      <c r="T614" s="6"/>
      <c r="U614" s="6"/>
    </row>
    <row r="615" spans="1:21">
      <c r="A615" s="82"/>
      <c r="B615" s="83"/>
      <c r="C615" s="82"/>
      <c r="D615" s="82"/>
      <c r="E615" s="82"/>
      <c r="F615" s="82"/>
      <c r="G615" s="82"/>
      <c r="H615" s="83"/>
      <c r="I615" s="83"/>
      <c r="J615" s="83"/>
      <c r="K615" s="6"/>
      <c r="L615" s="6"/>
      <c r="M615" s="6"/>
      <c r="N615" s="6"/>
      <c r="O615" s="6"/>
      <c r="P615" s="6"/>
      <c r="Q615" s="6"/>
      <c r="R615" s="6"/>
      <c r="S615" s="6"/>
      <c r="T615" s="6"/>
      <c r="U615" s="6"/>
    </row>
    <row r="616" spans="1:21">
      <c r="A616" s="82"/>
      <c r="B616" s="83"/>
      <c r="C616" s="82"/>
      <c r="D616" s="82"/>
      <c r="E616" s="82"/>
      <c r="F616" s="82"/>
      <c r="G616" s="82"/>
      <c r="H616" s="83"/>
      <c r="I616" s="83"/>
      <c r="J616" s="83"/>
      <c r="K616" s="6"/>
      <c r="L616" s="6"/>
      <c r="M616" s="6"/>
      <c r="N616" s="6"/>
      <c r="O616" s="6"/>
      <c r="P616" s="6"/>
      <c r="Q616" s="6"/>
      <c r="R616" s="6"/>
      <c r="S616" s="6"/>
      <c r="T616" s="6"/>
      <c r="U616" s="6"/>
    </row>
    <row r="617" spans="1:21">
      <c r="A617" s="82"/>
      <c r="B617" s="83"/>
      <c r="C617" s="82"/>
      <c r="D617" s="82"/>
      <c r="E617" s="82"/>
      <c r="F617" s="82"/>
      <c r="G617" s="82"/>
      <c r="H617" s="83"/>
      <c r="I617" s="83"/>
      <c r="J617" s="83"/>
      <c r="K617" s="6"/>
      <c r="L617" s="6"/>
      <c r="M617" s="6"/>
      <c r="N617" s="6"/>
      <c r="O617" s="6"/>
      <c r="P617" s="6"/>
      <c r="Q617" s="6"/>
      <c r="R617" s="6"/>
      <c r="S617" s="6"/>
      <c r="T617" s="6"/>
      <c r="U617" s="6"/>
    </row>
    <row r="618" spans="1:21">
      <c r="A618" s="82"/>
      <c r="B618" s="83"/>
      <c r="C618" s="82"/>
      <c r="D618" s="82"/>
      <c r="E618" s="82"/>
      <c r="F618" s="82"/>
      <c r="G618" s="82"/>
      <c r="H618" s="83"/>
      <c r="I618" s="83"/>
      <c r="J618" s="83"/>
      <c r="K618" s="6"/>
      <c r="L618" s="6"/>
      <c r="M618" s="6"/>
      <c r="N618" s="6"/>
      <c r="O618" s="6"/>
      <c r="P618" s="6"/>
      <c r="Q618" s="6"/>
      <c r="R618" s="6"/>
      <c r="S618" s="6"/>
      <c r="T618" s="6"/>
      <c r="U618" s="6"/>
    </row>
    <row r="619" spans="1:21">
      <c r="A619" s="82"/>
      <c r="B619" s="83"/>
      <c r="C619" s="82"/>
      <c r="D619" s="82"/>
      <c r="E619" s="82"/>
      <c r="F619" s="82"/>
      <c r="G619" s="82"/>
      <c r="H619" s="83"/>
      <c r="I619" s="83"/>
      <c r="J619" s="83"/>
      <c r="K619" s="6"/>
      <c r="L619" s="6"/>
      <c r="M619" s="6"/>
      <c r="N619" s="6"/>
      <c r="O619" s="6"/>
      <c r="P619" s="6"/>
      <c r="Q619" s="6"/>
      <c r="R619" s="6"/>
      <c r="S619" s="6"/>
      <c r="T619" s="6"/>
      <c r="U619" s="6"/>
    </row>
    <row r="620" spans="1:21">
      <c r="A620" s="82"/>
      <c r="B620" s="83"/>
      <c r="C620" s="82"/>
      <c r="D620" s="82"/>
      <c r="E620" s="82"/>
      <c r="F620" s="82"/>
      <c r="G620" s="82"/>
      <c r="H620" s="83"/>
      <c r="I620" s="83"/>
      <c r="J620" s="83"/>
      <c r="K620" s="6"/>
      <c r="L620" s="6"/>
      <c r="M620" s="6"/>
      <c r="N620" s="6"/>
      <c r="O620" s="6"/>
      <c r="P620" s="6"/>
      <c r="Q620" s="6"/>
      <c r="R620" s="6"/>
      <c r="S620" s="6"/>
      <c r="T620" s="6"/>
      <c r="U620" s="6"/>
    </row>
    <row r="621" spans="1:21">
      <c r="A621" s="82"/>
      <c r="B621" s="83"/>
      <c r="C621" s="82"/>
      <c r="D621" s="82"/>
      <c r="E621" s="82"/>
      <c r="F621" s="82"/>
      <c r="G621" s="82"/>
      <c r="H621" s="83"/>
      <c r="I621" s="83"/>
      <c r="J621" s="83"/>
      <c r="K621" s="6"/>
      <c r="L621" s="6"/>
      <c r="M621" s="6"/>
      <c r="N621" s="6"/>
      <c r="O621" s="6"/>
      <c r="P621" s="6"/>
      <c r="Q621" s="6"/>
      <c r="R621" s="6"/>
      <c r="S621" s="6"/>
      <c r="T621" s="6"/>
      <c r="U621" s="6"/>
    </row>
    <row r="622" spans="1:21">
      <c r="A622" s="82"/>
      <c r="B622" s="83"/>
      <c r="C622" s="82"/>
      <c r="D622" s="82"/>
      <c r="E622" s="82"/>
      <c r="F622" s="82"/>
      <c r="G622" s="82"/>
      <c r="H622" s="83"/>
      <c r="I622" s="83"/>
      <c r="J622" s="83"/>
      <c r="K622" s="6"/>
      <c r="L622" s="6"/>
      <c r="M622" s="6"/>
      <c r="N622" s="6"/>
      <c r="O622" s="6"/>
      <c r="P622" s="6"/>
      <c r="Q622" s="6"/>
      <c r="R622" s="6"/>
      <c r="S622" s="6"/>
      <c r="T622" s="6"/>
      <c r="U622" s="6"/>
    </row>
    <row r="623" spans="1:21">
      <c r="A623" s="82"/>
      <c r="B623" s="83"/>
      <c r="C623" s="82"/>
      <c r="D623" s="82"/>
      <c r="E623" s="82"/>
      <c r="F623" s="82"/>
      <c r="G623" s="82"/>
      <c r="H623" s="83"/>
      <c r="I623" s="83"/>
      <c r="J623" s="83"/>
      <c r="K623" s="6"/>
      <c r="L623" s="6"/>
      <c r="M623" s="6"/>
      <c r="N623" s="6"/>
      <c r="O623" s="6"/>
      <c r="P623" s="6"/>
      <c r="Q623" s="6"/>
      <c r="R623" s="6"/>
      <c r="S623" s="6"/>
      <c r="T623" s="6"/>
      <c r="U623" s="6"/>
    </row>
    <row r="624" spans="1:21">
      <c r="A624" s="82"/>
      <c r="B624" s="83"/>
      <c r="C624" s="82"/>
      <c r="D624" s="82"/>
      <c r="E624" s="82"/>
      <c r="F624" s="82"/>
      <c r="G624" s="82"/>
      <c r="H624" s="83"/>
      <c r="I624" s="83"/>
      <c r="J624" s="83"/>
      <c r="K624" s="6"/>
      <c r="L624" s="6"/>
      <c r="M624" s="6"/>
      <c r="N624" s="6"/>
      <c r="O624" s="6"/>
      <c r="P624" s="6"/>
      <c r="Q624" s="6"/>
      <c r="R624" s="6"/>
      <c r="S624" s="6"/>
      <c r="T624" s="6"/>
      <c r="U624" s="6"/>
    </row>
    <row r="625" spans="1:21">
      <c r="A625" s="82"/>
      <c r="B625" s="83"/>
      <c r="C625" s="82"/>
      <c r="D625" s="82"/>
      <c r="E625" s="82"/>
      <c r="F625" s="82"/>
      <c r="G625" s="82"/>
      <c r="H625" s="83"/>
      <c r="I625" s="83"/>
      <c r="J625" s="83"/>
      <c r="K625" s="6"/>
      <c r="L625" s="6"/>
      <c r="M625" s="6"/>
      <c r="N625" s="6"/>
      <c r="O625" s="6"/>
      <c r="P625" s="6"/>
      <c r="Q625" s="6"/>
      <c r="R625" s="6"/>
      <c r="S625" s="6"/>
      <c r="T625" s="6"/>
      <c r="U625" s="6"/>
    </row>
    <row r="626" spans="1:21">
      <c r="A626" s="82"/>
      <c r="B626" s="83"/>
      <c r="C626" s="82"/>
      <c r="D626" s="82"/>
      <c r="E626" s="82"/>
      <c r="F626" s="82"/>
      <c r="G626" s="82"/>
      <c r="H626" s="83"/>
      <c r="I626" s="83"/>
      <c r="J626" s="83"/>
      <c r="K626" s="6"/>
      <c r="L626" s="6"/>
      <c r="M626" s="6"/>
      <c r="N626" s="6"/>
      <c r="O626" s="6"/>
      <c r="P626" s="6"/>
      <c r="Q626" s="6"/>
      <c r="R626" s="6"/>
      <c r="S626" s="6"/>
      <c r="T626" s="6"/>
      <c r="U626" s="6"/>
    </row>
    <row r="627" spans="1:21">
      <c r="A627" s="82"/>
      <c r="B627" s="83"/>
      <c r="C627" s="82"/>
      <c r="D627" s="82"/>
      <c r="E627" s="82"/>
      <c r="F627" s="82"/>
      <c r="G627" s="82"/>
      <c r="H627" s="83"/>
      <c r="I627" s="83"/>
      <c r="J627" s="83"/>
      <c r="K627" s="6"/>
      <c r="L627" s="6"/>
      <c r="M627" s="6"/>
      <c r="N627" s="6"/>
      <c r="O627" s="6"/>
      <c r="P627" s="6"/>
      <c r="Q627" s="6"/>
      <c r="R627" s="6"/>
      <c r="S627" s="6"/>
      <c r="T627" s="6"/>
      <c r="U627" s="6"/>
    </row>
    <row r="628" spans="1:21">
      <c r="A628" s="82"/>
      <c r="B628" s="83"/>
      <c r="C628" s="82"/>
      <c r="D628" s="82"/>
      <c r="E628" s="82"/>
      <c r="F628" s="82"/>
      <c r="G628" s="82"/>
      <c r="H628" s="83"/>
      <c r="I628" s="83"/>
      <c r="J628" s="83"/>
      <c r="K628" s="6"/>
      <c r="L628" s="6"/>
      <c r="M628" s="6"/>
      <c r="N628" s="6"/>
      <c r="O628" s="6"/>
      <c r="P628" s="6"/>
      <c r="Q628" s="6"/>
      <c r="R628" s="6"/>
      <c r="S628" s="6"/>
      <c r="T628" s="6"/>
      <c r="U628" s="6"/>
    </row>
    <row r="629" spans="1:21">
      <c r="A629" s="82"/>
      <c r="B629" s="83"/>
      <c r="C629" s="82"/>
      <c r="D629" s="82"/>
      <c r="E629" s="82"/>
      <c r="F629" s="82"/>
      <c r="G629" s="82"/>
      <c r="H629" s="83"/>
      <c r="I629" s="83"/>
      <c r="J629" s="83"/>
      <c r="K629" s="6"/>
      <c r="L629" s="6"/>
      <c r="M629" s="6"/>
      <c r="N629" s="6"/>
      <c r="O629" s="6"/>
      <c r="P629" s="6"/>
      <c r="Q629" s="6"/>
      <c r="R629" s="6"/>
      <c r="S629" s="6"/>
      <c r="T629" s="6"/>
      <c r="U629" s="6"/>
    </row>
    <row r="630" spans="1:21">
      <c r="A630" s="82"/>
      <c r="B630" s="83"/>
      <c r="C630" s="82"/>
      <c r="D630" s="82"/>
      <c r="E630" s="82"/>
      <c r="F630" s="82"/>
      <c r="G630" s="82"/>
      <c r="H630" s="83"/>
      <c r="I630" s="83"/>
      <c r="J630" s="83"/>
      <c r="K630" s="6"/>
      <c r="L630" s="6"/>
      <c r="M630" s="6"/>
      <c r="N630" s="6"/>
      <c r="O630" s="6"/>
      <c r="P630" s="6"/>
      <c r="Q630" s="6"/>
      <c r="R630" s="6"/>
      <c r="S630" s="6"/>
      <c r="T630" s="6"/>
      <c r="U630" s="6"/>
    </row>
    <row r="631" spans="1:21">
      <c r="A631" s="82"/>
      <c r="B631" s="83"/>
      <c r="C631" s="82"/>
      <c r="D631" s="82"/>
      <c r="E631" s="82"/>
      <c r="F631" s="82"/>
      <c r="G631" s="82"/>
      <c r="H631" s="83"/>
      <c r="I631" s="83"/>
      <c r="J631" s="83"/>
      <c r="K631" s="6"/>
      <c r="L631" s="6"/>
      <c r="M631" s="6"/>
      <c r="N631" s="6"/>
      <c r="O631" s="6"/>
      <c r="P631" s="6"/>
      <c r="Q631" s="6"/>
      <c r="R631" s="6"/>
      <c r="S631" s="6"/>
      <c r="T631" s="6"/>
      <c r="U631" s="6"/>
    </row>
    <row r="632" spans="1:21">
      <c r="A632" s="82"/>
      <c r="B632" s="83"/>
      <c r="C632" s="82"/>
      <c r="D632" s="82"/>
      <c r="E632" s="82"/>
      <c r="F632" s="82"/>
      <c r="G632" s="82"/>
      <c r="H632" s="83"/>
      <c r="I632" s="83"/>
      <c r="J632" s="83"/>
      <c r="K632" s="6"/>
      <c r="L632" s="6"/>
      <c r="M632" s="6"/>
      <c r="N632" s="6"/>
      <c r="O632" s="6"/>
      <c r="P632" s="6"/>
      <c r="Q632" s="6"/>
      <c r="R632" s="6"/>
      <c r="S632" s="6"/>
      <c r="T632" s="6"/>
      <c r="U632" s="6"/>
    </row>
    <row r="633" spans="1:21">
      <c r="A633" s="82"/>
      <c r="B633" s="83"/>
      <c r="C633" s="82"/>
      <c r="D633" s="82"/>
      <c r="E633" s="82"/>
      <c r="F633" s="82"/>
      <c r="G633" s="82"/>
      <c r="H633" s="83"/>
      <c r="I633" s="83"/>
      <c r="J633" s="83"/>
      <c r="K633" s="6"/>
      <c r="L633" s="6"/>
      <c r="M633" s="6"/>
      <c r="N633" s="6"/>
      <c r="O633" s="6"/>
      <c r="P633" s="6"/>
      <c r="Q633" s="6"/>
      <c r="R633" s="6"/>
      <c r="S633" s="6"/>
      <c r="T633" s="6"/>
      <c r="U633" s="6"/>
    </row>
    <row r="634" spans="1:21">
      <c r="A634" s="82"/>
      <c r="B634" s="83"/>
      <c r="C634" s="82"/>
      <c r="D634" s="82"/>
      <c r="E634" s="82"/>
      <c r="F634" s="82"/>
      <c r="G634" s="82"/>
      <c r="H634" s="83"/>
      <c r="I634" s="83"/>
      <c r="J634" s="83"/>
      <c r="K634" s="6"/>
      <c r="L634" s="6"/>
      <c r="M634" s="6"/>
      <c r="N634" s="6"/>
      <c r="O634" s="6"/>
      <c r="P634" s="6"/>
      <c r="Q634" s="6"/>
      <c r="R634" s="6"/>
      <c r="S634" s="6"/>
      <c r="T634" s="6"/>
      <c r="U634" s="6"/>
    </row>
    <row r="635" spans="1:21">
      <c r="A635" s="82"/>
      <c r="B635" s="83"/>
      <c r="C635" s="82"/>
      <c r="D635" s="82"/>
      <c r="E635" s="82"/>
      <c r="F635" s="82"/>
      <c r="G635" s="82"/>
      <c r="H635" s="83"/>
      <c r="I635" s="83"/>
      <c r="J635" s="83"/>
      <c r="K635" s="6"/>
      <c r="L635" s="6"/>
      <c r="M635" s="6"/>
      <c r="N635" s="6"/>
      <c r="O635" s="6"/>
      <c r="P635" s="6"/>
      <c r="Q635" s="6"/>
      <c r="R635" s="6"/>
      <c r="S635" s="6"/>
      <c r="T635" s="6"/>
      <c r="U635" s="6"/>
    </row>
    <row r="636" spans="1:21">
      <c r="A636" s="82"/>
      <c r="B636" s="83"/>
      <c r="C636" s="82"/>
      <c r="D636" s="82"/>
      <c r="E636" s="82"/>
      <c r="F636" s="82"/>
      <c r="G636" s="82"/>
      <c r="H636" s="83"/>
      <c r="I636" s="83"/>
      <c r="J636" s="83"/>
      <c r="K636" s="6"/>
      <c r="L636" s="6"/>
      <c r="M636" s="6"/>
      <c r="N636" s="6"/>
      <c r="O636" s="6"/>
      <c r="P636" s="6"/>
      <c r="Q636" s="6"/>
      <c r="R636" s="6"/>
      <c r="S636" s="6"/>
      <c r="T636" s="6"/>
      <c r="U636" s="6"/>
    </row>
    <row r="637" spans="1:21">
      <c r="A637" s="82"/>
      <c r="B637" s="83"/>
      <c r="C637" s="82"/>
      <c r="D637" s="82"/>
      <c r="E637" s="82"/>
      <c r="F637" s="82"/>
      <c r="G637" s="82"/>
      <c r="H637" s="83"/>
      <c r="I637" s="83"/>
      <c r="J637" s="83"/>
      <c r="K637" s="6"/>
      <c r="L637" s="6"/>
      <c r="M637" s="6"/>
      <c r="N637" s="6"/>
      <c r="O637" s="6"/>
      <c r="P637" s="6"/>
      <c r="Q637" s="6"/>
      <c r="R637" s="6"/>
      <c r="S637" s="6"/>
      <c r="T637" s="6"/>
      <c r="U637" s="6"/>
    </row>
    <row r="638" spans="1:21">
      <c r="A638" s="82"/>
      <c r="B638" s="83"/>
      <c r="C638" s="82"/>
      <c r="D638" s="82"/>
      <c r="E638" s="82"/>
      <c r="F638" s="82"/>
      <c r="G638" s="82"/>
      <c r="H638" s="83"/>
      <c r="I638" s="83"/>
      <c r="J638" s="83"/>
      <c r="K638" s="6"/>
      <c r="L638" s="6"/>
      <c r="M638" s="6"/>
      <c r="N638" s="6"/>
      <c r="O638" s="6"/>
      <c r="P638" s="6"/>
      <c r="Q638" s="6"/>
      <c r="R638" s="6"/>
      <c r="S638" s="6"/>
      <c r="T638" s="6"/>
      <c r="U638" s="6"/>
    </row>
    <row r="639" spans="1:21">
      <c r="A639" s="82"/>
      <c r="B639" s="83"/>
      <c r="C639" s="82"/>
      <c r="D639" s="82"/>
      <c r="E639" s="82"/>
      <c r="F639" s="82"/>
      <c r="G639" s="82"/>
      <c r="H639" s="83"/>
      <c r="I639" s="83"/>
      <c r="J639" s="83"/>
      <c r="K639" s="6"/>
      <c r="L639" s="6"/>
      <c r="M639" s="6"/>
      <c r="N639" s="6"/>
      <c r="O639" s="6"/>
      <c r="P639" s="6"/>
      <c r="Q639" s="6"/>
      <c r="R639" s="6"/>
      <c r="S639" s="6"/>
      <c r="T639" s="6"/>
      <c r="U639" s="6"/>
    </row>
    <row r="640" spans="1:21">
      <c r="A640" s="82"/>
      <c r="B640" s="83"/>
      <c r="C640" s="82"/>
      <c r="D640" s="82"/>
      <c r="E640" s="82"/>
      <c r="F640" s="82"/>
      <c r="G640" s="82"/>
      <c r="H640" s="83"/>
      <c r="I640" s="83"/>
      <c r="J640" s="83"/>
      <c r="K640" s="6"/>
      <c r="L640" s="6"/>
      <c r="M640" s="6"/>
      <c r="N640" s="6"/>
      <c r="O640" s="6"/>
      <c r="P640" s="6"/>
      <c r="Q640" s="6"/>
      <c r="R640" s="6"/>
      <c r="S640" s="6"/>
      <c r="T640" s="6"/>
      <c r="U640" s="6"/>
    </row>
    <row r="641" spans="1:21">
      <c r="A641" s="82"/>
      <c r="B641" s="83"/>
      <c r="C641" s="82"/>
      <c r="D641" s="82"/>
      <c r="E641" s="82"/>
      <c r="F641" s="82"/>
      <c r="G641" s="82"/>
      <c r="H641" s="83"/>
      <c r="I641" s="83"/>
      <c r="J641" s="83"/>
      <c r="K641" s="6"/>
      <c r="L641" s="6"/>
      <c r="M641" s="6"/>
      <c r="N641" s="6"/>
      <c r="O641" s="6"/>
      <c r="P641" s="6"/>
      <c r="Q641" s="6"/>
      <c r="R641" s="6"/>
      <c r="S641" s="6"/>
      <c r="T641" s="6"/>
      <c r="U641" s="6"/>
    </row>
    <row r="642" spans="1:21">
      <c r="A642" s="82"/>
      <c r="B642" s="83"/>
      <c r="C642" s="82"/>
      <c r="D642" s="82"/>
      <c r="E642" s="82"/>
      <c r="F642" s="82"/>
      <c r="G642" s="82"/>
      <c r="H642" s="83"/>
      <c r="I642" s="83"/>
      <c r="J642" s="83"/>
      <c r="K642" s="6"/>
      <c r="L642" s="6"/>
      <c r="M642" s="6"/>
      <c r="N642" s="6"/>
      <c r="O642" s="6"/>
      <c r="P642" s="6"/>
      <c r="Q642" s="6"/>
      <c r="R642" s="6"/>
      <c r="S642" s="6"/>
      <c r="T642" s="6"/>
      <c r="U642" s="6"/>
    </row>
    <row r="643" spans="1:21">
      <c r="A643" s="82"/>
      <c r="B643" s="83"/>
      <c r="C643" s="82"/>
      <c r="D643" s="82"/>
      <c r="E643" s="82"/>
      <c r="F643" s="82"/>
      <c r="G643" s="82"/>
      <c r="H643" s="83"/>
      <c r="I643" s="83"/>
      <c r="J643" s="83"/>
      <c r="K643" s="6"/>
      <c r="L643" s="6"/>
      <c r="M643" s="6"/>
      <c r="N643" s="6"/>
      <c r="O643" s="6"/>
      <c r="P643" s="6"/>
      <c r="Q643" s="6"/>
      <c r="R643" s="6"/>
      <c r="S643" s="6"/>
      <c r="T643" s="6"/>
      <c r="U643" s="6"/>
    </row>
    <row r="644" spans="1:21">
      <c r="A644" s="82"/>
      <c r="B644" s="83"/>
      <c r="C644" s="82"/>
      <c r="D644" s="82"/>
      <c r="E644" s="82"/>
      <c r="F644" s="82"/>
      <c r="G644" s="82"/>
      <c r="H644" s="83"/>
      <c r="I644" s="83"/>
      <c r="J644" s="83"/>
      <c r="K644" s="6"/>
      <c r="L644" s="6"/>
      <c r="M644" s="6"/>
      <c r="N644" s="6"/>
      <c r="O644" s="6"/>
      <c r="P644" s="6"/>
      <c r="Q644" s="6"/>
      <c r="R644" s="6"/>
      <c r="S644" s="6"/>
      <c r="T644" s="6"/>
      <c r="U644" s="6"/>
    </row>
    <row r="645" spans="1:21">
      <c r="A645" s="82"/>
      <c r="B645" s="83"/>
      <c r="C645" s="82"/>
      <c r="D645" s="82"/>
      <c r="E645" s="82"/>
      <c r="F645" s="82"/>
      <c r="G645" s="82"/>
      <c r="H645" s="83"/>
      <c r="I645" s="83"/>
      <c r="J645" s="83"/>
      <c r="K645" s="6"/>
      <c r="L645" s="6"/>
      <c r="M645" s="6"/>
      <c r="N645" s="6"/>
      <c r="O645" s="6"/>
      <c r="P645" s="6"/>
      <c r="Q645" s="6"/>
      <c r="R645" s="6"/>
      <c r="S645" s="6"/>
      <c r="T645" s="6"/>
      <c r="U645" s="6"/>
    </row>
    <row r="646" spans="1:21">
      <c r="A646" s="82"/>
      <c r="B646" s="83"/>
      <c r="C646" s="82"/>
      <c r="D646" s="82"/>
      <c r="E646" s="82"/>
      <c r="F646" s="82"/>
      <c r="G646" s="82"/>
      <c r="H646" s="83"/>
      <c r="I646" s="83"/>
      <c r="J646" s="83"/>
      <c r="K646" s="6"/>
      <c r="L646" s="6"/>
      <c r="M646" s="6"/>
      <c r="N646" s="6"/>
      <c r="O646" s="6"/>
      <c r="P646" s="6"/>
      <c r="Q646" s="6"/>
      <c r="R646" s="6"/>
      <c r="S646" s="6"/>
      <c r="T646" s="6"/>
      <c r="U646" s="6"/>
    </row>
    <row r="647" spans="1:21">
      <c r="A647" s="82"/>
      <c r="B647" s="83"/>
      <c r="C647" s="82"/>
      <c r="D647" s="82"/>
      <c r="E647" s="82"/>
      <c r="F647" s="82"/>
      <c r="G647" s="82"/>
      <c r="H647" s="83"/>
      <c r="I647" s="83"/>
      <c r="J647" s="83"/>
      <c r="K647" s="6"/>
      <c r="L647" s="6"/>
      <c r="M647" s="6"/>
      <c r="N647" s="6"/>
      <c r="O647" s="6"/>
      <c r="P647" s="6"/>
      <c r="Q647" s="6"/>
      <c r="R647" s="6"/>
      <c r="S647" s="6"/>
      <c r="T647" s="6"/>
      <c r="U647" s="6"/>
    </row>
    <row r="648" spans="1:21">
      <c r="A648" s="82"/>
      <c r="B648" s="83"/>
      <c r="C648" s="82"/>
      <c r="D648" s="82"/>
      <c r="E648" s="82"/>
      <c r="F648" s="82"/>
      <c r="G648" s="82"/>
      <c r="H648" s="83"/>
      <c r="I648" s="83"/>
      <c r="J648" s="83"/>
      <c r="K648" s="6"/>
      <c r="L648" s="6"/>
      <c r="M648" s="6"/>
      <c r="N648" s="6"/>
      <c r="O648" s="6"/>
      <c r="P648" s="6"/>
      <c r="Q648" s="6"/>
      <c r="R648" s="6"/>
      <c r="S648" s="6"/>
      <c r="T648" s="6"/>
      <c r="U648" s="6"/>
    </row>
    <row r="649" spans="1:21">
      <c r="A649" s="82"/>
      <c r="B649" s="83"/>
      <c r="C649" s="82"/>
      <c r="D649" s="82"/>
      <c r="E649" s="82"/>
      <c r="F649" s="82"/>
      <c r="G649" s="82"/>
      <c r="H649" s="83"/>
      <c r="I649" s="83"/>
      <c r="J649" s="83"/>
      <c r="K649" s="6"/>
      <c r="L649" s="6"/>
      <c r="M649" s="6"/>
      <c r="N649" s="6"/>
      <c r="O649" s="6"/>
      <c r="P649" s="6"/>
      <c r="Q649" s="6"/>
      <c r="R649" s="6"/>
      <c r="S649" s="6"/>
      <c r="T649" s="6"/>
      <c r="U649" s="6"/>
    </row>
    <row r="650" spans="1:21">
      <c r="A650" s="82"/>
      <c r="B650" s="83"/>
      <c r="C650" s="82"/>
      <c r="D650" s="82"/>
      <c r="E650" s="82"/>
      <c r="F650" s="82"/>
      <c r="G650" s="82"/>
      <c r="H650" s="83"/>
      <c r="I650" s="83"/>
      <c r="J650" s="83"/>
      <c r="K650" s="6"/>
      <c r="L650" s="6"/>
      <c r="M650" s="6"/>
      <c r="N650" s="6"/>
      <c r="O650" s="6"/>
      <c r="P650" s="6"/>
      <c r="Q650" s="6"/>
      <c r="R650" s="6"/>
      <c r="S650" s="6"/>
      <c r="T650" s="6"/>
      <c r="U650" s="6"/>
    </row>
    <row r="651" spans="1:21">
      <c r="A651" s="82"/>
      <c r="B651" s="83"/>
      <c r="C651" s="82"/>
      <c r="D651" s="82"/>
      <c r="E651" s="82"/>
      <c r="F651" s="82"/>
      <c r="G651" s="82"/>
      <c r="H651" s="83"/>
      <c r="I651" s="83"/>
      <c r="J651" s="83"/>
      <c r="K651" s="6"/>
      <c r="L651" s="6"/>
      <c r="M651" s="6"/>
      <c r="N651" s="6"/>
      <c r="O651" s="6"/>
      <c r="P651" s="6"/>
      <c r="Q651" s="6"/>
      <c r="R651" s="6"/>
      <c r="S651" s="6"/>
      <c r="T651" s="6"/>
      <c r="U651" s="6"/>
    </row>
    <row r="652" spans="1:21">
      <c r="A652" s="82"/>
      <c r="B652" s="83"/>
      <c r="C652" s="82"/>
      <c r="D652" s="82"/>
      <c r="E652" s="82"/>
      <c r="F652" s="82"/>
      <c r="G652" s="82"/>
      <c r="H652" s="83"/>
      <c r="I652" s="83"/>
      <c r="J652" s="83"/>
      <c r="K652" s="6"/>
      <c r="L652" s="6"/>
      <c r="M652" s="6"/>
      <c r="N652" s="6"/>
      <c r="O652" s="6"/>
      <c r="P652" s="6"/>
      <c r="Q652" s="6"/>
      <c r="R652" s="6"/>
      <c r="S652" s="6"/>
      <c r="T652" s="6"/>
      <c r="U652" s="6"/>
    </row>
    <row r="653" spans="1:21">
      <c r="A653" s="82"/>
      <c r="B653" s="83"/>
      <c r="C653" s="82"/>
      <c r="D653" s="82"/>
      <c r="E653" s="82"/>
      <c r="F653" s="82"/>
      <c r="G653" s="82"/>
      <c r="H653" s="83"/>
      <c r="I653" s="83"/>
      <c r="J653" s="83"/>
      <c r="K653" s="6"/>
      <c r="L653" s="6"/>
      <c r="M653" s="6"/>
      <c r="N653" s="6"/>
      <c r="O653" s="6"/>
      <c r="P653" s="6"/>
      <c r="Q653" s="6"/>
      <c r="R653" s="6"/>
      <c r="S653" s="6"/>
      <c r="T653" s="6"/>
      <c r="U653" s="6"/>
    </row>
    <row r="654" spans="1:21">
      <c r="A654" s="82"/>
      <c r="B654" s="83"/>
      <c r="C654" s="82"/>
      <c r="D654" s="82"/>
      <c r="E654" s="82"/>
      <c r="F654" s="82"/>
      <c r="G654" s="82"/>
      <c r="H654" s="83"/>
      <c r="I654" s="83"/>
      <c r="J654" s="83"/>
      <c r="K654" s="6"/>
      <c r="L654" s="6"/>
      <c r="M654" s="6"/>
      <c r="N654" s="6"/>
      <c r="O654" s="6"/>
      <c r="P654" s="6"/>
      <c r="Q654" s="6"/>
      <c r="R654" s="6"/>
      <c r="S654" s="6"/>
      <c r="T654" s="6"/>
      <c r="U654" s="6"/>
    </row>
    <row r="655" spans="1:21">
      <c r="A655" s="82"/>
      <c r="B655" s="83"/>
      <c r="C655" s="82"/>
      <c r="D655" s="82"/>
      <c r="E655" s="82"/>
      <c r="F655" s="82"/>
      <c r="G655" s="82"/>
      <c r="H655" s="83"/>
      <c r="I655" s="83"/>
      <c r="J655" s="83"/>
      <c r="K655" s="6"/>
      <c r="L655" s="6"/>
      <c r="M655" s="6"/>
      <c r="N655" s="6"/>
      <c r="O655" s="6"/>
      <c r="P655" s="6"/>
      <c r="Q655" s="6"/>
      <c r="R655" s="6"/>
      <c r="S655" s="6"/>
      <c r="T655" s="6"/>
      <c r="U655" s="6"/>
    </row>
    <row r="656" spans="1:21">
      <c r="A656" s="82"/>
      <c r="B656" s="83"/>
      <c r="C656" s="82"/>
      <c r="D656" s="82"/>
      <c r="E656" s="82"/>
      <c r="F656" s="82"/>
      <c r="G656" s="82"/>
      <c r="H656" s="83"/>
      <c r="I656" s="83"/>
      <c r="J656" s="83"/>
      <c r="K656" s="6"/>
      <c r="L656" s="6"/>
      <c r="M656" s="6"/>
      <c r="N656" s="6"/>
      <c r="O656" s="6"/>
      <c r="P656" s="6"/>
      <c r="Q656" s="6"/>
      <c r="R656" s="6"/>
      <c r="S656" s="6"/>
      <c r="T656" s="6"/>
      <c r="U656" s="6"/>
    </row>
    <row r="657" spans="1:21">
      <c r="A657" s="82"/>
      <c r="B657" s="83"/>
      <c r="C657" s="82"/>
      <c r="D657" s="82"/>
      <c r="E657" s="82"/>
      <c r="F657" s="82"/>
      <c r="G657" s="82"/>
      <c r="H657" s="83"/>
      <c r="I657" s="83"/>
      <c r="J657" s="83"/>
      <c r="K657" s="6"/>
      <c r="L657" s="6"/>
      <c r="M657" s="6"/>
      <c r="N657" s="6"/>
      <c r="O657" s="6"/>
      <c r="P657" s="6"/>
      <c r="Q657" s="6"/>
      <c r="R657" s="6"/>
      <c r="S657" s="6"/>
      <c r="T657" s="6"/>
      <c r="U657" s="6"/>
    </row>
    <row r="658" spans="1:21">
      <c r="A658" s="82"/>
      <c r="B658" s="83"/>
      <c r="C658" s="82"/>
      <c r="D658" s="82"/>
      <c r="E658" s="82"/>
      <c r="F658" s="82"/>
      <c r="G658" s="82"/>
      <c r="H658" s="83"/>
      <c r="I658" s="83"/>
      <c r="J658" s="83"/>
      <c r="K658" s="6"/>
      <c r="L658" s="6"/>
      <c r="M658" s="6"/>
      <c r="N658" s="6"/>
      <c r="O658" s="6"/>
      <c r="P658" s="6"/>
      <c r="Q658" s="6"/>
      <c r="R658" s="6"/>
      <c r="S658" s="6"/>
      <c r="T658" s="6"/>
      <c r="U658" s="6"/>
    </row>
    <row r="659" spans="1:21">
      <c r="A659" s="82"/>
      <c r="B659" s="83"/>
      <c r="C659" s="82"/>
      <c r="D659" s="82"/>
      <c r="E659" s="82"/>
      <c r="F659" s="82"/>
      <c r="G659" s="82"/>
      <c r="H659" s="83"/>
      <c r="I659" s="83"/>
      <c r="J659" s="83"/>
      <c r="K659" s="6"/>
      <c r="L659" s="6"/>
      <c r="M659" s="6"/>
      <c r="N659" s="6"/>
      <c r="O659" s="6"/>
      <c r="P659" s="6"/>
      <c r="Q659" s="6"/>
      <c r="R659" s="6"/>
      <c r="S659" s="6"/>
      <c r="T659" s="6"/>
      <c r="U659" s="6"/>
    </row>
    <row r="660" spans="1:21">
      <c r="A660" s="82"/>
      <c r="B660" s="83"/>
      <c r="C660" s="82"/>
      <c r="D660" s="82"/>
      <c r="E660" s="82"/>
      <c r="F660" s="82"/>
      <c r="G660" s="82"/>
      <c r="H660" s="83"/>
      <c r="I660" s="83"/>
      <c r="J660" s="83"/>
      <c r="K660" s="6"/>
      <c r="L660" s="6"/>
      <c r="M660" s="6"/>
      <c r="N660" s="6"/>
      <c r="O660" s="6"/>
      <c r="P660" s="6"/>
      <c r="Q660" s="6"/>
      <c r="R660" s="6"/>
      <c r="S660" s="6"/>
      <c r="T660" s="6"/>
      <c r="U660" s="6"/>
    </row>
    <row r="661" spans="1:21">
      <c r="A661" s="82"/>
      <c r="B661" s="83"/>
      <c r="C661" s="82"/>
      <c r="D661" s="82"/>
      <c r="E661" s="82"/>
      <c r="F661" s="82"/>
      <c r="G661" s="82"/>
      <c r="H661" s="83"/>
      <c r="I661" s="83"/>
      <c r="J661" s="83"/>
      <c r="K661" s="6"/>
      <c r="L661" s="6"/>
      <c r="M661" s="6"/>
      <c r="N661" s="6"/>
      <c r="O661" s="6"/>
      <c r="P661" s="6"/>
      <c r="Q661" s="6"/>
      <c r="R661" s="6"/>
      <c r="S661" s="6"/>
      <c r="T661" s="6"/>
      <c r="U661" s="6"/>
    </row>
    <row r="662" spans="1:21">
      <c r="A662" s="82"/>
      <c r="B662" s="83"/>
      <c r="C662" s="82"/>
      <c r="D662" s="82"/>
      <c r="E662" s="82"/>
      <c r="F662" s="82"/>
      <c r="G662" s="82"/>
      <c r="H662" s="83"/>
      <c r="I662" s="83"/>
      <c r="J662" s="83"/>
      <c r="K662" s="6"/>
      <c r="L662" s="6"/>
      <c r="M662" s="6"/>
      <c r="N662" s="6"/>
      <c r="O662" s="6"/>
      <c r="P662" s="6"/>
      <c r="Q662" s="6"/>
      <c r="R662" s="6"/>
      <c r="S662" s="6"/>
      <c r="T662" s="6"/>
      <c r="U662" s="6"/>
    </row>
    <row r="663" spans="1:21">
      <c r="A663" s="82"/>
      <c r="B663" s="83"/>
      <c r="C663" s="82"/>
      <c r="D663" s="82"/>
      <c r="E663" s="82"/>
      <c r="F663" s="82"/>
      <c r="G663" s="82"/>
      <c r="H663" s="83"/>
      <c r="I663" s="83"/>
      <c r="J663" s="83"/>
      <c r="K663" s="6"/>
      <c r="L663" s="6"/>
      <c r="M663" s="6"/>
      <c r="N663" s="6"/>
      <c r="O663" s="6"/>
      <c r="P663" s="6"/>
      <c r="Q663" s="6"/>
      <c r="R663" s="6"/>
      <c r="S663" s="6"/>
      <c r="T663" s="6"/>
      <c r="U663" s="6"/>
    </row>
    <row r="664" spans="1:21">
      <c r="A664" s="82"/>
      <c r="B664" s="83"/>
      <c r="C664" s="82"/>
      <c r="D664" s="82"/>
      <c r="E664" s="82"/>
      <c r="F664" s="82"/>
      <c r="G664" s="82"/>
      <c r="H664" s="83"/>
      <c r="I664" s="83"/>
      <c r="J664" s="83"/>
      <c r="K664" s="6"/>
      <c r="L664" s="6"/>
      <c r="M664" s="6"/>
      <c r="N664" s="6"/>
      <c r="O664" s="6"/>
      <c r="P664" s="6"/>
      <c r="Q664" s="6"/>
      <c r="R664" s="6"/>
      <c r="S664" s="6"/>
      <c r="T664" s="6"/>
      <c r="U664" s="6"/>
    </row>
    <row r="665" spans="1:21">
      <c r="A665" s="82"/>
      <c r="B665" s="83"/>
      <c r="C665" s="82"/>
      <c r="D665" s="82"/>
      <c r="E665" s="82"/>
      <c r="F665" s="82"/>
      <c r="G665" s="82"/>
      <c r="H665" s="83"/>
      <c r="I665" s="83"/>
      <c r="J665" s="83"/>
      <c r="K665" s="6"/>
      <c r="L665" s="6"/>
      <c r="M665" s="6"/>
      <c r="N665" s="6"/>
      <c r="O665" s="6"/>
      <c r="P665" s="6"/>
      <c r="Q665" s="6"/>
      <c r="R665" s="6"/>
      <c r="S665" s="6"/>
      <c r="T665" s="6"/>
      <c r="U665" s="6"/>
    </row>
    <row r="666" spans="1:21">
      <c r="A666" s="82"/>
      <c r="B666" s="83"/>
      <c r="C666" s="82"/>
      <c r="D666" s="82"/>
      <c r="E666" s="82"/>
      <c r="F666" s="82"/>
      <c r="G666" s="82"/>
      <c r="H666" s="83"/>
      <c r="I666" s="83"/>
      <c r="J666" s="83"/>
      <c r="K666" s="6"/>
      <c r="L666" s="6"/>
      <c r="M666" s="6"/>
      <c r="N666" s="6"/>
      <c r="O666" s="6"/>
      <c r="P666" s="6"/>
      <c r="Q666" s="6"/>
      <c r="R666" s="6"/>
      <c r="S666" s="6"/>
      <c r="T666" s="6"/>
      <c r="U666" s="6"/>
    </row>
    <row r="667" spans="1:21">
      <c r="A667" s="82"/>
      <c r="B667" s="83"/>
      <c r="C667" s="82"/>
      <c r="D667" s="82"/>
      <c r="E667" s="82"/>
      <c r="F667" s="82"/>
      <c r="G667" s="82"/>
      <c r="H667" s="83"/>
      <c r="I667" s="83"/>
      <c r="J667" s="83"/>
      <c r="K667" s="6"/>
      <c r="L667" s="6"/>
      <c r="M667" s="6"/>
      <c r="N667" s="6"/>
      <c r="O667" s="6"/>
      <c r="P667" s="6"/>
      <c r="Q667" s="6"/>
      <c r="R667" s="6"/>
      <c r="S667" s="6"/>
      <c r="T667" s="6"/>
      <c r="U667" s="6"/>
    </row>
    <row r="668" spans="1:21">
      <c r="A668" s="82"/>
      <c r="B668" s="83"/>
      <c r="C668" s="82"/>
      <c r="D668" s="82"/>
      <c r="E668" s="82"/>
      <c r="F668" s="82"/>
      <c r="G668" s="82"/>
      <c r="H668" s="83"/>
      <c r="I668" s="83"/>
      <c r="J668" s="83"/>
      <c r="K668" s="6"/>
      <c r="L668" s="6"/>
      <c r="M668" s="6"/>
      <c r="N668" s="6"/>
      <c r="O668" s="6"/>
      <c r="P668" s="6"/>
      <c r="Q668" s="6"/>
      <c r="R668" s="6"/>
      <c r="S668" s="6"/>
      <c r="T668" s="6"/>
      <c r="U668" s="6"/>
    </row>
    <row r="669" spans="1:21">
      <c r="A669" s="82"/>
      <c r="B669" s="83"/>
      <c r="C669" s="82"/>
      <c r="D669" s="82"/>
      <c r="E669" s="82"/>
      <c r="F669" s="82"/>
      <c r="G669" s="82"/>
      <c r="H669" s="83"/>
      <c r="I669" s="83"/>
      <c r="J669" s="83"/>
      <c r="K669" s="6"/>
      <c r="L669" s="6"/>
      <c r="M669" s="6"/>
      <c r="N669" s="6"/>
      <c r="O669" s="6"/>
      <c r="P669" s="6"/>
      <c r="Q669" s="6"/>
      <c r="R669" s="6"/>
      <c r="S669" s="6"/>
      <c r="T669" s="6"/>
      <c r="U669" s="6"/>
    </row>
    <row r="670" spans="1:21">
      <c r="A670" s="82"/>
      <c r="B670" s="83"/>
      <c r="C670" s="82"/>
      <c r="D670" s="82"/>
      <c r="E670" s="82"/>
      <c r="F670" s="82"/>
      <c r="G670" s="82"/>
      <c r="H670" s="83"/>
      <c r="I670" s="83"/>
      <c r="J670" s="83"/>
      <c r="K670" s="6"/>
      <c r="L670" s="6"/>
      <c r="M670" s="6"/>
      <c r="N670" s="6"/>
      <c r="O670" s="6"/>
      <c r="P670" s="6"/>
      <c r="Q670" s="6"/>
      <c r="R670" s="6"/>
      <c r="S670" s="6"/>
      <c r="T670" s="6"/>
      <c r="U670" s="6"/>
    </row>
    <row r="671" spans="1:21">
      <c r="A671" s="82"/>
      <c r="B671" s="83"/>
      <c r="C671" s="82"/>
      <c r="D671" s="82"/>
      <c r="E671" s="82"/>
      <c r="F671" s="82"/>
      <c r="G671" s="82"/>
      <c r="H671" s="83"/>
      <c r="I671" s="83"/>
      <c r="J671" s="83"/>
      <c r="K671" s="6"/>
      <c r="L671" s="6"/>
      <c r="M671" s="6"/>
      <c r="N671" s="6"/>
      <c r="O671" s="6"/>
      <c r="P671" s="6"/>
      <c r="Q671" s="6"/>
      <c r="R671" s="6"/>
      <c r="S671" s="6"/>
      <c r="T671" s="6"/>
      <c r="U671" s="6"/>
    </row>
    <row r="672" spans="1:21">
      <c r="A672" s="82"/>
      <c r="B672" s="83"/>
      <c r="C672" s="82"/>
      <c r="D672" s="82"/>
      <c r="E672" s="82"/>
      <c r="F672" s="82"/>
      <c r="G672" s="82"/>
      <c r="H672" s="83"/>
      <c r="I672" s="83"/>
      <c r="J672" s="83"/>
      <c r="K672" s="6"/>
      <c r="L672" s="6"/>
      <c r="M672" s="6"/>
      <c r="N672" s="6"/>
      <c r="O672" s="6"/>
      <c r="P672" s="6"/>
      <c r="Q672" s="6"/>
      <c r="R672" s="6"/>
      <c r="S672" s="6"/>
      <c r="T672" s="6"/>
      <c r="U672" s="6"/>
    </row>
    <row r="673" spans="1:21">
      <c r="A673" s="82"/>
      <c r="B673" s="83"/>
      <c r="C673" s="82"/>
      <c r="D673" s="82"/>
      <c r="E673" s="82"/>
      <c r="F673" s="82"/>
      <c r="G673" s="82"/>
      <c r="H673" s="83"/>
      <c r="I673" s="83"/>
      <c r="J673" s="83"/>
      <c r="K673" s="6"/>
      <c r="L673" s="6"/>
      <c r="M673" s="6"/>
      <c r="N673" s="6"/>
      <c r="O673" s="6"/>
      <c r="P673" s="6"/>
      <c r="Q673" s="6"/>
      <c r="R673" s="6"/>
      <c r="S673" s="6"/>
      <c r="T673" s="6"/>
      <c r="U673" s="6"/>
    </row>
    <row r="674" spans="1:21">
      <c r="A674" s="82"/>
      <c r="B674" s="83"/>
      <c r="C674" s="82"/>
      <c r="D674" s="82"/>
      <c r="E674" s="82"/>
      <c r="F674" s="82"/>
      <c r="G674" s="82"/>
      <c r="H674" s="83"/>
      <c r="I674" s="83"/>
      <c r="J674" s="83"/>
      <c r="K674" s="6"/>
      <c r="L674" s="6"/>
      <c r="M674" s="6"/>
      <c r="N674" s="6"/>
      <c r="O674" s="6"/>
      <c r="P674" s="6"/>
      <c r="Q674" s="6"/>
      <c r="R674" s="6"/>
      <c r="S674" s="6"/>
      <c r="T674" s="6"/>
      <c r="U674" s="6"/>
    </row>
    <row r="675" spans="1:21">
      <c r="A675" s="82"/>
      <c r="B675" s="83"/>
      <c r="C675" s="82"/>
      <c r="D675" s="82"/>
      <c r="E675" s="82"/>
      <c r="F675" s="82"/>
      <c r="G675" s="82"/>
      <c r="H675" s="83"/>
      <c r="I675" s="83"/>
      <c r="J675" s="83"/>
      <c r="K675" s="6"/>
      <c r="L675" s="6"/>
      <c r="M675" s="6"/>
      <c r="N675" s="6"/>
      <c r="O675" s="6"/>
      <c r="P675" s="6"/>
      <c r="Q675" s="6"/>
      <c r="R675" s="6"/>
      <c r="S675" s="6"/>
      <c r="T675" s="6"/>
      <c r="U675" s="6"/>
    </row>
    <row r="676" spans="1:21">
      <c r="A676" s="82"/>
      <c r="B676" s="83"/>
      <c r="C676" s="82"/>
      <c r="D676" s="82"/>
      <c r="E676" s="82"/>
      <c r="F676" s="82"/>
      <c r="G676" s="82"/>
      <c r="H676" s="83"/>
      <c r="I676" s="83"/>
      <c r="J676" s="83"/>
      <c r="K676" s="6"/>
      <c r="L676" s="6"/>
      <c r="M676" s="6"/>
      <c r="N676" s="6"/>
      <c r="O676" s="6"/>
      <c r="P676" s="6"/>
      <c r="Q676" s="6"/>
      <c r="R676" s="6"/>
      <c r="S676" s="6"/>
      <c r="T676" s="6"/>
      <c r="U676" s="6"/>
    </row>
    <row r="677" spans="1:21">
      <c r="A677" s="82"/>
      <c r="B677" s="83"/>
      <c r="C677" s="82"/>
      <c r="D677" s="82"/>
      <c r="E677" s="82"/>
      <c r="F677" s="82"/>
      <c r="G677" s="82"/>
      <c r="H677" s="83"/>
      <c r="I677" s="83"/>
      <c r="J677" s="83"/>
      <c r="K677" s="6"/>
      <c r="L677" s="6"/>
      <c r="M677" s="6"/>
      <c r="N677" s="6"/>
      <c r="O677" s="6"/>
      <c r="P677" s="6"/>
      <c r="Q677" s="6"/>
      <c r="R677" s="6"/>
      <c r="S677" s="6"/>
      <c r="T677" s="6"/>
      <c r="U677" s="6"/>
    </row>
    <row r="678" spans="1:21">
      <c r="A678" s="82"/>
      <c r="B678" s="83"/>
      <c r="C678" s="82"/>
      <c r="D678" s="82"/>
      <c r="E678" s="82"/>
      <c r="F678" s="82"/>
      <c r="G678" s="82"/>
      <c r="H678" s="83"/>
      <c r="I678" s="83"/>
      <c r="J678" s="83"/>
      <c r="K678" s="6"/>
      <c r="L678" s="6"/>
      <c r="M678" s="6"/>
      <c r="N678" s="6"/>
      <c r="O678" s="6"/>
      <c r="P678" s="6"/>
      <c r="Q678" s="6"/>
      <c r="R678" s="6"/>
      <c r="S678" s="6"/>
      <c r="T678" s="6"/>
      <c r="U678" s="6"/>
    </row>
    <row r="679" spans="1:21">
      <c r="A679" s="82"/>
      <c r="B679" s="83"/>
      <c r="C679" s="82"/>
      <c r="D679" s="82"/>
      <c r="E679" s="82"/>
      <c r="F679" s="82"/>
      <c r="G679" s="82"/>
      <c r="H679" s="83"/>
      <c r="I679" s="83"/>
      <c r="J679" s="83"/>
      <c r="K679" s="6"/>
      <c r="L679" s="6"/>
      <c r="M679" s="6"/>
      <c r="N679" s="6"/>
      <c r="O679" s="6"/>
      <c r="P679" s="6"/>
      <c r="Q679" s="6"/>
      <c r="R679" s="6"/>
      <c r="S679" s="6"/>
      <c r="T679" s="6"/>
      <c r="U679" s="6"/>
    </row>
    <row r="680" spans="1:21">
      <c r="A680" s="82"/>
      <c r="B680" s="83"/>
      <c r="C680" s="82"/>
      <c r="D680" s="82"/>
      <c r="E680" s="82"/>
      <c r="F680" s="82"/>
      <c r="G680" s="82"/>
      <c r="H680" s="83"/>
      <c r="I680" s="83"/>
      <c r="J680" s="83"/>
      <c r="K680" s="6"/>
      <c r="L680" s="6"/>
      <c r="M680" s="6"/>
      <c r="N680" s="6"/>
      <c r="O680" s="6"/>
      <c r="P680" s="6"/>
      <c r="Q680" s="6"/>
      <c r="R680" s="6"/>
      <c r="S680" s="6"/>
      <c r="T680" s="6"/>
      <c r="U680" s="6"/>
    </row>
    <row r="681" spans="1:21">
      <c r="A681" s="82"/>
      <c r="B681" s="83"/>
      <c r="C681" s="82"/>
      <c r="D681" s="82"/>
      <c r="E681" s="82"/>
      <c r="F681" s="82"/>
      <c r="G681" s="82"/>
      <c r="H681" s="83"/>
      <c r="I681" s="83"/>
      <c r="J681" s="83"/>
      <c r="K681" s="6"/>
      <c r="L681" s="6"/>
      <c r="M681" s="6"/>
      <c r="N681" s="6"/>
      <c r="O681" s="6"/>
      <c r="P681" s="6"/>
      <c r="Q681" s="6"/>
      <c r="R681" s="6"/>
      <c r="S681" s="6"/>
      <c r="T681" s="6"/>
      <c r="U681" s="6"/>
    </row>
    <row r="682" spans="1:21">
      <c r="A682" s="82"/>
      <c r="B682" s="83"/>
      <c r="C682" s="82"/>
      <c r="D682" s="82"/>
      <c r="E682" s="82"/>
      <c r="F682" s="82"/>
      <c r="G682" s="82"/>
      <c r="H682" s="83"/>
      <c r="I682" s="83"/>
      <c r="J682" s="83"/>
      <c r="K682" s="6"/>
      <c r="L682" s="6"/>
      <c r="M682" s="6"/>
      <c r="N682" s="6"/>
      <c r="O682" s="6"/>
      <c r="P682" s="6"/>
      <c r="Q682" s="6"/>
      <c r="R682" s="6"/>
      <c r="S682" s="6"/>
      <c r="T682" s="6"/>
      <c r="U682" s="6"/>
    </row>
    <row r="683" spans="1:21">
      <c r="A683" s="82"/>
      <c r="B683" s="83"/>
      <c r="C683" s="82"/>
      <c r="D683" s="82"/>
      <c r="E683" s="82"/>
      <c r="F683" s="82"/>
      <c r="G683" s="82"/>
      <c r="H683" s="83"/>
      <c r="I683" s="83"/>
      <c r="J683" s="83"/>
      <c r="K683" s="6"/>
      <c r="L683" s="6"/>
      <c r="M683" s="6"/>
      <c r="N683" s="6"/>
      <c r="O683" s="6"/>
      <c r="P683" s="6"/>
      <c r="Q683" s="6"/>
      <c r="R683" s="6"/>
      <c r="S683" s="6"/>
      <c r="T683" s="6"/>
      <c r="U683" s="6"/>
    </row>
    <row r="684" spans="1:21">
      <c r="A684" s="82"/>
      <c r="B684" s="83"/>
      <c r="C684" s="82"/>
      <c r="D684" s="82"/>
      <c r="E684" s="82"/>
      <c r="F684" s="82"/>
      <c r="G684" s="82"/>
      <c r="H684" s="83"/>
      <c r="I684" s="83"/>
      <c r="J684" s="83"/>
      <c r="K684" s="6"/>
      <c r="L684" s="6"/>
      <c r="M684" s="6"/>
      <c r="N684" s="6"/>
      <c r="O684" s="6"/>
      <c r="P684" s="6"/>
      <c r="Q684" s="6"/>
      <c r="R684" s="6"/>
      <c r="S684" s="6"/>
      <c r="T684" s="6"/>
      <c r="U684" s="6"/>
    </row>
    <row r="685" spans="1:21">
      <c r="A685" s="82"/>
      <c r="B685" s="83"/>
      <c r="C685" s="82"/>
      <c r="D685" s="82"/>
      <c r="E685" s="82"/>
      <c r="F685" s="82"/>
      <c r="G685" s="82"/>
      <c r="H685" s="83"/>
      <c r="I685" s="83"/>
      <c r="J685" s="83"/>
      <c r="K685" s="6"/>
      <c r="L685" s="6"/>
      <c r="M685" s="6"/>
      <c r="N685" s="6"/>
      <c r="O685" s="6"/>
      <c r="P685" s="6"/>
      <c r="Q685" s="6"/>
      <c r="R685" s="6"/>
      <c r="S685" s="6"/>
      <c r="T685" s="6"/>
      <c r="U685" s="6"/>
    </row>
    <row r="686" spans="1:21">
      <c r="A686" s="82"/>
      <c r="B686" s="83"/>
      <c r="C686" s="82"/>
      <c r="D686" s="82"/>
      <c r="E686" s="82"/>
      <c r="F686" s="82"/>
      <c r="G686" s="82"/>
      <c r="H686" s="83"/>
      <c r="I686" s="83"/>
      <c r="J686" s="83"/>
      <c r="K686" s="6"/>
      <c r="L686" s="6"/>
      <c r="M686" s="6"/>
      <c r="N686" s="6"/>
      <c r="O686" s="6"/>
      <c r="P686" s="6"/>
      <c r="Q686" s="6"/>
      <c r="R686" s="6"/>
      <c r="S686" s="6"/>
      <c r="T686" s="6"/>
      <c r="U686" s="6"/>
    </row>
    <row r="687" spans="1:21">
      <c r="A687" s="82"/>
      <c r="B687" s="83"/>
      <c r="C687" s="82"/>
      <c r="D687" s="82"/>
      <c r="E687" s="82"/>
      <c r="F687" s="82"/>
      <c r="G687" s="82"/>
      <c r="H687" s="83"/>
      <c r="I687" s="83"/>
      <c r="J687" s="83"/>
      <c r="K687" s="6"/>
      <c r="L687" s="6"/>
      <c r="M687" s="6"/>
      <c r="N687" s="6"/>
      <c r="O687" s="6"/>
      <c r="P687" s="6"/>
      <c r="Q687" s="6"/>
      <c r="R687" s="6"/>
      <c r="S687" s="6"/>
      <c r="T687" s="6"/>
      <c r="U687" s="6"/>
    </row>
    <row r="688" spans="1:21">
      <c r="A688" s="82"/>
      <c r="B688" s="83"/>
      <c r="C688" s="82"/>
      <c r="D688" s="82"/>
      <c r="E688" s="82"/>
      <c r="F688" s="82"/>
      <c r="G688" s="82"/>
      <c r="H688" s="83"/>
      <c r="I688" s="83"/>
      <c r="J688" s="83"/>
      <c r="K688" s="6"/>
      <c r="L688" s="6"/>
      <c r="M688" s="6"/>
      <c r="N688" s="6"/>
      <c r="O688" s="6"/>
      <c r="P688" s="6"/>
      <c r="Q688" s="6"/>
      <c r="R688" s="6"/>
      <c r="S688" s="6"/>
      <c r="T688" s="6"/>
      <c r="U688" s="6"/>
    </row>
    <row r="689" spans="1:21">
      <c r="A689" s="82"/>
      <c r="B689" s="83"/>
      <c r="C689" s="82"/>
      <c r="D689" s="82"/>
      <c r="E689" s="82"/>
      <c r="F689" s="82"/>
      <c r="G689" s="82"/>
      <c r="H689" s="83"/>
      <c r="I689" s="83"/>
      <c r="J689" s="83"/>
      <c r="K689" s="6"/>
      <c r="L689" s="6"/>
      <c r="M689" s="6"/>
      <c r="N689" s="6"/>
      <c r="O689" s="6"/>
      <c r="P689" s="6"/>
      <c r="Q689" s="6"/>
      <c r="R689" s="6"/>
      <c r="S689" s="6"/>
      <c r="T689" s="6"/>
      <c r="U689" s="6"/>
    </row>
    <row r="690" spans="1:21">
      <c r="A690" s="82"/>
      <c r="B690" s="83"/>
      <c r="C690" s="82"/>
      <c r="D690" s="82"/>
      <c r="E690" s="82"/>
      <c r="F690" s="82"/>
      <c r="G690" s="82"/>
      <c r="H690" s="83"/>
      <c r="I690" s="83"/>
      <c r="J690" s="83"/>
      <c r="K690" s="6"/>
      <c r="L690" s="6"/>
      <c r="M690" s="6"/>
      <c r="N690" s="6"/>
      <c r="O690" s="6"/>
      <c r="P690" s="6"/>
      <c r="Q690" s="6"/>
      <c r="R690" s="6"/>
      <c r="S690" s="6"/>
      <c r="T690" s="6"/>
      <c r="U690" s="6"/>
    </row>
    <row r="691" spans="1:21">
      <c r="A691" s="82"/>
      <c r="B691" s="83"/>
      <c r="C691" s="82"/>
      <c r="D691" s="82"/>
      <c r="E691" s="82"/>
      <c r="F691" s="82"/>
      <c r="G691" s="82"/>
      <c r="H691" s="83"/>
      <c r="I691" s="83"/>
      <c r="J691" s="83"/>
      <c r="K691" s="6"/>
      <c r="L691" s="6"/>
      <c r="M691" s="6"/>
      <c r="N691" s="6"/>
      <c r="O691" s="6"/>
      <c r="P691" s="6"/>
      <c r="Q691" s="6"/>
      <c r="R691" s="6"/>
      <c r="S691" s="6"/>
      <c r="T691" s="6"/>
      <c r="U691" s="6"/>
    </row>
    <row r="692" spans="1:21">
      <c r="A692" s="82"/>
      <c r="B692" s="83"/>
      <c r="C692" s="82"/>
      <c r="D692" s="82"/>
      <c r="E692" s="82"/>
      <c r="F692" s="82"/>
      <c r="G692" s="82"/>
      <c r="H692" s="83"/>
      <c r="I692" s="83"/>
      <c r="J692" s="83"/>
      <c r="K692" s="6"/>
      <c r="L692" s="6"/>
      <c r="M692" s="6"/>
      <c r="N692" s="6"/>
      <c r="O692" s="6"/>
      <c r="P692" s="6"/>
      <c r="Q692" s="6"/>
      <c r="R692" s="6"/>
      <c r="S692" s="6"/>
      <c r="T692" s="6"/>
      <c r="U692" s="6"/>
    </row>
    <row r="693" spans="1:21">
      <c r="A693" s="82"/>
      <c r="B693" s="83"/>
      <c r="C693" s="82"/>
      <c r="D693" s="82"/>
      <c r="E693" s="82"/>
      <c r="F693" s="82"/>
      <c r="G693" s="82"/>
      <c r="H693" s="83"/>
      <c r="I693" s="83"/>
      <c r="J693" s="83"/>
      <c r="K693" s="6"/>
      <c r="L693" s="6"/>
      <c r="M693" s="6"/>
      <c r="N693" s="6"/>
      <c r="O693" s="6"/>
      <c r="P693" s="6"/>
      <c r="Q693" s="6"/>
      <c r="R693" s="6"/>
      <c r="S693" s="6"/>
      <c r="T693" s="6"/>
      <c r="U693" s="6"/>
    </row>
    <row r="694" spans="1:21">
      <c r="A694" s="82"/>
      <c r="B694" s="83"/>
      <c r="C694" s="82"/>
      <c r="D694" s="82"/>
      <c r="E694" s="82"/>
      <c r="F694" s="82"/>
      <c r="G694" s="82"/>
      <c r="H694" s="83"/>
      <c r="I694" s="83"/>
      <c r="J694" s="83"/>
      <c r="K694" s="6"/>
      <c r="L694" s="6"/>
      <c r="M694" s="6"/>
      <c r="N694" s="6"/>
      <c r="O694" s="6"/>
      <c r="P694" s="6"/>
      <c r="Q694" s="6"/>
      <c r="R694" s="6"/>
      <c r="S694" s="6"/>
      <c r="T694" s="6"/>
      <c r="U694" s="6"/>
    </row>
    <row r="695" spans="1:21">
      <c r="A695" s="82"/>
      <c r="B695" s="83"/>
      <c r="C695" s="82"/>
      <c r="D695" s="82"/>
      <c r="E695" s="82"/>
      <c r="F695" s="82"/>
      <c r="G695" s="82"/>
      <c r="H695" s="83"/>
      <c r="I695" s="83"/>
      <c r="J695" s="83"/>
      <c r="K695" s="6"/>
      <c r="L695" s="6"/>
      <c r="M695" s="6"/>
      <c r="N695" s="6"/>
      <c r="O695" s="6"/>
      <c r="P695" s="6"/>
      <c r="Q695" s="6"/>
      <c r="R695" s="6"/>
      <c r="S695" s="6"/>
      <c r="T695" s="6"/>
      <c r="U695" s="6"/>
    </row>
    <row r="696" spans="1:21">
      <c r="A696" s="82"/>
      <c r="B696" s="83"/>
      <c r="C696" s="82"/>
      <c r="D696" s="82"/>
      <c r="E696" s="82"/>
      <c r="F696" s="82"/>
      <c r="G696" s="82"/>
      <c r="H696" s="83"/>
      <c r="I696" s="83"/>
      <c r="J696" s="83"/>
      <c r="K696" s="6"/>
      <c r="L696" s="6"/>
      <c r="M696" s="6"/>
      <c r="N696" s="6"/>
      <c r="O696" s="6"/>
      <c r="P696" s="6"/>
      <c r="Q696" s="6"/>
      <c r="R696" s="6"/>
      <c r="S696" s="6"/>
      <c r="T696" s="6"/>
      <c r="U696" s="6"/>
    </row>
    <row r="697" spans="1:21">
      <c r="A697" s="82"/>
      <c r="B697" s="83"/>
      <c r="C697" s="82"/>
      <c r="D697" s="82"/>
      <c r="E697" s="82"/>
      <c r="F697" s="82"/>
      <c r="G697" s="82"/>
      <c r="H697" s="83"/>
      <c r="I697" s="83"/>
      <c r="J697" s="83"/>
      <c r="K697" s="6"/>
      <c r="L697" s="6"/>
      <c r="M697" s="6"/>
      <c r="N697" s="6"/>
      <c r="O697" s="6"/>
      <c r="P697" s="6"/>
      <c r="Q697" s="6"/>
      <c r="R697" s="6"/>
      <c r="S697" s="6"/>
      <c r="T697" s="6"/>
      <c r="U697" s="6"/>
    </row>
    <row r="698" spans="1:21">
      <c r="A698" s="82"/>
      <c r="B698" s="83"/>
      <c r="C698" s="82"/>
      <c r="D698" s="82"/>
      <c r="E698" s="82"/>
      <c r="F698" s="82"/>
      <c r="G698" s="82"/>
      <c r="H698" s="83"/>
      <c r="I698" s="83"/>
      <c r="J698" s="83"/>
      <c r="K698" s="6"/>
      <c r="L698" s="6"/>
      <c r="M698" s="6"/>
      <c r="N698" s="6"/>
      <c r="O698" s="6"/>
      <c r="P698" s="6"/>
      <c r="Q698" s="6"/>
      <c r="R698" s="6"/>
      <c r="S698" s="6"/>
      <c r="T698" s="6"/>
      <c r="U698" s="6"/>
    </row>
    <row r="699" spans="1:21">
      <c r="A699" s="82"/>
      <c r="B699" s="83"/>
      <c r="C699" s="82"/>
      <c r="D699" s="82"/>
      <c r="E699" s="82"/>
      <c r="F699" s="82"/>
      <c r="G699" s="82"/>
      <c r="H699" s="83"/>
      <c r="I699" s="83"/>
      <c r="J699" s="83"/>
      <c r="K699" s="6"/>
      <c r="L699" s="6"/>
      <c r="M699" s="6"/>
      <c r="N699" s="6"/>
      <c r="O699" s="6"/>
      <c r="P699" s="6"/>
      <c r="Q699" s="6"/>
      <c r="R699" s="6"/>
      <c r="S699" s="6"/>
      <c r="T699" s="6"/>
      <c r="U699" s="6"/>
    </row>
    <row r="700" spans="1:21">
      <c r="A700" s="82"/>
      <c r="B700" s="83"/>
      <c r="C700" s="82"/>
      <c r="D700" s="82"/>
      <c r="E700" s="82"/>
      <c r="F700" s="82"/>
      <c r="G700" s="82"/>
      <c r="H700" s="83"/>
      <c r="I700" s="83"/>
      <c r="J700" s="83"/>
      <c r="K700" s="6"/>
      <c r="L700" s="6"/>
      <c r="M700" s="6"/>
      <c r="N700" s="6"/>
      <c r="O700" s="6"/>
      <c r="P700" s="6"/>
      <c r="Q700" s="6"/>
      <c r="R700" s="6"/>
      <c r="S700" s="6"/>
      <c r="T700" s="6"/>
      <c r="U700" s="6"/>
    </row>
    <row r="701" spans="1:21">
      <c r="A701" s="82"/>
      <c r="B701" s="83"/>
      <c r="C701" s="82"/>
      <c r="D701" s="82"/>
      <c r="E701" s="82"/>
      <c r="F701" s="82"/>
      <c r="G701" s="82"/>
      <c r="H701" s="83"/>
      <c r="I701" s="83"/>
      <c r="J701" s="83"/>
      <c r="K701" s="6"/>
      <c r="L701" s="6"/>
      <c r="M701" s="6"/>
      <c r="N701" s="6"/>
      <c r="O701" s="6"/>
      <c r="P701" s="6"/>
      <c r="Q701" s="6"/>
      <c r="R701" s="6"/>
      <c r="S701" s="6"/>
      <c r="T701" s="6"/>
      <c r="U701" s="6"/>
    </row>
    <row r="702" spans="1:21">
      <c r="A702" s="82"/>
      <c r="B702" s="83"/>
      <c r="C702" s="82"/>
      <c r="D702" s="82"/>
      <c r="E702" s="82"/>
      <c r="F702" s="82"/>
      <c r="G702" s="82"/>
      <c r="H702" s="83"/>
      <c r="I702" s="83"/>
      <c r="J702" s="83"/>
      <c r="K702" s="6"/>
      <c r="L702" s="6"/>
      <c r="M702" s="6"/>
      <c r="N702" s="6"/>
      <c r="O702" s="6"/>
      <c r="P702" s="6"/>
      <c r="Q702" s="6"/>
      <c r="R702" s="6"/>
      <c r="S702" s="6"/>
      <c r="T702" s="6"/>
      <c r="U702" s="6"/>
    </row>
    <row r="703" spans="1:21">
      <c r="A703" s="82"/>
      <c r="B703" s="83"/>
      <c r="C703" s="82"/>
      <c r="D703" s="82"/>
      <c r="E703" s="82"/>
      <c r="F703" s="82"/>
      <c r="G703" s="82"/>
      <c r="H703" s="83"/>
      <c r="I703" s="83"/>
      <c r="J703" s="83"/>
      <c r="K703" s="6"/>
      <c r="L703" s="6"/>
      <c r="M703" s="6"/>
      <c r="N703" s="6"/>
      <c r="O703" s="6"/>
      <c r="P703" s="6"/>
      <c r="Q703" s="6"/>
      <c r="R703" s="6"/>
      <c r="S703" s="6"/>
      <c r="T703" s="6"/>
      <c r="U703" s="6"/>
    </row>
    <row r="704" spans="1:21">
      <c r="A704" s="82"/>
      <c r="B704" s="83"/>
      <c r="C704" s="82"/>
      <c r="D704" s="82"/>
      <c r="E704" s="82"/>
      <c r="F704" s="82"/>
      <c r="G704" s="82"/>
      <c r="H704" s="83"/>
      <c r="I704" s="83"/>
      <c r="J704" s="83"/>
      <c r="K704" s="6"/>
      <c r="L704" s="6"/>
      <c r="M704" s="6"/>
      <c r="N704" s="6"/>
      <c r="O704" s="6"/>
      <c r="P704" s="6"/>
      <c r="Q704" s="6"/>
      <c r="R704" s="6"/>
      <c r="S704" s="6"/>
      <c r="T704" s="6"/>
      <c r="U704" s="6"/>
    </row>
    <row r="705" spans="1:21">
      <c r="A705" s="82"/>
      <c r="B705" s="83"/>
      <c r="C705" s="82"/>
      <c r="D705" s="82"/>
      <c r="E705" s="82"/>
      <c r="F705" s="82"/>
      <c r="G705" s="82"/>
      <c r="H705" s="83"/>
      <c r="I705" s="83"/>
      <c r="J705" s="83"/>
      <c r="K705" s="6"/>
      <c r="L705" s="6"/>
      <c r="M705" s="6"/>
      <c r="N705" s="6"/>
      <c r="O705" s="6"/>
      <c r="P705" s="6"/>
      <c r="Q705" s="6"/>
      <c r="R705" s="6"/>
      <c r="S705" s="6"/>
      <c r="T705" s="6"/>
      <c r="U705" s="6"/>
    </row>
    <row r="706" spans="1:21">
      <c r="A706" s="82"/>
      <c r="B706" s="83"/>
      <c r="C706" s="82"/>
      <c r="D706" s="82"/>
      <c r="E706" s="82"/>
      <c r="F706" s="82"/>
      <c r="G706" s="82"/>
      <c r="H706" s="83"/>
      <c r="I706" s="83"/>
      <c r="J706" s="83"/>
      <c r="K706" s="6"/>
      <c r="L706" s="6"/>
      <c r="M706" s="6"/>
      <c r="N706" s="6"/>
      <c r="O706" s="6"/>
      <c r="P706" s="6"/>
      <c r="Q706" s="6"/>
      <c r="R706" s="6"/>
      <c r="S706" s="6"/>
      <c r="T706" s="6"/>
      <c r="U706" s="6"/>
    </row>
    <row r="707" spans="1:21">
      <c r="A707" s="82"/>
      <c r="B707" s="83"/>
      <c r="C707" s="82"/>
      <c r="D707" s="82"/>
      <c r="E707" s="82"/>
      <c r="F707" s="82"/>
      <c r="G707" s="82"/>
      <c r="H707" s="83"/>
      <c r="I707" s="83"/>
      <c r="J707" s="83"/>
      <c r="K707" s="6"/>
      <c r="L707" s="6"/>
      <c r="M707" s="6"/>
      <c r="N707" s="6"/>
      <c r="O707" s="6"/>
      <c r="P707" s="6"/>
      <c r="Q707" s="6"/>
      <c r="R707" s="6"/>
      <c r="S707" s="6"/>
      <c r="T707" s="6"/>
      <c r="U707" s="6"/>
    </row>
    <row r="708" spans="1:21">
      <c r="A708" s="82"/>
      <c r="B708" s="83"/>
      <c r="C708" s="82"/>
      <c r="D708" s="82"/>
      <c r="E708" s="82"/>
      <c r="F708" s="82"/>
      <c r="G708" s="82"/>
      <c r="H708" s="83"/>
      <c r="I708" s="83"/>
      <c r="J708" s="83"/>
      <c r="K708" s="6"/>
      <c r="L708" s="6"/>
      <c r="M708" s="6"/>
      <c r="N708" s="6"/>
      <c r="O708" s="6"/>
      <c r="P708" s="6"/>
      <c r="Q708" s="6"/>
      <c r="R708" s="6"/>
      <c r="S708" s="6"/>
      <c r="T708" s="6"/>
      <c r="U708" s="6"/>
    </row>
    <row r="709" spans="1:21">
      <c r="A709" s="82"/>
      <c r="B709" s="83"/>
      <c r="C709" s="82"/>
      <c r="D709" s="82"/>
      <c r="E709" s="82"/>
      <c r="F709" s="82"/>
      <c r="G709" s="82"/>
      <c r="H709" s="83"/>
      <c r="I709" s="83"/>
      <c r="J709" s="83"/>
      <c r="K709" s="6"/>
      <c r="L709" s="6"/>
      <c r="M709" s="6"/>
      <c r="N709" s="6"/>
      <c r="O709" s="6"/>
      <c r="P709" s="6"/>
      <c r="Q709" s="6"/>
      <c r="R709" s="6"/>
      <c r="S709" s="6"/>
      <c r="T709" s="6"/>
      <c r="U709" s="6"/>
    </row>
    <row r="710" spans="1:21">
      <c r="A710" s="82"/>
      <c r="B710" s="83"/>
      <c r="C710" s="82"/>
      <c r="D710" s="82"/>
      <c r="E710" s="82"/>
      <c r="F710" s="82"/>
      <c r="G710" s="82"/>
      <c r="H710" s="83"/>
      <c r="I710" s="83"/>
      <c r="J710" s="83"/>
      <c r="K710" s="6"/>
      <c r="L710" s="6"/>
      <c r="M710" s="6"/>
      <c r="N710" s="6"/>
      <c r="O710" s="6"/>
      <c r="P710" s="6"/>
      <c r="Q710" s="6"/>
      <c r="R710" s="6"/>
      <c r="S710" s="6"/>
      <c r="T710" s="6"/>
      <c r="U710" s="6"/>
    </row>
    <row r="711" spans="1:21">
      <c r="A711" s="82"/>
      <c r="B711" s="83"/>
      <c r="C711" s="82"/>
      <c r="D711" s="82"/>
      <c r="E711" s="82"/>
      <c r="F711" s="82"/>
      <c r="G711" s="82"/>
      <c r="H711" s="83"/>
      <c r="I711" s="83"/>
      <c r="J711" s="83"/>
      <c r="K711" s="6"/>
      <c r="L711" s="6"/>
      <c r="M711" s="6"/>
      <c r="N711" s="6"/>
      <c r="O711" s="6"/>
      <c r="P711" s="6"/>
      <c r="Q711" s="6"/>
      <c r="R711" s="6"/>
      <c r="S711" s="6"/>
      <c r="T711" s="6"/>
      <c r="U711" s="6"/>
    </row>
    <row r="712" spans="1:21">
      <c r="A712" s="82"/>
      <c r="B712" s="83"/>
      <c r="C712" s="82"/>
      <c r="D712" s="82"/>
      <c r="E712" s="82"/>
      <c r="F712" s="82"/>
      <c r="G712" s="82"/>
      <c r="H712" s="83"/>
      <c r="I712" s="83"/>
      <c r="J712" s="83"/>
      <c r="K712" s="6"/>
      <c r="L712" s="6"/>
      <c r="M712" s="6"/>
      <c r="N712" s="6"/>
      <c r="O712" s="6"/>
      <c r="P712" s="6"/>
      <c r="Q712" s="6"/>
      <c r="R712" s="6"/>
      <c r="S712" s="6"/>
      <c r="T712" s="6"/>
      <c r="U712" s="6"/>
    </row>
    <row r="713" spans="1:21">
      <c r="A713" s="82"/>
      <c r="B713" s="83"/>
      <c r="C713" s="82"/>
      <c r="D713" s="82"/>
      <c r="E713" s="82"/>
      <c r="F713" s="82"/>
      <c r="G713" s="82"/>
      <c r="H713" s="83"/>
      <c r="I713" s="83"/>
      <c r="J713" s="83"/>
      <c r="K713" s="6"/>
      <c r="L713" s="6"/>
      <c r="M713" s="6"/>
      <c r="N713" s="6"/>
      <c r="O713" s="6"/>
      <c r="P713" s="6"/>
      <c r="Q713" s="6"/>
      <c r="R713" s="6"/>
      <c r="S713" s="6"/>
      <c r="T713" s="6"/>
      <c r="U713" s="6"/>
    </row>
    <row r="714" spans="1:21">
      <c r="A714" s="82"/>
      <c r="B714" s="83"/>
      <c r="C714" s="82"/>
      <c r="D714" s="82"/>
      <c r="E714" s="82"/>
      <c r="F714" s="82"/>
      <c r="G714" s="82"/>
      <c r="H714" s="83"/>
      <c r="I714" s="83"/>
      <c r="J714" s="83"/>
      <c r="K714" s="6"/>
      <c r="L714" s="6"/>
      <c r="M714" s="6"/>
      <c r="N714" s="6"/>
      <c r="O714" s="6"/>
      <c r="P714" s="6"/>
      <c r="Q714" s="6"/>
      <c r="R714" s="6"/>
      <c r="S714" s="6"/>
      <c r="T714" s="6"/>
      <c r="U714" s="6"/>
    </row>
    <row r="715" spans="1:21">
      <c r="A715" s="82"/>
      <c r="B715" s="83"/>
      <c r="C715" s="82"/>
      <c r="D715" s="82"/>
      <c r="E715" s="82"/>
      <c r="F715" s="82"/>
      <c r="G715" s="82"/>
      <c r="H715" s="83"/>
      <c r="I715" s="83"/>
      <c r="J715" s="83"/>
      <c r="K715" s="6"/>
      <c r="L715" s="6"/>
      <c r="M715" s="6"/>
      <c r="N715" s="6"/>
      <c r="O715" s="6"/>
      <c r="P715" s="6"/>
      <c r="Q715" s="6"/>
      <c r="R715" s="6"/>
      <c r="S715" s="6"/>
      <c r="T715" s="6"/>
      <c r="U715" s="6"/>
    </row>
    <row r="716" spans="1:21">
      <c r="A716" s="82"/>
      <c r="B716" s="83"/>
      <c r="C716" s="82"/>
      <c r="D716" s="82"/>
      <c r="E716" s="82"/>
      <c r="F716" s="82"/>
      <c r="G716" s="82"/>
      <c r="H716" s="83"/>
      <c r="I716" s="83"/>
      <c r="J716" s="83"/>
      <c r="K716" s="6"/>
      <c r="L716" s="6"/>
      <c r="M716" s="6"/>
      <c r="N716" s="6"/>
      <c r="O716" s="6"/>
      <c r="P716" s="6"/>
      <c r="Q716" s="6"/>
      <c r="R716" s="6"/>
      <c r="S716" s="6"/>
      <c r="T716" s="6"/>
      <c r="U716" s="6"/>
    </row>
    <row r="717" spans="1:21">
      <c r="A717" s="82"/>
      <c r="B717" s="83"/>
      <c r="C717" s="82"/>
      <c r="D717" s="82"/>
      <c r="E717" s="82"/>
      <c r="F717" s="82"/>
      <c r="G717" s="82"/>
      <c r="H717" s="83"/>
      <c r="I717" s="83"/>
      <c r="J717" s="83"/>
      <c r="K717" s="6"/>
      <c r="L717" s="6"/>
      <c r="M717" s="6"/>
      <c r="N717" s="6"/>
      <c r="O717" s="6"/>
      <c r="P717" s="6"/>
      <c r="Q717" s="6"/>
      <c r="R717" s="6"/>
      <c r="S717" s="6"/>
      <c r="T717" s="6"/>
      <c r="U717" s="6"/>
    </row>
    <row r="718" spans="1:21">
      <c r="A718" s="82"/>
      <c r="B718" s="83"/>
      <c r="C718" s="82"/>
      <c r="D718" s="82"/>
      <c r="E718" s="82"/>
      <c r="F718" s="82"/>
      <c r="G718" s="82"/>
      <c r="H718" s="83"/>
      <c r="I718" s="83"/>
      <c r="J718" s="83"/>
      <c r="K718" s="6"/>
      <c r="L718" s="6"/>
      <c r="M718" s="6"/>
      <c r="N718" s="6"/>
      <c r="O718" s="6"/>
      <c r="P718" s="6"/>
      <c r="Q718" s="6"/>
      <c r="R718" s="6"/>
      <c r="S718" s="6"/>
      <c r="T718" s="6"/>
      <c r="U718" s="6"/>
    </row>
    <row r="719" spans="1:21">
      <c r="A719" s="82"/>
      <c r="B719" s="83"/>
      <c r="C719" s="82"/>
      <c r="D719" s="82"/>
      <c r="E719" s="82"/>
      <c r="F719" s="82"/>
      <c r="G719" s="82"/>
      <c r="H719" s="83"/>
      <c r="I719" s="83"/>
      <c r="J719" s="83"/>
      <c r="K719" s="6"/>
      <c r="L719" s="6"/>
      <c r="M719" s="6"/>
      <c r="N719" s="6"/>
      <c r="O719" s="6"/>
      <c r="P719" s="6"/>
      <c r="Q719" s="6"/>
      <c r="R719" s="6"/>
      <c r="S719" s="6"/>
      <c r="T719" s="6"/>
      <c r="U719" s="6"/>
    </row>
    <row r="720" spans="1:21">
      <c r="A720" s="82"/>
      <c r="B720" s="83"/>
      <c r="C720" s="82"/>
      <c r="D720" s="82"/>
      <c r="E720" s="82"/>
      <c r="F720" s="82"/>
      <c r="G720" s="82"/>
      <c r="H720" s="83"/>
      <c r="I720" s="83"/>
      <c r="J720" s="83"/>
      <c r="K720" s="6"/>
      <c r="L720" s="6"/>
      <c r="M720" s="6"/>
      <c r="N720" s="6"/>
      <c r="O720" s="6"/>
      <c r="P720" s="6"/>
      <c r="Q720" s="6"/>
      <c r="R720" s="6"/>
      <c r="S720" s="6"/>
      <c r="T720" s="6"/>
      <c r="U720" s="6"/>
    </row>
    <row r="721" spans="1:21">
      <c r="A721" s="82"/>
      <c r="B721" s="83"/>
      <c r="C721" s="82"/>
      <c r="D721" s="82"/>
      <c r="E721" s="82"/>
      <c r="F721" s="82"/>
      <c r="G721" s="82"/>
      <c r="H721" s="83"/>
      <c r="I721" s="83"/>
      <c r="J721" s="83"/>
      <c r="K721" s="6"/>
      <c r="L721" s="6"/>
      <c r="M721" s="6"/>
      <c r="N721" s="6"/>
      <c r="O721" s="6"/>
      <c r="P721" s="6"/>
      <c r="Q721" s="6"/>
      <c r="R721" s="6"/>
      <c r="S721" s="6"/>
      <c r="T721" s="6"/>
      <c r="U721" s="6"/>
    </row>
    <row r="722" spans="1:21">
      <c r="A722" s="82"/>
      <c r="B722" s="83"/>
      <c r="C722" s="82"/>
      <c r="D722" s="82"/>
      <c r="E722" s="82"/>
      <c r="F722" s="82"/>
      <c r="G722" s="82"/>
      <c r="H722" s="83"/>
      <c r="I722" s="83"/>
      <c r="J722" s="83"/>
      <c r="K722" s="6"/>
      <c r="L722" s="6"/>
      <c r="M722" s="6"/>
      <c r="N722" s="6"/>
      <c r="O722" s="6"/>
      <c r="P722" s="6"/>
      <c r="Q722" s="6"/>
      <c r="R722" s="6"/>
      <c r="S722" s="6"/>
      <c r="T722" s="6"/>
      <c r="U722" s="6"/>
    </row>
    <row r="723" spans="1:21">
      <c r="A723" s="82"/>
      <c r="B723" s="83"/>
      <c r="C723" s="82"/>
      <c r="D723" s="82"/>
      <c r="E723" s="82"/>
      <c r="F723" s="82"/>
      <c r="G723" s="82"/>
      <c r="H723" s="83"/>
      <c r="I723" s="83"/>
      <c r="J723" s="83"/>
      <c r="K723" s="6"/>
      <c r="L723" s="6"/>
      <c r="M723" s="6"/>
      <c r="N723" s="6"/>
      <c r="O723" s="6"/>
      <c r="P723" s="6"/>
      <c r="Q723" s="6"/>
      <c r="R723" s="6"/>
      <c r="S723" s="6"/>
      <c r="T723" s="6"/>
      <c r="U723" s="6"/>
    </row>
    <row r="724" spans="1:21">
      <c r="A724" s="82"/>
      <c r="B724" s="83"/>
      <c r="C724" s="82"/>
      <c r="D724" s="82"/>
      <c r="E724" s="82"/>
      <c r="F724" s="82"/>
      <c r="G724" s="82"/>
      <c r="H724" s="83"/>
      <c r="I724" s="83"/>
      <c r="J724" s="83"/>
      <c r="K724" s="6"/>
      <c r="L724" s="6"/>
      <c r="M724" s="6"/>
      <c r="N724" s="6"/>
      <c r="O724" s="6"/>
      <c r="P724" s="6"/>
      <c r="Q724" s="6"/>
      <c r="R724" s="6"/>
      <c r="S724" s="6"/>
      <c r="T724" s="6"/>
      <c r="U724" s="6"/>
    </row>
    <row r="725" spans="1:21">
      <c r="A725" s="82"/>
      <c r="B725" s="83"/>
      <c r="C725" s="82"/>
      <c r="D725" s="82"/>
      <c r="E725" s="82"/>
      <c r="F725" s="82"/>
      <c r="G725" s="82"/>
      <c r="H725" s="83"/>
      <c r="I725" s="83"/>
      <c r="J725" s="83"/>
      <c r="K725" s="6"/>
      <c r="L725" s="6"/>
      <c r="M725" s="6"/>
      <c r="N725" s="6"/>
      <c r="O725" s="6"/>
      <c r="P725" s="6"/>
      <c r="Q725" s="6"/>
      <c r="R725" s="6"/>
      <c r="S725" s="6"/>
      <c r="T725" s="6"/>
      <c r="U725" s="6"/>
    </row>
    <row r="726" spans="1:21">
      <c r="A726" s="82"/>
      <c r="B726" s="83"/>
      <c r="C726" s="82"/>
      <c r="D726" s="82"/>
      <c r="E726" s="82"/>
      <c r="F726" s="82"/>
      <c r="G726" s="82"/>
      <c r="H726" s="83"/>
      <c r="I726" s="83"/>
      <c r="J726" s="83"/>
      <c r="K726" s="6"/>
      <c r="L726" s="6"/>
      <c r="M726" s="6"/>
      <c r="N726" s="6"/>
      <c r="O726" s="6"/>
      <c r="P726" s="6"/>
      <c r="Q726" s="6"/>
      <c r="R726" s="6"/>
      <c r="S726" s="6"/>
      <c r="T726" s="6"/>
      <c r="U726" s="6"/>
    </row>
    <row r="727" spans="1:21">
      <c r="A727" s="82"/>
      <c r="B727" s="83"/>
      <c r="C727" s="82"/>
      <c r="D727" s="82"/>
      <c r="E727" s="82"/>
      <c r="F727" s="82"/>
      <c r="G727" s="82"/>
      <c r="H727" s="83"/>
      <c r="I727" s="83"/>
      <c r="J727" s="83"/>
      <c r="K727" s="6"/>
      <c r="L727" s="6"/>
      <c r="M727" s="6"/>
      <c r="N727" s="6"/>
      <c r="O727" s="6"/>
      <c r="P727" s="6"/>
      <c r="Q727" s="6"/>
      <c r="R727" s="6"/>
      <c r="S727" s="6"/>
      <c r="T727" s="6"/>
      <c r="U727" s="6"/>
    </row>
    <row r="728" spans="1:21">
      <c r="A728" s="82"/>
      <c r="B728" s="83"/>
      <c r="C728" s="82"/>
      <c r="D728" s="82"/>
      <c r="E728" s="82"/>
      <c r="F728" s="82"/>
      <c r="G728" s="82"/>
      <c r="H728" s="83"/>
      <c r="I728" s="83"/>
      <c r="J728" s="83"/>
      <c r="K728" s="6"/>
      <c r="L728" s="6"/>
      <c r="M728" s="6"/>
      <c r="N728" s="6"/>
      <c r="O728" s="6"/>
      <c r="P728" s="6"/>
      <c r="Q728" s="6"/>
      <c r="R728" s="6"/>
      <c r="S728" s="6"/>
      <c r="T728" s="6"/>
      <c r="U728" s="6"/>
    </row>
    <row r="729" spans="1:21">
      <c r="A729" s="82"/>
      <c r="B729" s="83"/>
      <c r="C729" s="82"/>
      <c r="D729" s="82"/>
      <c r="E729" s="82"/>
      <c r="F729" s="82"/>
      <c r="G729" s="82"/>
      <c r="H729" s="83"/>
      <c r="I729" s="83"/>
      <c r="J729" s="83"/>
      <c r="K729" s="6"/>
      <c r="L729" s="6"/>
      <c r="M729" s="6"/>
      <c r="N729" s="6"/>
      <c r="O729" s="6"/>
      <c r="P729" s="6"/>
      <c r="Q729" s="6"/>
      <c r="R729" s="6"/>
      <c r="S729" s="6"/>
      <c r="T729" s="6"/>
      <c r="U729" s="6"/>
    </row>
    <row r="730" spans="1:21">
      <c r="A730" s="82"/>
      <c r="B730" s="83"/>
      <c r="C730" s="82"/>
      <c r="D730" s="82"/>
      <c r="E730" s="82"/>
      <c r="F730" s="82"/>
      <c r="G730" s="82"/>
      <c r="H730" s="83"/>
      <c r="I730" s="83"/>
      <c r="J730" s="83"/>
      <c r="K730" s="6"/>
      <c r="L730" s="6"/>
      <c r="M730" s="6"/>
      <c r="N730" s="6"/>
      <c r="O730" s="6"/>
      <c r="P730" s="6"/>
      <c r="Q730" s="6"/>
      <c r="R730" s="6"/>
      <c r="S730" s="6"/>
      <c r="T730" s="6"/>
      <c r="U730" s="6"/>
    </row>
    <row r="731" spans="1:21">
      <c r="A731" s="82"/>
      <c r="B731" s="83"/>
      <c r="C731" s="82"/>
      <c r="D731" s="82"/>
      <c r="E731" s="82"/>
      <c r="F731" s="82"/>
      <c r="G731" s="82"/>
      <c r="H731" s="83"/>
      <c r="I731" s="83"/>
      <c r="J731" s="83"/>
      <c r="K731" s="6"/>
      <c r="L731" s="6"/>
      <c r="M731" s="6"/>
      <c r="N731" s="6"/>
      <c r="O731" s="6"/>
      <c r="P731" s="6"/>
      <c r="Q731" s="6"/>
      <c r="R731" s="6"/>
      <c r="S731" s="6"/>
      <c r="T731" s="6"/>
      <c r="U731" s="6"/>
    </row>
    <row r="732" spans="1:21">
      <c r="A732" s="82"/>
      <c r="B732" s="83"/>
      <c r="C732" s="82"/>
      <c r="D732" s="82"/>
      <c r="E732" s="82"/>
      <c r="F732" s="82"/>
      <c r="G732" s="82"/>
      <c r="H732" s="83"/>
      <c r="I732" s="83"/>
      <c r="J732" s="83"/>
      <c r="K732" s="6"/>
      <c r="L732" s="6"/>
      <c r="M732" s="6"/>
      <c r="N732" s="6"/>
      <c r="O732" s="6"/>
      <c r="P732" s="6"/>
      <c r="Q732" s="6"/>
      <c r="R732" s="6"/>
      <c r="S732" s="6"/>
      <c r="T732" s="6"/>
      <c r="U732" s="6"/>
    </row>
    <row r="733" spans="1:21">
      <c r="A733" s="82"/>
      <c r="B733" s="83"/>
      <c r="C733" s="82"/>
      <c r="D733" s="82"/>
      <c r="E733" s="82"/>
      <c r="F733" s="82"/>
      <c r="G733" s="82"/>
      <c r="H733" s="83"/>
      <c r="I733" s="83"/>
      <c r="J733" s="83"/>
      <c r="K733" s="6"/>
      <c r="L733" s="6"/>
      <c r="M733" s="6"/>
      <c r="N733" s="6"/>
      <c r="O733" s="6"/>
      <c r="P733" s="6"/>
      <c r="Q733" s="6"/>
      <c r="R733" s="6"/>
      <c r="S733" s="6"/>
      <c r="T733" s="6"/>
      <c r="U733" s="6"/>
    </row>
    <row r="734" spans="1:21">
      <c r="A734" s="82"/>
      <c r="B734" s="83"/>
      <c r="C734" s="82"/>
      <c r="D734" s="82"/>
      <c r="E734" s="82"/>
      <c r="F734" s="82"/>
      <c r="G734" s="82"/>
      <c r="H734" s="83"/>
      <c r="I734" s="83"/>
      <c r="J734" s="83"/>
      <c r="K734" s="6"/>
      <c r="L734" s="6"/>
      <c r="M734" s="6"/>
      <c r="N734" s="6"/>
      <c r="O734" s="6"/>
      <c r="P734" s="6"/>
      <c r="Q734" s="6"/>
      <c r="R734" s="6"/>
      <c r="S734" s="6"/>
      <c r="T734" s="6"/>
      <c r="U734" s="6"/>
    </row>
    <row r="735" spans="1:21">
      <c r="A735" s="82"/>
      <c r="B735" s="83"/>
      <c r="C735" s="82"/>
      <c r="D735" s="82"/>
      <c r="E735" s="82"/>
      <c r="F735" s="82"/>
      <c r="G735" s="82"/>
      <c r="H735" s="83"/>
      <c r="I735" s="83"/>
      <c r="J735" s="83"/>
      <c r="K735" s="6"/>
      <c r="L735" s="6"/>
      <c r="M735" s="6"/>
      <c r="N735" s="6"/>
      <c r="O735" s="6"/>
      <c r="P735" s="6"/>
      <c r="Q735" s="6"/>
      <c r="R735" s="6"/>
      <c r="S735" s="6"/>
      <c r="T735" s="6"/>
      <c r="U735" s="6"/>
    </row>
    <row r="736" spans="1:21">
      <c r="A736" s="82"/>
      <c r="B736" s="83"/>
      <c r="C736" s="82"/>
      <c r="D736" s="82"/>
      <c r="E736" s="82"/>
      <c r="F736" s="82"/>
      <c r="G736" s="82"/>
      <c r="H736" s="83"/>
      <c r="I736" s="83"/>
      <c r="J736" s="83"/>
      <c r="K736" s="6"/>
      <c r="L736" s="6"/>
      <c r="M736" s="6"/>
      <c r="N736" s="6"/>
      <c r="O736" s="6"/>
      <c r="P736" s="6"/>
      <c r="Q736" s="6"/>
      <c r="R736" s="6"/>
      <c r="S736" s="6"/>
      <c r="T736" s="6"/>
      <c r="U736" s="6"/>
    </row>
    <row r="737" spans="1:21">
      <c r="A737" s="82"/>
      <c r="B737" s="83"/>
      <c r="C737" s="82"/>
      <c r="D737" s="82"/>
      <c r="E737" s="82"/>
      <c r="F737" s="82"/>
      <c r="G737" s="82"/>
      <c r="H737" s="83"/>
      <c r="I737" s="83"/>
      <c r="J737" s="83"/>
      <c r="K737" s="6"/>
      <c r="L737" s="6"/>
      <c r="M737" s="6"/>
      <c r="N737" s="6"/>
      <c r="O737" s="6"/>
      <c r="P737" s="6"/>
      <c r="Q737" s="6"/>
      <c r="R737" s="6"/>
      <c r="S737" s="6"/>
      <c r="T737" s="6"/>
      <c r="U737" s="6"/>
    </row>
    <row r="738" spans="1:21">
      <c r="A738" s="82"/>
      <c r="B738" s="83"/>
      <c r="C738" s="82"/>
      <c r="D738" s="82"/>
      <c r="E738" s="82"/>
      <c r="F738" s="82"/>
      <c r="G738" s="82"/>
      <c r="H738" s="83"/>
      <c r="I738" s="83"/>
      <c r="J738" s="83"/>
      <c r="K738" s="6"/>
      <c r="L738" s="6"/>
      <c r="M738" s="6"/>
      <c r="N738" s="6"/>
      <c r="O738" s="6"/>
      <c r="P738" s="6"/>
      <c r="Q738" s="6"/>
      <c r="R738" s="6"/>
      <c r="S738" s="6"/>
      <c r="T738" s="6"/>
      <c r="U738" s="6"/>
    </row>
    <row r="739" spans="1:21">
      <c r="A739" s="82"/>
      <c r="B739" s="83"/>
      <c r="C739" s="82"/>
      <c r="D739" s="82"/>
      <c r="E739" s="82"/>
      <c r="F739" s="82"/>
      <c r="G739" s="82"/>
      <c r="H739" s="83"/>
      <c r="I739" s="83"/>
      <c r="J739" s="83"/>
      <c r="K739" s="6"/>
      <c r="L739" s="6"/>
      <c r="M739" s="6"/>
      <c r="N739" s="6"/>
      <c r="O739" s="6"/>
      <c r="P739" s="6"/>
      <c r="Q739" s="6"/>
      <c r="R739" s="6"/>
      <c r="S739" s="6"/>
      <c r="T739" s="6"/>
      <c r="U739" s="6"/>
    </row>
    <row r="740" spans="1:21">
      <c r="A740" s="82"/>
      <c r="B740" s="83"/>
      <c r="C740" s="82"/>
      <c r="D740" s="82"/>
      <c r="E740" s="82"/>
      <c r="F740" s="82"/>
      <c r="G740" s="82"/>
      <c r="H740" s="83"/>
      <c r="I740" s="83"/>
      <c r="J740" s="83"/>
      <c r="K740" s="6"/>
      <c r="L740" s="6"/>
      <c r="M740" s="6"/>
      <c r="N740" s="6"/>
      <c r="O740" s="6"/>
      <c r="P740" s="6"/>
      <c r="Q740" s="6"/>
      <c r="R740" s="6"/>
      <c r="S740" s="6"/>
      <c r="T740" s="6"/>
      <c r="U740" s="6"/>
    </row>
    <row r="741" spans="1:21">
      <c r="A741" s="82"/>
      <c r="B741" s="83"/>
      <c r="C741" s="82"/>
      <c r="D741" s="82"/>
      <c r="E741" s="82"/>
      <c r="F741" s="82"/>
      <c r="G741" s="82"/>
      <c r="H741" s="83"/>
      <c r="I741" s="83"/>
      <c r="J741" s="83"/>
      <c r="K741" s="6"/>
      <c r="L741" s="6"/>
      <c r="M741" s="6"/>
      <c r="N741" s="6"/>
      <c r="O741" s="6"/>
      <c r="P741" s="6"/>
      <c r="Q741" s="6"/>
      <c r="R741" s="6"/>
      <c r="S741" s="6"/>
      <c r="T741" s="6"/>
      <c r="U741" s="6"/>
    </row>
    <row r="742" spans="1:21">
      <c r="A742" s="82"/>
      <c r="B742" s="83"/>
      <c r="C742" s="82"/>
      <c r="D742" s="82"/>
      <c r="E742" s="82"/>
      <c r="F742" s="82"/>
      <c r="G742" s="82"/>
      <c r="H742" s="83"/>
      <c r="I742" s="83"/>
      <c r="J742" s="83"/>
      <c r="K742" s="6"/>
      <c r="L742" s="6"/>
      <c r="M742" s="6"/>
      <c r="N742" s="6"/>
      <c r="O742" s="6"/>
      <c r="P742" s="6"/>
      <c r="Q742" s="6"/>
      <c r="R742" s="6"/>
      <c r="S742" s="6"/>
      <c r="T742" s="6"/>
      <c r="U742" s="6"/>
    </row>
    <row r="743" spans="1:21">
      <c r="A743" s="82"/>
      <c r="B743" s="83"/>
      <c r="C743" s="82"/>
      <c r="D743" s="82"/>
      <c r="E743" s="82"/>
      <c r="F743" s="82"/>
      <c r="G743" s="82"/>
      <c r="H743" s="83"/>
      <c r="I743" s="83"/>
      <c r="J743" s="83"/>
      <c r="K743" s="6"/>
      <c r="L743" s="6"/>
      <c r="M743" s="6"/>
      <c r="N743" s="6"/>
      <c r="O743" s="6"/>
      <c r="P743" s="6"/>
      <c r="Q743" s="6"/>
      <c r="R743" s="6"/>
      <c r="S743" s="6"/>
      <c r="T743" s="6"/>
      <c r="U743" s="6"/>
    </row>
    <row r="744" spans="1:21">
      <c r="A744" s="82"/>
      <c r="B744" s="83"/>
      <c r="C744" s="82"/>
      <c r="D744" s="82"/>
      <c r="E744" s="82"/>
      <c r="F744" s="82"/>
      <c r="G744" s="82"/>
      <c r="H744" s="83"/>
      <c r="I744" s="83"/>
      <c r="J744" s="83"/>
      <c r="K744" s="6"/>
      <c r="L744" s="6"/>
      <c r="M744" s="6"/>
      <c r="N744" s="6"/>
      <c r="O744" s="6"/>
      <c r="P744" s="6"/>
      <c r="Q744" s="6"/>
      <c r="R744" s="6"/>
      <c r="S744" s="6"/>
      <c r="T744" s="6"/>
      <c r="U744" s="6"/>
    </row>
    <row r="745" spans="1:21">
      <c r="A745" s="82"/>
      <c r="B745" s="83"/>
      <c r="C745" s="82"/>
      <c r="D745" s="82"/>
      <c r="E745" s="82"/>
      <c r="F745" s="82"/>
      <c r="G745" s="82"/>
      <c r="H745" s="83"/>
      <c r="I745" s="83"/>
      <c r="J745" s="83"/>
      <c r="K745" s="6"/>
      <c r="L745" s="6"/>
      <c r="M745" s="6"/>
      <c r="N745" s="6"/>
      <c r="O745" s="6"/>
      <c r="P745" s="6"/>
      <c r="Q745" s="6"/>
      <c r="R745" s="6"/>
      <c r="S745" s="6"/>
      <c r="T745" s="6"/>
      <c r="U745" s="6"/>
    </row>
    <row r="746" spans="1:21">
      <c r="A746" s="82"/>
      <c r="B746" s="83"/>
      <c r="C746" s="82"/>
      <c r="D746" s="82"/>
      <c r="E746" s="82"/>
      <c r="F746" s="82"/>
      <c r="G746" s="82"/>
      <c r="H746" s="83"/>
      <c r="I746" s="83"/>
      <c r="J746" s="83"/>
      <c r="K746" s="6"/>
      <c r="L746" s="6"/>
      <c r="M746" s="6"/>
      <c r="N746" s="6"/>
      <c r="O746" s="6"/>
      <c r="P746" s="6"/>
      <c r="Q746" s="6"/>
      <c r="R746" s="6"/>
      <c r="S746" s="6"/>
      <c r="T746" s="6"/>
      <c r="U746" s="6"/>
    </row>
    <row r="747" spans="1:21">
      <c r="A747" s="82"/>
      <c r="B747" s="83"/>
      <c r="C747" s="82"/>
      <c r="D747" s="82"/>
      <c r="E747" s="82"/>
      <c r="F747" s="82"/>
      <c r="G747" s="82"/>
      <c r="H747" s="83"/>
      <c r="I747" s="83"/>
      <c r="J747" s="83"/>
      <c r="K747" s="6"/>
      <c r="L747" s="6"/>
      <c r="M747" s="6"/>
      <c r="N747" s="6"/>
      <c r="O747" s="6"/>
      <c r="P747" s="6"/>
      <c r="Q747" s="6"/>
      <c r="R747" s="6"/>
      <c r="S747" s="6"/>
      <c r="T747" s="6"/>
      <c r="U747" s="6"/>
    </row>
    <row r="748" spans="1:21">
      <c r="A748" s="82"/>
      <c r="B748" s="83"/>
      <c r="C748" s="82"/>
      <c r="D748" s="82"/>
      <c r="E748" s="82"/>
      <c r="F748" s="82"/>
      <c r="G748" s="82"/>
      <c r="H748" s="83"/>
      <c r="I748" s="83"/>
      <c r="J748" s="83"/>
      <c r="K748" s="6"/>
      <c r="L748" s="6"/>
      <c r="M748" s="6"/>
      <c r="N748" s="6"/>
      <c r="O748" s="6"/>
      <c r="P748" s="6"/>
      <c r="Q748" s="6"/>
      <c r="R748" s="6"/>
      <c r="S748" s="6"/>
      <c r="T748" s="6"/>
      <c r="U748" s="6"/>
    </row>
    <row r="749" spans="1:21">
      <c r="A749" s="82"/>
      <c r="B749" s="83"/>
      <c r="C749" s="82"/>
      <c r="D749" s="82"/>
      <c r="E749" s="82"/>
      <c r="F749" s="82"/>
      <c r="G749" s="82"/>
      <c r="H749" s="83"/>
      <c r="I749" s="83"/>
      <c r="J749" s="83"/>
      <c r="K749" s="6"/>
      <c r="L749" s="6"/>
      <c r="M749" s="6"/>
      <c r="N749" s="6"/>
      <c r="O749" s="6"/>
      <c r="P749" s="6"/>
      <c r="Q749" s="6"/>
      <c r="R749" s="6"/>
      <c r="S749" s="6"/>
      <c r="T749" s="6"/>
      <c r="U749" s="6"/>
    </row>
    <row r="750" spans="1:21">
      <c r="A750" s="82"/>
      <c r="B750" s="83"/>
      <c r="C750" s="82"/>
      <c r="D750" s="82"/>
      <c r="E750" s="82"/>
      <c r="F750" s="82"/>
      <c r="G750" s="82"/>
      <c r="H750" s="83"/>
      <c r="I750" s="83"/>
      <c r="J750" s="83"/>
      <c r="K750" s="6"/>
      <c r="L750" s="6"/>
      <c r="M750" s="6"/>
      <c r="N750" s="6"/>
      <c r="O750" s="6"/>
      <c r="P750" s="6"/>
      <c r="Q750" s="6"/>
      <c r="R750" s="6"/>
      <c r="S750" s="6"/>
      <c r="T750" s="6"/>
      <c r="U750" s="6"/>
    </row>
    <row r="751" spans="1:21">
      <c r="A751" s="82"/>
      <c r="B751" s="83"/>
      <c r="C751" s="82"/>
      <c r="D751" s="82"/>
      <c r="E751" s="82"/>
      <c r="F751" s="82"/>
      <c r="G751" s="82"/>
      <c r="H751" s="83"/>
      <c r="I751" s="83"/>
      <c r="J751" s="83"/>
      <c r="K751" s="6"/>
      <c r="L751" s="6"/>
      <c r="M751" s="6"/>
      <c r="N751" s="6"/>
      <c r="O751" s="6"/>
      <c r="P751" s="6"/>
      <c r="Q751" s="6"/>
      <c r="R751" s="6"/>
      <c r="S751" s="6"/>
      <c r="T751" s="6"/>
      <c r="U751" s="6"/>
    </row>
    <row r="752" spans="1:21">
      <c r="A752" s="82"/>
      <c r="B752" s="83"/>
      <c r="C752" s="82"/>
      <c r="D752" s="82"/>
      <c r="E752" s="82"/>
      <c r="F752" s="82"/>
      <c r="G752" s="82"/>
      <c r="H752" s="83"/>
      <c r="I752" s="83"/>
      <c r="J752" s="83"/>
      <c r="K752" s="6"/>
      <c r="L752" s="6"/>
      <c r="M752" s="6"/>
      <c r="N752" s="6"/>
      <c r="O752" s="6"/>
      <c r="P752" s="6"/>
      <c r="Q752" s="6"/>
      <c r="R752" s="6"/>
      <c r="S752" s="6"/>
      <c r="T752" s="6"/>
      <c r="U752" s="6"/>
    </row>
    <row r="753" spans="1:21">
      <c r="A753" s="82"/>
      <c r="B753" s="83"/>
      <c r="C753" s="82"/>
      <c r="D753" s="82"/>
      <c r="E753" s="82"/>
      <c r="F753" s="82"/>
      <c r="G753" s="82"/>
      <c r="H753" s="83"/>
      <c r="I753" s="83"/>
      <c r="J753" s="83"/>
      <c r="K753" s="6"/>
      <c r="L753" s="6"/>
      <c r="M753" s="6"/>
      <c r="N753" s="6"/>
      <c r="O753" s="6"/>
      <c r="P753" s="6"/>
      <c r="Q753" s="6"/>
      <c r="R753" s="6"/>
      <c r="S753" s="6"/>
      <c r="T753" s="6"/>
      <c r="U753" s="6"/>
    </row>
    <row r="754" spans="1:21">
      <c r="A754" s="82"/>
      <c r="B754" s="83"/>
      <c r="C754" s="82"/>
      <c r="D754" s="82"/>
      <c r="E754" s="82"/>
      <c r="F754" s="82"/>
      <c r="G754" s="82"/>
      <c r="H754" s="83"/>
      <c r="I754" s="83"/>
      <c r="J754" s="83"/>
      <c r="K754" s="6"/>
      <c r="L754" s="6"/>
      <c r="M754" s="6"/>
      <c r="N754" s="6"/>
      <c r="O754" s="6"/>
      <c r="P754" s="6"/>
      <c r="Q754" s="6"/>
      <c r="R754" s="6"/>
      <c r="S754" s="6"/>
      <c r="T754" s="6"/>
      <c r="U754" s="6"/>
    </row>
    <row r="755" spans="1:21">
      <c r="A755" s="82"/>
      <c r="B755" s="83"/>
      <c r="C755" s="82"/>
      <c r="D755" s="82"/>
      <c r="E755" s="82"/>
      <c r="F755" s="82"/>
      <c r="G755" s="82"/>
      <c r="H755" s="83"/>
      <c r="I755" s="83"/>
      <c r="J755" s="83"/>
      <c r="K755" s="6"/>
      <c r="L755" s="6"/>
      <c r="M755" s="6"/>
      <c r="N755" s="6"/>
      <c r="O755" s="6"/>
      <c r="P755" s="6"/>
      <c r="Q755" s="6"/>
      <c r="R755" s="6"/>
      <c r="S755" s="6"/>
      <c r="T755" s="6"/>
      <c r="U755" s="6"/>
    </row>
    <row r="756" spans="1:21">
      <c r="A756" s="82"/>
      <c r="B756" s="83"/>
      <c r="C756" s="82"/>
      <c r="D756" s="82"/>
      <c r="E756" s="82"/>
      <c r="F756" s="82"/>
      <c r="G756" s="82"/>
      <c r="H756" s="83"/>
      <c r="I756" s="83"/>
      <c r="J756" s="83"/>
      <c r="K756" s="6"/>
      <c r="L756" s="6"/>
      <c r="M756" s="6"/>
      <c r="N756" s="6"/>
      <c r="O756" s="6"/>
      <c r="P756" s="6"/>
      <c r="Q756" s="6"/>
      <c r="R756" s="6"/>
      <c r="S756" s="6"/>
      <c r="T756" s="6"/>
      <c r="U756" s="6"/>
    </row>
    <row r="757" spans="1:21">
      <c r="A757" s="82"/>
      <c r="B757" s="83"/>
      <c r="C757" s="82"/>
      <c r="D757" s="82"/>
      <c r="E757" s="82"/>
      <c r="F757" s="82"/>
      <c r="G757" s="82"/>
      <c r="H757" s="83"/>
      <c r="I757" s="83"/>
      <c r="J757" s="83"/>
      <c r="K757" s="6"/>
      <c r="L757" s="6"/>
      <c r="M757" s="6"/>
      <c r="N757" s="6"/>
      <c r="O757" s="6"/>
      <c r="P757" s="6"/>
      <c r="Q757" s="6"/>
      <c r="R757" s="6"/>
      <c r="S757" s="6"/>
      <c r="T757" s="6"/>
      <c r="U757" s="6"/>
    </row>
    <row r="758" spans="1:21">
      <c r="A758" s="82"/>
      <c r="B758" s="83"/>
      <c r="C758" s="82"/>
      <c r="D758" s="82"/>
      <c r="E758" s="82"/>
      <c r="F758" s="82"/>
      <c r="G758" s="82"/>
      <c r="H758" s="83"/>
      <c r="I758" s="83"/>
      <c r="J758" s="83"/>
      <c r="K758" s="6"/>
      <c r="L758" s="6"/>
      <c r="M758" s="6"/>
      <c r="N758" s="6"/>
      <c r="O758" s="6"/>
      <c r="P758" s="6"/>
      <c r="Q758" s="6"/>
      <c r="R758" s="6"/>
      <c r="S758" s="6"/>
      <c r="T758" s="6"/>
      <c r="U758" s="6"/>
    </row>
    <row r="759" spans="1:21">
      <c r="A759" s="82"/>
      <c r="B759" s="83"/>
      <c r="C759" s="82"/>
      <c r="D759" s="82"/>
      <c r="E759" s="82"/>
      <c r="F759" s="82"/>
      <c r="G759" s="82"/>
      <c r="H759" s="83"/>
      <c r="I759" s="83"/>
      <c r="J759" s="83"/>
      <c r="K759" s="6"/>
      <c r="L759" s="6"/>
      <c r="M759" s="6"/>
      <c r="N759" s="6"/>
      <c r="O759" s="6"/>
      <c r="P759" s="6"/>
      <c r="Q759" s="6"/>
      <c r="R759" s="6"/>
      <c r="S759" s="6"/>
      <c r="T759" s="6"/>
      <c r="U759" s="6"/>
    </row>
    <row r="760" spans="1:21">
      <c r="A760" s="82"/>
      <c r="B760" s="83"/>
      <c r="C760" s="82"/>
      <c r="D760" s="82"/>
      <c r="E760" s="82"/>
      <c r="F760" s="82"/>
      <c r="G760" s="82"/>
      <c r="H760" s="83"/>
      <c r="I760" s="83"/>
      <c r="J760" s="83"/>
      <c r="K760" s="6"/>
      <c r="L760" s="6"/>
      <c r="M760" s="6"/>
      <c r="N760" s="6"/>
      <c r="O760" s="6"/>
      <c r="P760" s="6"/>
      <c r="Q760" s="6"/>
      <c r="R760" s="6"/>
      <c r="S760" s="6"/>
      <c r="T760" s="6"/>
      <c r="U760" s="6"/>
    </row>
    <row r="761" spans="1:21">
      <c r="A761" s="82"/>
      <c r="B761" s="83"/>
      <c r="C761" s="82"/>
      <c r="D761" s="82"/>
      <c r="E761" s="82"/>
      <c r="F761" s="82"/>
      <c r="G761" s="82"/>
      <c r="H761" s="83"/>
      <c r="I761" s="83"/>
      <c r="J761" s="83"/>
      <c r="K761" s="6"/>
      <c r="L761" s="6"/>
      <c r="M761" s="6"/>
      <c r="N761" s="6"/>
      <c r="O761" s="6"/>
      <c r="P761" s="6"/>
      <c r="Q761" s="6"/>
      <c r="R761" s="6"/>
      <c r="S761" s="6"/>
      <c r="T761" s="6"/>
      <c r="U761" s="6"/>
    </row>
    <row r="762" spans="1:21">
      <c r="A762" s="82"/>
      <c r="B762" s="83"/>
      <c r="C762" s="82"/>
      <c r="D762" s="82"/>
      <c r="E762" s="82"/>
      <c r="F762" s="82"/>
      <c r="G762" s="82"/>
      <c r="H762" s="83"/>
      <c r="I762" s="83"/>
      <c r="J762" s="83"/>
      <c r="K762" s="6"/>
      <c r="L762" s="6"/>
      <c r="M762" s="6"/>
      <c r="N762" s="6"/>
      <c r="O762" s="6"/>
      <c r="P762" s="6"/>
      <c r="Q762" s="6"/>
      <c r="R762" s="6"/>
      <c r="S762" s="6"/>
      <c r="T762" s="6"/>
      <c r="U762" s="6"/>
    </row>
    <row r="763" spans="1:21">
      <c r="A763" s="82"/>
      <c r="B763" s="83"/>
      <c r="C763" s="82"/>
      <c r="D763" s="82"/>
      <c r="E763" s="82"/>
      <c r="F763" s="82"/>
      <c r="G763" s="82"/>
      <c r="H763" s="83"/>
      <c r="I763" s="83"/>
      <c r="J763" s="83"/>
      <c r="K763" s="6"/>
      <c r="L763" s="6"/>
      <c r="M763" s="6"/>
      <c r="N763" s="6"/>
      <c r="O763" s="6"/>
      <c r="P763" s="6"/>
      <c r="Q763" s="6"/>
      <c r="R763" s="6"/>
      <c r="S763" s="6"/>
      <c r="T763" s="6"/>
      <c r="U763" s="6"/>
    </row>
    <row r="764" spans="1:21">
      <c r="A764" s="82"/>
      <c r="B764" s="83"/>
      <c r="C764" s="82"/>
      <c r="D764" s="82"/>
      <c r="E764" s="82"/>
      <c r="F764" s="82"/>
      <c r="G764" s="82"/>
      <c r="H764" s="83"/>
      <c r="I764" s="83"/>
      <c r="J764" s="83"/>
      <c r="K764" s="6"/>
      <c r="L764" s="6"/>
      <c r="M764" s="6"/>
      <c r="N764" s="6"/>
      <c r="O764" s="6"/>
      <c r="P764" s="6"/>
      <c r="Q764" s="6"/>
      <c r="R764" s="6"/>
      <c r="S764" s="6"/>
      <c r="T764" s="6"/>
      <c r="U764" s="6"/>
    </row>
    <row r="765" spans="1:21">
      <c r="A765" s="82"/>
      <c r="B765" s="83"/>
      <c r="C765" s="82"/>
      <c r="D765" s="82"/>
      <c r="E765" s="82"/>
      <c r="F765" s="82"/>
      <c r="G765" s="82"/>
      <c r="H765" s="83"/>
      <c r="I765" s="83"/>
      <c r="J765" s="83"/>
      <c r="K765" s="6"/>
      <c r="L765" s="6"/>
      <c r="M765" s="6"/>
      <c r="N765" s="6"/>
      <c r="O765" s="6"/>
      <c r="P765" s="6"/>
      <c r="Q765" s="6"/>
      <c r="R765" s="6"/>
      <c r="S765" s="6"/>
      <c r="T765" s="6"/>
      <c r="U765" s="6"/>
    </row>
    <row r="766" spans="1:21">
      <c r="A766" s="82"/>
      <c r="B766" s="83"/>
      <c r="C766" s="82"/>
      <c r="D766" s="82"/>
      <c r="E766" s="82"/>
      <c r="F766" s="82"/>
      <c r="G766" s="82"/>
      <c r="H766" s="83"/>
      <c r="I766" s="83"/>
      <c r="J766" s="83"/>
      <c r="K766" s="6"/>
      <c r="L766" s="6"/>
      <c r="M766" s="6"/>
      <c r="N766" s="6"/>
      <c r="O766" s="6"/>
      <c r="P766" s="6"/>
      <c r="Q766" s="6"/>
      <c r="R766" s="6"/>
      <c r="S766" s="6"/>
      <c r="T766" s="6"/>
      <c r="U766" s="6"/>
    </row>
    <row r="767" spans="1:21">
      <c r="A767" s="82"/>
      <c r="B767" s="83"/>
      <c r="C767" s="82"/>
      <c r="D767" s="82"/>
      <c r="E767" s="82"/>
      <c r="F767" s="82"/>
      <c r="G767" s="82"/>
      <c r="H767" s="83"/>
      <c r="I767" s="83"/>
      <c r="J767" s="83"/>
      <c r="K767" s="6"/>
      <c r="L767" s="6"/>
      <c r="M767" s="6"/>
      <c r="N767" s="6"/>
      <c r="O767" s="6"/>
      <c r="P767" s="6"/>
      <c r="Q767" s="6"/>
      <c r="R767" s="6"/>
      <c r="S767" s="6"/>
      <c r="T767" s="6"/>
      <c r="U767" s="6"/>
    </row>
    <row r="768" spans="1:21">
      <c r="A768" s="82"/>
      <c r="B768" s="83"/>
      <c r="C768" s="82"/>
      <c r="D768" s="82"/>
      <c r="E768" s="82"/>
      <c r="F768" s="82"/>
      <c r="G768" s="82"/>
      <c r="H768" s="83"/>
      <c r="I768" s="83"/>
      <c r="J768" s="83"/>
      <c r="K768" s="6"/>
      <c r="L768" s="6"/>
      <c r="M768" s="6"/>
      <c r="N768" s="6"/>
      <c r="O768" s="6"/>
      <c r="P768" s="6"/>
      <c r="Q768" s="6"/>
      <c r="R768" s="6"/>
      <c r="S768" s="6"/>
      <c r="T768" s="6"/>
      <c r="U768" s="6"/>
    </row>
    <row r="769" spans="1:21">
      <c r="A769" s="82"/>
      <c r="B769" s="83"/>
      <c r="C769" s="82"/>
      <c r="D769" s="82"/>
      <c r="E769" s="82"/>
      <c r="F769" s="82"/>
      <c r="G769" s="82"/>
      <c r="H769" s="83"/>
      <c r="I769" s="83"/>
      <c r="J769" s="83"/>
      <c r="K769" s="6"/>
      <c r="L769" s="6"/>
      <c r="M769" s="6"/>
      <c r="N769" s="6"/>
      <c r="O769" s="6"/>
      <c r="P769" s="6"/>
      <c r="Q769" s="6"/>
      <c r="R769" s="6"/>
      <c r="S769" s="6"/>
      <c r="T769" s="6"/>
      <c r="U769" s="6"/>
    </row>
    <row r="770" spans="1:21">
      <c r="A770" s="82"/>
      <c r="B770" s="83"/>
      <c r="C770" s="82"/>
      <c r="D770" s="82"/>
      <c r="E770" s="82"/>
      <c r="F770" s="82"/>
      <c r="G770" s="82"/>
      <c r="H770" s="83"/>
      <c r="I770" s="83"/>
      <c r="J770" s="83"/>
      <c r="K770" s="6"/>
      <c r="L770" s="6"/>
      <c r="M770" s="6"/>
      <c r="N770" s="6"/>
      <c r="O770" s="6"/>
      <c r="P770" s="6"/>
      <c r="Q770" s="6"/>
      <c r="R770" s="6"/>
      <c r="S770" s="6"/>
      <c r="T770" s="6"/>
      <c r="U770" s="6"/>
    </row>
    <row r="771" spans="1:21">
      <c r="A771" s="82"/>
      <c r="B771" s="83"/>
      <c r="C771" s="82"/>
      <c r="D771" s="82"/>
      <c r="E771" s="82"/>
      <c r="F771" s="82"/>
      <c r="G771" s="82"/>
      <c r="H771" s="83"/>
      <c r="I771" s="83"/>
      <c r="J771" s="83"/>
      <c r="K771" s="6"/>
      <c r="L771" s="6"/>
      <c r="M771" s="6"/>
      <c r="N771" s="6"/>
      <c r="O771" s="6"/>
      <c r="P771" s="6"/>
      <c r="Q771" s="6"/>
      <c r="R771" s="6"/>
      <c r="S771" s="6"/>
      <c r="T771" s="6"/>
      <c r="U771" s="6"/>
    </row>
    <row r="772" spans="1:21">
      <c r="A772" s="82"/>
      <c r="B772" s="83"/>
      <c r="C772" s="82"/>
      <c r="D772" s="82"/>
      <c r="E772" s="82"/>
      <c r="F772" s="82"/>
      <c r="G772" s="82"/>
      <c r="H772" s="83"/>
      <c r="I772" s="83"/>
      <c r="J772" s="83"/>
      <c r="K772" s="6"/>
      <c r="L772" s="6"/>
      <c r="M772" s="6"/>
      <c r="N772" s="6"/>
      <c r="O772" s="6"/>
      <c r="P772" s="6"/>
      <c r="Q772" s="6"/>
      <c r="R772" s="6"/>
      <c r="S772" s="6"/>
      <c r="T772" s="6"/>
      <c r="U772" s="6"/>
    </row>
    <row r="773" spans="1:21">
      <c r="A773" s="82"/>
      <c r="B773" s="83"/>
      <c r="C773" s="82"/>
      <c r="D773" s="82"/>
      <c r="E773" s="82"/>
      <c r="F773" s="82"/>
      <c r="G773" s="82"/>
      <c r="H773" s="83"/>
      <c r="I773" s="83"/>
      <c r="J773" s="83"/>
      <c r="K773" s="6"/>
      <c r="L773" s="6"/>
      <c r="M773" s="6"/>
      <c r="N773" s="6"/>
      <c r="O773" s="6"/>
      <c r="P773" s="6"/>
      <c r="Q773" s="6"/>
      <c r="R773" s="6"/>
      <c r="S773" s="6"/>
      <c r="T773" s="6"/>
      <c r="U773" s="6"/>
    </row>
    <row r="774" spans="1:21">
      <c r="A774" s="82"/>
      <c r="B774" s="83"/>
      <c r="C774" s="82"/>
      <c r="D774" s="82"/>
      <c r="E774" s="82"/>
      <c r="F774" s="82"/>
      <c r="G774" s="82"/>
      <c r="H774" s="83"/>
      <c r="I774" s="83"/>
      <c r="J774" s="83"/>
      <c r="K774" s="6"/>
      <c r="L774" s="6"/>
      <c r="M774" s="6"/>
      <c r="N774" s="6"/>
      <c r="O774" s="6"/>
      <c r="P774" s="6"/>
      <c r="Q774" s="6"/>
      <c r="R774" s="6"/>
      <c r="S774" s="6"/>
      <c r="T774" s="6"/>
      <c r="U774" s="6"/>
    </row>
    <row r="775" spans="1:21">
      <c r="A775" s="82"/>
      <c r="B775" s="83"/>
      <c r="C775" s="82"/>
      <c r="D775" s="82"/>
      <c r="E775" s="82"/>
      <c r="F775" s="82"/>
      <c r="G775" s="82"/>
      <c r="H775" s="83"/>
      <c r="I775" s="83"/>
      <c r="J775" s="83"/>
      <c r="K775" s="6"/>
      <c r="L775" s="6"/>
      <c r="M775" s="6"/>
      <c r="N775" s="6"/>
      <c r="O775" s="6"/>
      <c r="P775" s="6"/>
      <c r="Q775" s="6"/>
      <c r="R775" s="6"/>
      <c r="S775" s="6"/>
      <c r="T775" s="6"/>
      <c r="U775" s="6"/>
    </row>
    <row r="776" spans="1:21">
      <c r="A776" s="82"/>
      <c r="B776" s="83"/>
      <c r="C776" s="82"/>
      <c r="D776" s="82"/>
      <c r="E776" s="82"/>
      <c r="F776" s="82"/>
      <c r="G776" s="82"/>
      <c r="H776" s="83"/>
      <c r="I776" s="83"/>
      <c r="J776" s="83"/>
      <c r="K776" s="6"/>
      <c r="L776" s="6"/>
      <c r="M776" s="6"/>
      <c r="N776" s="6"/>
      <c r="O776" s="6"/>
      <c r="P776" s="6"/>
      <c r="Q776" s="6"/>
      <c r="R776" s="6"/>
      <c r="S776" s="6"/>
      <c r="T776" s="6"/>
      <c r="U776" s="6"/>
    </row>
    <row r="777" spans="1:21">
      <c r="A777" s="82"/>
      <c r="B777" s="83"/>
      <c r="C777" s="82"/>
      <c r="D777" s="82"/>
      <c r="E777" s="82"/>
      <c r="F777" s="82"/>
      <c r="G777" s="82"/>
      <c r="H777" s="83"/>
      <c r="I777" s="83"/>
      <c r="J777" s="83"/>
      <c r="K777" s="6"/>
      <c r="L777" s="6"/>
      <c r="M777" s="6"/>
      <c r="N777" s="6"/>
      <c r="O777" s="6"/>
      <c r="P777" s="6"/>
      <c r="Q777" s="6"/>
      <c r="R777" s="6"/>
      <c r="S777" s="6"/>
      <c r="T777" s="6"/>
      <c r="U777" s="6"/>
    </row>
    <row r="778" spans="1:21">
      <c r="A778" s="82"/>
      <c r="B778" s="83"/>
      <c r="C778" s="82"/>
      <c r="D778" s="82"/>
      <c r="E778" s="82"/>
      <c r="F778" s="82"/>
      <c r="G778" s="82"/>
      <c r="H778" s="83"/>
      <c r="I778" s="83"/>
      <c r="J778" s="83"/>
      <c r="K778" s="6"/>
      <c r="L778" s="6"/>
      <c r="M778" s="6"/>
      <c r="N778" s="6"/>
      <c r="O778" s="6"/>
      <c r="P778" s="6"/>
      <c r="Q778" s="6"/>
      <c r="R778" s="6"/>
      <c r="S778" s="6"/>
      <c r="T778" s="6"/>
      <c r="U778" s="6"/>
    </row>
    <row r="779" spans="1:21">
      <c r="A779" s="82"/>
      <c r="B779" s="83"/>
      <c r="C779" s="82"/>
      <c r="D779" s="82"/>
      <c r="E779" s="82"/>
      <c r="F779" s="82"/>
      <c r="G779" s="82"/>
      <c r="H779" s="83"/>
      <c r="I779" s="83"/>
      <c r="J779" s="83"/>
      <c r="K779" s="6"/>
      <c r="L779" s="6"/>
      <c r="M779" s="6"/>
      <c r="N779" s="6"/>
      <c r="O779" s="6"/>
      <c r="P779" s="6"/>
      <c r="Q779" s="6"/>
      <c r="R779" s="6"/>
      <c r="S779" s="6"/>
      <c r="T779" s="6"/>
      <c r="U779" s="6"/>
    </row>
    <row r="780" spans="1:21">
      <c r="A780" s="82"/>
      <c r="B780" s="83"/>
      <c r="C780" s="82"/>
      <c r="D780" s="82"/>
      <c r="E780" s="82"/>
      <c r="F780" s="82"/>
      <c r="G780" s="82"/>
      <c r="H780" s="83"/>
      <c r="I780" s="83"/>
      <c r="J780" s="83"/>
      <c r="K780" s="6"/>
      <c r="L780" s="6"/>
      <c r="M780" s="6"/>
      <c r="N780" s="6"/>
      <c r="O780" s="6"/>
      <c r="P780" s="6"/>
      <c r="Q780" s="6"/>
      <c r="R780" s="6"/>
      <c r="S780" s="6"/>
      <c r="T780" s="6"/>
      <c r="U780" s="6"/>
    </row>
    <row r="781" spans="1:21">
      <c r="A781" s="82"/>
      <c r="B781" s="83"/>
      <c r="C781" s="82"/>
      <c r="D781" s="82"/>
      <c r="E781" s="82"/>
      <c r="F781" s="82"/>
      <c r="G781" s="82"/>
      <c r="H781" s="83"/>
      <c r="I781" s="83"/>
      <c r="J781" s="83"/>
      <c r="K781" s="6"/>
      <c r="L781" s="6"/>
      <c r="M781" s="6"/>
      <c r="N781" s="6"/>
      <c r="O781" s="6"/>
      <c r="P781" s="6"/>
      <c r="Q781" s="6"/>
      <c r="R781" s="6"/>
      <c r="S781" s="6"/>
      <c r="T781" s="6"/>
      <c r="U781" s="6"/>
    </row>
    <row r="782" spans="1:21">
      <c r="A782" s="82"/>
      <c r="B782" s="83"/>
      <c r="C782" s="82"/>
      <c r="D782" s="82"/>
      <c r="E782" s="82"/>
      <c r="F782" s="82"/>
      <c r="G782" s="82"/>
      <c r="H782" s="83"/>
      <c r="I782" s="83"/>
      <c r="J782" s="83"/>
      <c r="K782" s="6"/>
      <c r="L782" s="6"/>
      <c r="M782" s="6"/>
      <c r="N782" s="6"/>
      <c r="O782" s="6"/>
      <c r="P782" s="6"/>
      <c r="Q782" s="6"/>
      <c r="R782" s="6"/>
      <c r="S782" s="6"/>
      <c r="T782" s="6"/>
      <c r="U782" s="6"/>
    </row>
    <row r="783" spans="1:21">
      <c r="A783" s="82"/>
      <c r="B783" s="83"/>
      <c r="C783" s="82"/>
      <c r="D783" s="82"/>
      <c r="E783" s="82"/>
      <c r="F783" s="82"/>
      <c r="G783" s="82"/>
      <c r="H783" s="83"/>
      <c r="I783" s="83"/>
      <c r="J783" s="83"/>
      <c r="K783" s="6"/>
      <c r="L783" s="6"/>
      <c r="M783" s="6"/>
      <c r="N783" s="6"/>
      <c r="O783" s="6"/>
      <c r="P783" s="6"/>
      <c r="Q783" s="6"/>
      <c r="R783" s="6"/>
      <c r="S783" s="6"/>
      <c r="T783" s="6"/>
      <c r="U783" s="6"/>
    </row>
    <row r="784" spans="1:21">
      <c r="A784" s="82"/>
      <c r="B784" s="83"/>
      <c r="C784" s="82"/>
      <c r="D784" s="82"/>
      <c r="E784" s="82"/>
      <c r="F784" s="82"/>
      <c r="G784" s="82"/>
      <c r="H784" s="83"/>
      <c r="I784" s="83"/>
      <c r="J784" s="83"/>
      <c r="K784" s="6"/>
      <c r="L784" s="6"/>
      <c r="M784" s="6"/>
      <c r="N784" s="6"/>
      <c r="O784" s="6"/>
      <c r="P784" s="6"/>
      <c r="Q784" s="6"/>
      <c r="R784" s="6"/>
      <c r="S784" s="6"/>
      <c r="T784" s="6"/>
      <c r="U784" s="6"/>
    </row>
    <row r="785" spans="1:21">
      <c r="A785" s="82"/>
      <c r="B785" s="83"/>
      <c r="C785" s="82"/>
      <c r="D785" s="82"/>
      <c r="E785" s="82"/>
      <c r="F785" s="82"/>
      <c r="G785" s="82"/>
      <c r="H785" s="83"/>
      <c r="I785" s="83"/>
      <c r="J785" s="83"/>
      <c r="K785" s="6"/>
      <c r="L785" s="6"/>
      <c r="M785" s="6"/>
      <c r="N785" s="6"/>
      <c r="O785" s="6"/>
      <c r="P785" s="6"/>
      <c r="Q785" s="6"/>
      <c r="R785" s="6"/>
      <c r="S785" s="6"/>
      <c r="T785" s="6"/>
      <c r="U785" s="6"/>
    </row>
    <row r="786" spans="1:21">
      <c r="A786" s="82"/>
      <c r="B786" s="83"/>
      <c r="C786" s="82"/>
      <c r="D786" s="82"/>
      <c r="E786" s="82"/>
      <c r="F786" s="82"/>
      <c r="G786" s="82"/>
      <c r="H786" s="83"/>
      <c r="I786" s="83"/>
      <c r="J786" s="83"/>
      <c r="K786" s="6"/>
      <c r="L786" s="6"/>
      <c r="M786" s="6"/>
      <c r="N786" s="6"/>
      <c r="O786" s="6"/>
      <c r="P786" s="6"/>
      <c r="Q786" s="6"/>
      <c r="R786" s="6"/>
      <c r="S786" s="6"/>
      <c r="T786" s="6"/>
      <c r="U786" s="6"/>
    </row>
    <row r="787" spans="1:21">
      <c r="A787" s="82"/>
      <c r="B787" s="83"/>
      <c r="C787" s="82"/>
      <c r="D787" s="82"/>
      <c r="E787" s="82"/>
      <c r="F787" s="82"/>
      <c r="G787" s="82"/>
      <c r="H787" s="83"/>
      <c r="I787" s="83"/>
      <c r="J787" s="83"/>
      <c r="K787" s="6"/>
      <c r="L787" s="6"/>
      <c r="M787" s="6"/>
      <c r="N787" s="6"/>
      <c r="O787" s="6"/>
      <c r="P787" s="6"/>
      <c r="Q787" s="6"/>
      <c r="R787" s="6"/>
      <c r="S787" s="6"/>
      <c r="T787" s="6"/>
      <c r="U787" s="6"/>
    </row>
    <row r="788" spans="1:21">
      <c r="A788" s="82"/>
      <c r="B788" s="83"/>
      <c r="C788" s="82"/>
      <c r="D788" s="82"/>
      <c r="E788" s="82"/>
      <c r="F788" s="82"/>
      <c r="G788" s="82"/>
      <c r="H788" s="83"/>
      <c r="I788" s="83"/>
      <c r="J788" s="83"/>
      <c r="K788" s="6"/>
      <c r="L788" s="6"/>
      <c r="M788" s="6"/>
      <c r="N788" s="6"/>
      <c r="O788" s="6"/>
      <c r="P788" s="6"/>
      <c r="Q788" s="6"/>
      <c r="R788" s="6"/>
      <c r="S788" s="6"/>
      <c r="T788" s="6"/>
      <c r="U788" s="6"/>
    </row>
    <row r="789" spans="1:21">
      <c r="A789" s="82"/>
      <c r="B789" s="83"/>
      <c r="C789" s="82"/>
      <c r="D789" s="82"/>
      <c r="E789" s="82"/>
      <c r="F789" s="82"/>
      <c r="G789" s="82"/>
      <c r="H789" s="83"/>
      <c r="I789" s="83"/>
      <c r="J789" s="83"/>
      <c r="K789" s="6"/>
      <c r="L789" s="6"/>
      <c r="M789" s="6"/>
      <c r="N789" s="6"/>
      <c r="O789" s="6"/>
      <c r="P789" s="6"/>
      <c r="Q789" s="6"/>
      <c r="R789" s="6"/>
      <c r="S789" s="6"/>
      <c r="T789" s="6"/>
      <c r="U789" s="6"/>
    </row>
    <row r="790" spans="1:21">
      <c r="A790" s="82"/>
      <c r="B790" s="83"/>
      <c r="C790" s="82"/>
      <c r="D790" s="82"/>
      <c r="E790" s="82"/>
      <c r="F790" s="82"/>
      <c r="G790" s="82"/>
      <c r="H790" s="83"/>
      <c r="I790" s="83"/>
      <c r="J790" s="83"/>
      <c r="K790" s="6"/>
      <c r="L790" s="6"/>
      <c r="M790" s="6"/>
      <c r="N790" s="6"/>
      <c r="O790" s="6"/>
      <c r="P790" s="6"/>
      <c r="Q790" s="6"/>
      <c r="R790" s="6"/>
      <c r="S790" s="6"/>
      <c r="T790" s="6"/>
      <c r="U790" s="6"/>
    </row>
    <row r="791" spans="1:21">
      <c r="A791" s="82"/>
      <c r="B791" s="83"/>
      <c r="C791" s="82"/>
      <c r="D791" s="82"/>
      <c r="E791" s="82"/>
      <c r="F791" s="82"/>
      <c r="G791" s="82"/>
      <c r="H791" s="83"/>
      <c r="I791" s="83"/>
      <c r="J791" s="83"/>
      <c r="K791" s="6"/>
      <c r="L791" s="6"/>
      <c r="M791" s="6"/>
      <c r="N791" s="6"/>
      <c r="O791" s="6"/>
      <c r="P791" s="6"/>
      <c r="Q791" s="6"/>
      <c r="R791" s="6"/>
      <c r="S791" s="6"/>
      <c r="T791" s="6"/>
      <c r="U791" s="6"/>
    </row>
    <row r="792" spans="1:21">
      <c r="A792" s="82"/>
      <c r="B792" s="83"/>
      <c r="C792" s="82"/>
      <c r="D792" s="82"/>
      <c r="E792" s="82"/>
      <c r="F792" s="82"/>
      <c r="G792" s="82"/>
      <c r="H792" s="83"/>
      <c r="I792" s="83"/>
      <c r="J792" s="83"/>
      <c r="K792" s="6"/>
      <c r="L792" s="6"/>
      <c r="M792" s="6"/>
      <c r="N792" s="6"/>
      <c r="O792" s="6"/>
      <c r="P792" s="6"/>
      <c r="Q792" s="6"/>
      <c r="R792" s="6"/>
      <c r="S792" s="6"/>
      <c r="T792" s="6"/>
      <c r="U792" s="6"/>
    </row>
    <row r="793" spans="1:21">
      <c r="A793" s="82"/>
      <c r="B793" s="83"/>
      <c r="C793" s="82"/>
      <c r="D793" s="82"/>
      <c r="E793" s="82"/>
      <c r="F793" s="82"/>
      <c r="G793" s="82"/>
      <c r="H793" s="83"/>
      <c r="I793" s="83"/>
      <c r="J793" s="83"/>
      <c r="K793" s="6"/>
      <c r="L793" s="6"/>
      <c r="M793" s="6"/>
      <c r="N793" s="6"/>
      <c r="O793" s="6"/>
      <c r="P793" s="6"/>
      <c r="Q793" s="6"/>
      <c r="R793" s="6"/>
      <c r="S793" s="6"/>
      <c r="T793" s="6"/>
      <c r="U793" s="6"/>
    </row>
    <row r="794" spans="1:21">
      <c r="A794" s="82"/>
      <c r="B794" s="83"/>
      <c r="C794" s="82"/>
      <c r="D794" s="82"/>
      <c r="E794" s="82"/>
      <c r="F794" s="82"/>
      <c r="G794" s="82"/>
      <c r="H794" s="83"/>
      <c r="I794" s="83"/>
      <c r="J794" s="83"/>
      <c r="K794" s="6"/>
      <c r="L794" s="6"/>
      <c r="M794" s="6"/>
      <c r="N794" s="6"/>
      <c r="O794" s="6"/>
      <c r="P794" s="6"/>
      <c r="Q794" s="6"/>
      <c r="R794" s="6"/>
      <c r="S794" s="6"/>
      <c r="T794" s="6"/>
      <c r="U794" s="6"/>
    </row>
    <row r="795" spans="1:21">
      <c r="A795" s="82"/>
      <c r="B795" s="83"/>
      <c r="C795" s="82"/>
      <c r="D795" s="82"/>
      <c r="E795" s="82"/>
      <c r="F795" s="82"/>
      <c r="G795" s="82"/>
      <c r="H795" s="83"/>
      <c r="I795" s="83"/>
      <c r="J795" s="83"/>
      <c r="K795" s="6"/>
      <c r="L795" s="6"/>
      <c r="M795" s="6"/>
      <c r="N795" s="6"/>
      <c r="O795" s="6"/>
      <c r="P795" s="6"/>
      <c r="Q795" s="6"/>
      <c r="R795" s="6"/>
      <c r="S795" s="6"/>
      <c r="T795" s="6"/>
      <c r="U795" s="6"/>
    </row>
    <row r="796" spans="1:21">
      <c r="A796" s="82"/>
      <c r="B796" s="83"/>
      <c r="C796" s="82"/>
      <c r="D796" s="82"/>
      <c r="E796" s="82"/>
      <c r="F796" s="82"/>
      <c r="G796" s="82"/>
      <c r="H796" s="83"/>
      <c r="I796" s="83"/>
      <c r="J796" s="83"/>
      <c r="K796" s="6"/>
      <c r="L796" s="6"/>
      <c r="M796" s="6"/>
      <c r="N796" s="6"/>
      <c r="O796" s="6"/>
      <c r="P796" s="6"/>
      <c r="Q796" s="6"/>
      <c r="R796" s="6"/>
      <c r="S796" s="6"/>
      <c r="T796" s="6"/>
      <c r="U796" s="6"/>
    </row>
    <row r="797" spans="1:21">
      <c r="A797" s="82"/>
      <c r="B797" s="83"/>
      <c r="C797" s="82"/>
      <c r="D797" s="82"/>
      <c r="E797" s="82"/>
      <c r="F797" s="82"/>
      <c r="G797" s="82"/>
      <c r="H797" s="83"/>
      <c r="I797" s="83"/>
      <c r="J797" s="83"/>
      <c r="K797" s="6"/>
      <c r="L797" s="6"/>
      <c r="M797" s="6"/>
      <c r="N797" s="6"/>
      <c r="O797" s="6"/>
      <c r="P797" s="6"/>
      <c r="Q797" s="6"/>
      <c r="R797" s="6"/>
      <c r="S797" s="6"/>
      <c r="T797" s="6"/>
      <c r="U797" s="6"/>
    </row>
    <row r="798" spans="1:21">
      <c r="A798" s="82"/>
      <c r="B798" s="83"/>
      <c r="C798" s="82"/>
      <c r="D798" s="82"/>
      <c r="E798" s="82"/>
      <c r="F798" s="82"/>
      <c r="G798" s="82"/>
      <c r="H798" s="83"/>
      <c r="I798" s="83"/>
      <c r="J798" s="83"/>
      <c r="K798" s="6"/>
      <c r="L798" s="6"/>
      <c r="M798" s="6"/>
      <c r="N798" s="6"/>
      <c r="O798" s="6"/>
      <c r="P798" s="6"/>
      <c r="Q798" s="6"/>
      <c r="R798" s="6"/>
      <c r="S798" s="6"/>
      <c r="T798" s="6"/>
      <c r="U798" s="6"/>
    </row>
    <row r="799" spans="1:21">
      <c r="A799" s="82"/>
      <c r="B799" s="83"/>
      <c r="C799" s="82"/>
      <c r="D799" s="82"/>
      <c r="E799" s="82"/>
      <c r="F799" s="82"/>
      <c r="G799" s="82"/>
      <c r="H799" s="83"/>
      <c r="I799" s="83"/>
      <c r="J799" s="83"/>
      <c r="K799" s="6"/>
      <c r="L799" s="6"/>
      <c r="M799" s="6"/>
      <c r="N799" s="6"/>
      <c r="O799" s="6"/>
      <c r="P799" s="6"/>
      <c r="Q799" s="6"/>
      <c r="R799" s="6"/>
      <c r="S799" s="6"/>
      <c r="T799" s="6"/>
      <c r="U799" s="6"/>
    </row>
    <row r="800" spans="1:21">
      <c r="A800" s="82"/>
      <c r="B800" s="83"/>
      <c r="C800" s="82"/>
      <c r="D800" s="82"/>
      <c r="E800" s="82"/>
      <c r="F800" s="82"/>
      <c r="G800" s="82"/>
      <c r="H800" s="83"/>
      <c r="I800" s="83"/>
      <c r="J800" s="83"/>
      <c r="K800" s="6"/>
      <c r="L800" s="6"/>
      <c r="M800" s="6"/>
      <c r="N800" s="6"/>
      <c r="O800" s="6"/>
      <c r="P800" s="6"/>
      <c r="Q800" s="6"/>
      <c r="R800" s="6"/>
      <c r="S800" s="6"/>
      <c r="T800" s="6"/>
      <c r="U800" s="6"/>
    </row>
    <row r="801" spans="1:21">
      <c r="A801" s="82"/>
      <c r="B801" s="83"/>
      <c r="C801" s="82"/>
      <c r="D801" s="82"/>
      <c r="E801" s="82"/>
      <c r="F801" s="82"/>
      <c r="G801" s="82"/>
      <c r="H801" s="83"/>
      <c r="I801" s="83"/>
      <c r="J801" s="83"/>
      <c r="K801" s="6"/>
      <c r="L801" s="6"/>
      <c r="M801" s="6"/>
      <c r="N801" s="6"/>
      <c r="O801" s="6"/>
      <c r="P801" s="6"/>
      <c r="Q801" s="6"/>
      <c r="R801" s="6"/>
      <c r="S801" s="6"/>
      <c r="T801" s="6"/>
      <c r="U801" s="6"/>
    </row>
    <row r="802" spans="1:21">
      <c r="A802" s="82"/>
      <c r="B802" s="83"/>
      <c r="C802" s="82"/>
      <c r="D802" s="82"/>
      <c r="E802" s="82"/>
      <c r="F802" s="82"/>
      <c r="G802" s="82"/>
      <c r="H802" s="83"/>
      <c r="I802" s="83"/>
      <c r="J802" s="83"/>
      <c r="K802" s="6"/>
      <c r="L802" s="6"/>
      <c r="M802" s="6"/>
      <c r="N802" s="6"/>
      <c r="O802" s="6"/>
      <c r="P802" s="6"/>
      <c r="Q802" s="6"/>
      <c r="R802" s="6"/>
      <c r="S802" s="6"/>
      <c r="T802" s="6"/>
      <c r="U802" s="6"/>
    </row>
    <row r="803" spans="1:21">
      <c r="A803" s="82"/>
      <c r="B803" s="83"/>
      <c r="C803" s="82"/>
      <c r="D803" s="82"/>
      <c r="E803" s="82"/>
      <c r="F803" s="82"/>
      <c r="G803" s="82"/>
      <c r="H803" s="83"/>
      <c r="I803" s="83"/>
      <c r="J803" s="83"/>
      <c r="K803" s="6"/>
      <c r="L803" s="6"/>
      <c r="M803" s="6"/>
      <c r="N803" s="6"/>
      <c r="O803" s="6"/>
      <c r="P803" s="6"/>
      <c r="Q803" s="6"/>
      <c r="R803" s="6"/>
      <c r="S803" s="6"/>
      <c r="T803" s="6"/>
      <c r="U803" s="6"/>
    </row>
    <row r="804" spans="1:21">
      <c r="A804" s="82"/>
      <c r="B804" s="83"/>
      <c r="C804" s="82"/>
      <c r="D804" s="82"/>
      <c r="E804" s="82"/>
      <c r="F804" s="82"/>
      <c r="G804" s="82"/>
      <c r="H804" s="83"/>
      <c r="I804" s="83"/>
      <c r="J804" s="83"/>
      <c r="K804" s="6"/>
      <c r="L804" s="6"/>
      <c r="M804" s="6"/>
      <c r="N804" s="6"/>
      <c r="O804" s="6"/>
      <c r="P804" s="6"/>
      <c r="Q804" s="6"/>
      <c r="R804" s="6"/>
      <c r="S804" s="6"/>
      <c r="T804" s="6"/>
      <c r="U804" s="6"/>
    </row>
    <row r="805" spans="1:21">
      <c r="A805" s="82"/>
      <c r="B805" s="83"/>
      <c r="C805" s="82"/>
      <c r="D805" s="82"/>
      <c r="E805" s="82"/>
      <c r="F805" s="82"/>
      <c r="G805" s="82"/>
      <c r="H805" s="83"/>
      <c r="I805" s="83"/>
      <c r="J805" s="83"/>
      <c r="K805" s="6"/>
      <c r="L805" s="6"/>
      <c r="M805" s="6"/>
      <c r="N805" s="6"/>
      <c r="O805" s="6"/>
      <c r="P805" s="6"/>
      <c r="Q805" s="6"/>
      <c r="R805" s="6"/>
      <c r="S805" s="6"/>
      <c r="T805" s="6"/>
      <c r="U805" s="6"/>
    </row>
    <row r="806" spans="1:21">
      <c r="A806" s="82"/>
      <c r="B806" s="83"/>
      <c r="C806" s="82"/>
      <c r="D806" s="82"/>
      <c r="E806" s="82"/>
      <c r="F806" s="82"/>
      <c r="G806" s="82"/>
      <c r="H806" s="83"/>
      <c r="I806" s="83"/>
      <c r="J806" s="83"/>
      <c r="K806" s="6"/>
      <c r="L806" s="6"/>
      <c r="M806" s="6"/>
      <c r="N806" s="6"/>
      <c r="O806" s="6"/>
      <c r="P806" s="6"/>
      <c r="Q806" s="6"/>
      <c r="R806" s="6"/>
      <c r="S806" s="6"/>
      <c r="T806" s="6"/>
      <c r="U806" s="6"/>
    </row>
    <row r="807" spans="1:21">
      <c r="A807" s="82"/>
      <c r="B807" s="83"/>
      <c r="C807" s="82"/>
      <c r="D807" s="82"/>
      <c r="E807" s="82"/>
      <c r="F807" s="82"/>
      <c r="G807" s="82"/>
      <c r="H807" s="83"/>
      <c r="I807" s="83"/>
      <c r="J807" s="83"/>
      <c r="K807" s="6"/>
      <c r="L807" s="6"/>
      <c r="M807" s="6"/>
      <c r="N807" s="6"/>
      <c r="O807" s="6"/>
      <c r="P807" s="6"/>
      <c r="Q807" s="6"/>
      <c r="R807" s="6"/>
      <c r="S807" s="6"/>
      <c r="T807" s="6"/>
      <c r="U807" s="6"/>
    </row>
    <row r="808" spans="1:21">
      <c r="A808" s="82"/>
      <c r="B808" s="83"/>
      <c r="C808" s="82"/>
      <c r="D808" s="82"/>
      <c r="E808" s="82"/>
      <c r="F808" s="82"/>
      <c r="G808" s="82"/>
      <c r="H808" s="83"/>
      <c r="I808" s="83"/>
      <c r="J808" s="83"/>
      <c r="K808" s="6"/>
      <c r="L808" s="6"/>
      <c r="M808" s="6"/>
      <c r="N808" s="6"/>
      <c r="O808" s="6"/>
      <c r="P808" s="6"/>
      <c r="Q808" s="6"/>
      <c r="R808" s="6"/>
      <c r="S808" s="6"/>
      <c r="T808" s="6"/>
      <c r="U808" s="6"/>
    </row>
    <row r="809" spans="1:21">
      <c r="A809" s="82"/>
      <c r="B809" s="83"/>
      <c r="C809" s="82"/>
      <c r="D809" s="82"/>
      <c r="E809" s="82"/>
      <c r="F809" s="82"/>
      <c r="G809" s="82"/>
      <c r="H809" s="83"/>
      <c r="I809" s="83"/>
      <c r="J809" s="83"/>
      <c r="K809" s="6"/>
      <c r="L809" s="6"/>
      <c r="M809" s="6"/>
      <c r="N809" s="6"/>
      <c r="O809" s="6"/>
      <c r="P809" s="6"/>
      <c r="Q809" s="6"/>
      <c r="R809" s="6"/>
      <c r="S809" s="6"/>
      <c r="T809" s="6"/>
      <c r="U809" s="6"/>
    </row>
    <row r="810" spans="1:21">
      <c r="A810" s="82"/>
      <c r="B810" s="83"/>
      <c r="C810" s="82"/>
      <c r="D810" s="82"/>
      <c r="E810" s="82"/>
      <c r="F810" s="82"/>
      <c r="G810" s="82"/>
      <c r="H810" s="83"/>
      <c r="I810" s="83"/>
      <c r="J810" s="83"/>
      <c r="K810" s="6"/>
      <c r="L810" s="6"/>
      <c r="M810" s="6"/>
      <c r="N810" s="6"/>
      <c r="O810" s="6"/>
      <c r="P810" s="6"/>
      <c r="Q810" s="6"/>
      <c r="R810" s="6"/>
      <c r="S810" s="6"/>
      <c r="T810" s="6"/>
      <c r="U810" s="6"/>
    </row>
    <row r="811" spans="1:21">
      <c r="A811" s="82"/>
      <c r="B811" s="83"/>
      <c r="C811" s="82"/>
      <c r="D811" s="82"/>
      <c r="E811" s="82"/>
      <c r="F811" s="82"/>
      <c r="G811" s="82"/>
      <c r="H811" s="83"/>
      <c r="I811" s="83"/>
      <c r="J811" s="83"/>
      <c r="K811" s="6"/>
      <c r="L811" s="6"/>
      <c r="M811" s="6"/>
      <c r="N811" s="6"/>
      <c r="O811" s="6"/>
      <c r="P811" s="6"/>
      <c r="Q811" s="6"/>
      <c r="R811" s="6"/>
      <c r="S811" s="6"/>
      <c r="T811" s="6"/>
      <c r="U811" s="6"/>
    </row>
    <row r="812" spans="1:21">
      <c r="A812" s="82"/>
      <c r="B812" s="83"/>
      <c r="C812" s="82"/>
      <c r="D812" s="82"/>
      <c r="E812" s="82"/>
      <c r="F812" s="82"/>
      <c r="G812" s="82"/>
      <c r="H812" s="83"/>
      <c r="I812" s="83"/>
      <c r="J812" s="83"/>
      <c r="K812" s="6"/>
      <c r="L812" s="6"/>
      <c r="M812" s="6"/>
      <c r="N812" s="6"/>
      <c r="O812" s="6"/>
      <c r="P812" s="6"/>
      <c r="Q812" s="6"/>
      <c r="R812" s="6"/>
      <c r="S812" s="6"/>
      <c r="T812" s="6"/>
      <c r="U812" s="6"/>
    </row>
    <row r="813" spans="1:21">
      <c r="A813" s="82"/>
      <c r="B813" s="83"/>
      <c r="C813" s="82"/>
      <c r="D813" s="82"/>
      <c r="E813" s="82"/>
      <c r="F813" s="82"/>
      <c r="G813" s="82"/>
      <c r="H813" s="83"/>
      <c r="I813" s="83"/>
      <c r="J813" s="83"/>
      <c r="K813" s="6"/>
      <c r="L813" s="6"/>
      <c r="M813" s="6"/>
      <c r="N813" s="6"/>
      <c r="O813" s="6"/>
      <c r="P813" s="6"/>
      <c r="Q813" s="6"/>
      <c r="R813" s="6"/>
      <c r="S813" s="6"/>
      <c r="T813" s="6"/>
      <c r="U813" s="6"/>
    </row>
    <row r="814" spans="1:21">
      <c r="A814" s="82"/>
      <c r="B814" s="83"/>
      <c r="C814" s="82"/>
      <c r="D814" s="82"/>
      <c r="E814" s="82"/>
      <c r="F814" s="82"/>
      <c r="G814" s="82"/>
      <c r="H814" s="83"/>
      <c r="I814" s="83"/>
      <c r="J814" s="83"/>
      <c r="K814" s="6"/>
      <c r="L814" s="6"/>
      <c r="M814" s="6"/>
      <c r="N814" s="6"/>
      <c r="O814" s="6"/>
      <c r="P814" s="6"/>
      <c r="Q814" s="6"/>
      <c r="R814" s="6"/>
      <c r="S814" s="6"/>
      <c r="T814" s="6"/>
      <c r="U814" s="6"/>
    </row>
    <row r="815" spans="1:21">
      <c r="A815" s="82"/>
      <c r="B815" s="83"/>
      <c r="C815" s="82"/>
      <c r="D815" s="82"/>
      <c r="E815" s="82"/>
      <c r="F815" s="82"/>
      <c r="G815" s="82"/>
      <c r="H815" s="83"/>
      <c r="I815" s="83"/>
      <c r="J815" s="83"/>
      <c r="K815" s="6"/>
      <c r="L815" s="6"/>
      <c r="M815" s="6"/>
      <c r="N815" s="6"/>
      <c r="O815" s="6"/>
      <c r="P815" s="6"/>
      <c r="Q815" s="6"/>
      <c r="R815" s="6"/>
      <c r="S815" s="6"/>
      <c r="T815" s="6"/>
      <c r="U815" s="6"/>
    </row>
    <row r="816" spans="1:21">
      <c r="A816" s="82"/>
      <c r="B816" s="83"/>
      <c r="C816" s="82"/>
      <c r="D816" s="82"/>
      <c r="E816" s="82"/>
      <c r="F816" s="82"/>
      <c r="G816" s="82"/>
      <c r="H816" s="83"/>
      <c r="I816" s="83"/>
      <c r="J816" s="83"/>
      <c r="K816" s="6"/>
      <c r="L816" s="6"/>
      <c r="M816" s="6"/>
      <c r="N816" s="6"/>
      <c r="O816" s="6"/>
      <c r="P816" s="6"/>
      <c r="Q816" s="6"/>
      <c r="R816" s="6"/>
      <c r="S816" s="6"/>
      <c r="T816" s="6"/>
      <c r="U816" s="6"/>
    </row>
    <row r="817" spans="1:21">
      <c r="A817" s="82"/>
      <c r="B817" s="83"/>
      <c r="C817" s="82"/>
      <c r="D817" s="82"/>
      <c r="E817" s="82"/>
      <c r="F817" s="82"/>
      <c r="G817" s="82"/>
      <c r="H817" s="83"/>
      <c r="I817" s="83"/>
      <c r="J817" s="83"/>
      <c r="K817" s="6"/>
      <c r="L817" s="6"/>
      <c r="M817" s="6"/>
      <c r="N817" s="6"/>
      <c r="O817" s="6"/>
      <c r="P817" s="6"/>
      <c r="Q817" s="6"/>
      <c r="R817" s="6"/>
      <c r="S817" s="6"/>
      <c r="T817" s="6"/>
      <c r="U817" s="6"/>
    </row>
    <row r="818" spans="1:21">
      <c r="A818" s="82"/>
      <c r="B818" s="83"/>
      <c r="C818" s="82"/>
      <c r="D818" s="82"/>
      <c r="E818" s="82"/>
      <c r="F818" s="82"/>
      <c r="G818" s="82"/>
      <c r="H818" s="83"/>
      <c r="I818" s="83"/>
      <c r="J818" s="83"/>
      <c r="K818" s="6"/>
      <c r="L818" s="6"/>
      <c r="M818" s="6"/>
      <c r="N818" s="6"/>
      <c r="O818" s="6"/>
      <c r="P818" s="6"/>
      <c r="Q818" s="6"/>
      <c r="R818" s="6"/>
      <c r="S818" s="6"/>
      <c r="T818" s="6"/>
      <c r="U818" s="6"/>
    </row>
    <row r="819" spans="1:21">
      <c r="A819" s="82"/>
      <c r="B819" s="83"/>
      <c r="C819" s="82"/>
      <c r="D819" s="82"/>
      <c r="E819" s="82"/>
      <c r="F819" s="82"/>
      <c r="G819" s="82"/>
      <c r="H819" s="83"/>
      <c r="I819" s="83"/>
      <c r="J819" s="83"/>
      <c r="K819" s="6"/>
      <c r="L819" s="6"/>
      <c r="M819" s="6"/>
      <c r="N819" s="6"/>
      <c r="O819" s="6"/>
      <c r="P819" s="6"/>
      <c r="Q819" s="6"/>
      <c r="R819" s="6"/>
      <c r="S819" s="6"/>
      <c r="T819" s="6"/>
      <c r="U819" s="6"/>
    </row>
    <row r="820" spans="1:21">
      <c r="A820" s="82"/>
      <c r="B820" s="83"/>
      <c r="C820" s="82"/>
      <c r="D820" s="82"/>
      <c r="E820" s="82"/>
      <c r="F820" s="82"/>
      <c r="G820" s="82"/>
      <c r="H820" s="83"/>
      <c r="I820" s="83"/>
      <c r="J820" s="83"/>
      <c r="K820" s="6"/>
      <c r="L820" s="6"/>
      <c r="M820" s="6"/>
      <c r="N820" s="6"/>
      <c r="O820" s="6"/>
      <c r="P820" s="6"/>
      <c r="Q820" s="6"/>
      <c r="R820" s="6"/>
      <c r="S820" s="6"/>
      <c r="T820" s="6"/>
      <c r="U820" s="6"/>
    </row>
    <row r="821" spans="1:21">
      <c r="A821" s="82"/>
      <c r="B821" s="83"/>
      <c r="C821" s="82"/>
      <c r="D821" s="82"/>
      <c r="E821" s="82"/>
      <c r="F821" s="82"/>
      <c r="G821" s="82"/>
      <c r="H821" s="83"/>
      <c r="I821" s="83"/>
      <c r="J821" s="83"/>
      <c r="K821" s="6"/>
      <c r="L821" s="6"/>
      <c r="M821" s="6"/>
      <c r="N821" s="6"/>
      <c r="O821" s="6"/>
      <c r="P821" s="6"/>
      <c r="Q821" s="6"/>
      <c r="R821" s="6"/>
      <c r="S821" s="6"/>
      <c r="T821" s="6"/>
      <c r="U821" s="6"/>
    </row>
    <row r="822" spans="1:21">
      <c r="A822" s="82"/>
      <c r="B822" s="83"/>
      <c r="C822" s="82"/>
      <c r="D822" s="82"/>
      <c r="E822" s="82"/>
      <c r="F822" s="82"/>
      <c r="G822" s="82"/>
      <c r="H822" s="83"/>
      <c r="I822" s="83"/>
      <c r="J822" s="83"/>
      <c r="K822" s="6"/>
      <c r="L822" s="6"/>
      <c r="M822" s="6"/>
      <c r="N822" s="6"/>
      <c r="O822" s="6"/>
      <c r="P822" s="6"/>
      <c r="Q822" s="6"/>
      <c r="R822" s="6"/>
      <c r="S822" s="6"/>
      <c r="T822" s="6"/>
      <c r="U822" s="6"/>
    </row>
    <row r="823" spans="1:21">
      <c r="A823" s="82"/>
      <c r="B823" s="83"/>
      <c r="C823" s="82"/>
      <c r="D823" s="82"/>
      <c r="E823" s="82"/>
      <c r="F823" s="82"/>
      <c r="G823" s="82"/>
      <c r="H823" s="83"/>
      <c r="I823" s="83"/>
      <c r="J823" s="83"/>
      <c r="K823" s="6"/>
      <c r="L823" s="6"/>
      <c r="M823" s="6"/>
      <c r="N823" s="6"/>
      <c r="O823" s="6"/>
      <c r="P823" s="6"/>
      <c r="Q823" s="6"/>
      <c r="R823" s="6"/>
      <c r="S823" s="6"/>
      <c r="T823" s="6"/>
      <c r="U823" s="6"/>
    </row>
    <row r="824" spans="1:21">
      <c r="A824" s="82"/>
      <c r="B824" s="83"/>
      <c r="C824" s="82"/>
      <c r="D824" s="82"/>
      <c r="E824" s="82"/>
      <c r="F824" s="82"/>
      <c r="G824" s="82"/>
      <c r="H824" s="83"/>
      <c r="I824" s="83"/>
      <c r="J824" s="83"/>
      <c r="K824" s="6"/>
      <c r="L824" s="6"/>
      <c r="M824" s="6"/>
      <c r="N824" s="6"/>
      <c r="O824" s="6"/>
      <c r="P824" s="6"/>
      <c r="Q824" s="6"/>
      <c r="R824" s="6"/>
      <c r="S824" s="6"/>
      <c r="T824" s="6"/>
      <c r="U824" s="6"/>
    </row>
    <row r="825" spans="1:21">
      <c r="A825" s="82"/>
      <c r="B825" s="83"/>
      <c r="C825" s="82"/>
      <c r="D825" s="82"/>
      <c r="E825" s="82"/>
      <c r="F825" s="82"/>
      <c r="G825" s="82"/>
      <c r="H825" s="83"/>
      <c r="I825" s="83"/>
      <c r="J825" s="83"/>
      <c r="K825" s="6"/>
      <c r="L825" s="6"/>
      <c r="M825" s="6"/>
      <c r="N825" s="6"/>
      <c r="O825" s="6"/>
      <c r="P825" s="6"/>
      <c r="Q825" s="6"/>
      <c r="R825" s="6"/>
      <c r="S825" s="6"/>
      <c r="T825" s="6"/>
      <c r="U825" s="6"/>
    </row>
    <row r="826" spans="1:21">
      <c r="A826" s="82"/>
      <c r="B826" s="83"/>
      <c r="C826" s="82"/>
      <c r="D826" s="82"/>
      <c r="E826" s="82"/>
      <c r="F826" s="82"/>
      <c r="G826" s="82"/>
      <c r="H826" s="83"/>
      <c r="I826" s="83"/>
      <c r="J826" s="83"/>
      <c r="K826" s="6"/>
      <c r="L826" s="6"/>
      <c r="M826" s="6"/>
      <c r="N826" s="6"/>
      <c r="O826" s="6"/>
      <c r="P826" s="6"/>
      <c r="Q826" s="6"/>
      <c r="R826" s="6"/>
      <c r="S826" s="6"/>
      <c r="T826" s="6"/>
      <c r="U826" s="6"/>
    </row>
    <row r="827" spans="1:21">
      <c r="A827" s="82"/>
      <c r="B827" s="83"/>
      <c r="C827" s="82"/>
      <c r="D827" s="82"/>
      <c r="E827" s="82"/>
      <c r="F827" s="82"/>
      <c r="G827" s="82"/>
      <c r="H827" s="83"/>
      <c r="I827" s="83"/>
      <c r="J827" s="83"/>
      <c r="K827" s="6"/>
      <c r="L827" s="6"/>
      <c r="M827" s="6"/>
      <c r="N827" s="6"/>
      <c r="O827" s="6"/>
      <c r="P827" s="6"/>
      <c r="Q827" s="6"/>
      <c r="R827" s="6"/>
      <c r="S827" s="6"/>
      <c r="T827" s="6"/>
      <c r="U827" s="6"/>
    </row>
    <row r="828" spans="1:21">
      <c r="A828" s="82"/>
      <c r="B828" s="83"/>
      <c r="C828" s="82"/>
      <c r="D828" s="82"/>
      <c r="E828" s="82"/>
      <c r="F828" s="82"/>
      <c r="G828" s="82"/>
      <c r="H828" s="83"/>
      <c r="I828" s="83"/>
      <c r="J828" s="83"/>
      <c r="K828" s="6"/>
      <c r="L828" s="6"/>
      <c r="M828" s="6"/>
      <c r="N828" s="6"/>
      <c r="O828" s="6"/>
      <c r="P828" s="6"/>
      <c r="Q828" s="6"/>
      <c r="R828" s="6"/>
      <c r="S828" s="6"/>
      <c r="T828" s="6"/>
      <c r="U828" s="6"/>
    </row>
    <row r="829" spans="1:21">
      <c r="A829" s="82"/>
      <c r="B829" s="83"/>
      <c r="C829" s="82"/>
      <c r="D829" s="82"/>
      <c r="E829" s="82"/>
      <c r="F829" s="82"/>
      <c r="G829" s="82"/>
      <c r="H829" s="83"/>
      <c r="I829" s="83"/>
      <c r="J829" s="83"/>
      <c r="K829" s="6"/>
      <c r="L829" s="6"/>
      <c r="M829" s="6"/>
      <c r="N829" s="6"/>
      <c r="O829" s="6"/>
      <c r="P829" s="6"/>
      <c r="Q829" s="6"/>
      <c r="R829" s="6"/>
      <c r="S829" s="6"/>
      <c r="T829" s="6"/>
      <c r="U829" s="6"/>
    </row>
    <row r="830" spans="1:21">
      <c r="A830" s="82"/>
      <c r="B830" s="83"/>
      <c r="C830" s="82"/>
      <c r="D830" s="82"/>
      <c r="E830" s="82"/>
      <c r="F830" s="82"/>
      <c r="G830" s="82"/>
      <c r="H830" s="83"/>
      <c r="I830" s="83"/>
      <c r="J830" s="83"/>
      <c r="K830" s="6"/>
      <c r="L830" s="6"/>
      <c r="M830" s="6"/>
      <c r="N830" s="6"/>
      <c r="O830" s="6"/>
      <c r="P830" s="6"/>
      <c r="Q830" s="6"/>
      <c r="R830" s="6"/>
      <c r="S830" s="6"/>
      <c r="T830" s="6"/>
      <c r="U830" s="6"/>
    </row>
    <row r="831" spans="1:21">
      <c r="A831" s="82"/>
      <c r="B831" s="83"/>
      <c r="C831" s="82"/>
      <c r="D831" s="82"/>
      <c r="E831" s="82"/>
      <c r="F831" s="82"/>
      <c r="G831" s="82"/>
      <c r="H831" s="83"/>
      <c r="I831" s="83"/>
      <c r="J831" s="83"/>
      <c r="K831" s="6"/>
      <c r="L831" s="6"/>
      <c r="M831" s="6"/>
      <c r="N831" s="6"/>
      <c r="O831" s="6"/>
      <c r="P831" s="6"/>
      <c r="Q831" s="6"/>
      <c r="R831" s="6"/>
      <c r="S831" s="6"/>
      <c r="T831" s="6"/>
      <c r="U831" s="6"/>
    </row>
    <row r="832" spans="1:21">
      <c r="A832" s="82"/>
      <c r="B832" s="83"/>
      <c r="C832" s="82"/>
      <c r="D832" s="82"/>
      <c r="E832" s="82"/>
      <c r="F832" s="82"/>
      <c r="G832" s="82"/>
      <c r="H832" s="83"/>
      <c r="I832" s="83"/>
      <c r="J832" s="83"/>
      <c r="K832" s="6"/>
      <c r="L832" s="6"/>
      <c r="M832" s="6"/>
      <c r="N832" s="6"/>
      <c r="O832" s="6"/>
      <c r="P832" s="6"/>
      <c r="Q832" s="6"/>
      <c r="R832" s="6"/>
      <c r="S832" s="6"/>
      <c r="T832" s="6"/>
      <c r="U832" s="6"/>
    </row>
    <row r="833" spans="1:21">
      <c r="A833" s="82"/>
      <c r="B833" s="83"/>
      <c r="C833" s="82"/>
      <c r="D833" s="82"/>
      <c r="E833" s="82"/>
      <c r="F833" s="82"/>
      <c r="G833" s="82"/>
      <c r="H833" s="83"/>
      <c r="I833" s="83"/>
      <c r="J833" s="83"/>
      <c r="K833" s="6"/>
      <c r="L833" s="6"/>
      <c r="M833" s="6"/>
      <c r="N833" s="6"/>
      <c r="O833" s="6"/>
      <c r="P833" s="6"/>
      <c r="Q833" s="6"/>
      <c r="R833" s="6"/>
      <c r="S833" s="6"/>
      <c r="T833" s="6"/>
      <c r="U833" s="6"/>
    </row>
    <row r="834" spans="1:21">
      <c r="A834" s="82"/>
      <c r="B834" s="83"/>
      <c r="C834" s="82"/>
      <c r="D834" s="82"/>
      <c r="E834" s="82"/>
      <c r="F834" s="82"/>
      <c r="G834" s="82"/>
      <c r="H834" s="83"/>
      <c r="I834" s="83"/>
      <c r="J834" s="83"/>
      <c r="K834" s="6"/>
      <c r="L834" s="6"/>
      <c r="M834" s="6"/>
      <c r="N834" s="6"/>
      <c r="O834" s="6"/>
      <c r="P834" s="6"/>
      <c r="Q834" s="6"/>
      <c r="R834" s="6"/>
      <c r="S834" s="6"/>
      <c r="T834" s="6"/>
      <c r="U834" s="6"/>
    </row>
    <row r="835" spans="1:21">
      <c r="A835" s="82"/>
      <c r="B835" s="83"/>
      <c r="C835" s="82"/>
      <c r="D835" s="82"/>
      <c r="E835" s="82"/>
      <c r="F835" s="82"/>
      <c r="G835" s="82"/>
      <c r="H835" s="83"/>
      <c r="I835" s="83"/>
      <c r="J835" s="83"/>
      <c r="K835" s="6"/>
      <c r="L835" s="6"/>
      <c r="M835" s="6"/>
      <c r="N835" s="6"/>
      <c r="O835" s="6"/>
      <c r="P835" s="6"/>
      <c r="Q835" s="6"/>
      <c r="R835" s="6"/>
      <c r="S835" s="6"/>
      <c r="T835" s="6"/>
      <c r="U835" s="6"/>
    </row>
    <row r="836" spans="1:21">
      <c r="A836" s="82"/>
      <c r="B836" s="83"/>
      <c r="C836" s="82"/>
      <c r="D836" s="82"/>
      <c r="E836" s="82"/>
      <c r="F836" s="82"/>
      <c r="G836" s="82"/>
      <c r="H836" s="83"/>
      <c r="I836" s="83"/>
      <c r="J836" s="83"/>
      <c r="K836" s="6"/>
      <c r="L836" s="6"/>
      <c r="M836" s="6"/>
      <c r="N836" s="6"/>
      <c r="O836" s="6"/>
      <c r="P836" s="6"/>
      <c r="Q836" s="6"/>
      <c r="R836" s="6"/>
      <c r="S836" s="6"/>
      <c r="T836" s="6"/>
      <c r="U836" s="6"/>
    </row>
    <row r="837" spans="1:21">
      <c r="A837" s="82"/>
      <c r="B837" s="83"/>
      <c r="C837" s="82"/>
      <c r="D837" s="82"/>
      <c r="E837" s="82"/>
      <c r="F837" s="82"/>
      <c r="G837" s="82"/>
      <c r="H837" s="83"/>
      <c r="I837" s="83"/>
      <c r="J837" s="83"/>
      <c r="K837" s="6"/>
      <c r="L837" s="6"/>
      <c r="M837" s="6"/>
      <c r="N837" s="6"/>
      <c r="O837" s="6"/>
      <c r="P837" s="6"/>
      <c r="Q837" s="6"/>
      <c r="R837" s="6"/>
      <c r="S837" s="6"/>
      <c r="T837" s="6"/>
      <c r="U837" s="6"/>
    </row>
    <row r="838" spans="1:21">
      <c r="A838" s="82"/>
      <c r="B838" s="83"/>
      <c r="C838" s="82"/>
      <c r="D838" s="82"/>
      <c r="E838" s="82"/>
      <c r="F838" s="82"/>
      <c r="G838" s="82"/>
      <c r="H838" s="83"/>
      <c r="I838" s="83"/>
      <c r="J838" s="83"/>
      <c r="K838" s="6"/>
      <c r="L838" s="6"/>
      <c r="M838" s="6"/>
      <c r="N838" s="6"/>
      <c r="O838" s="6"/>
      <c r="P838" s="6"/>
      <c r="Q838" s="6"/>
      <c r="R838" s="6"/>
      <c r="S838" s="6"/>
      <c r="T838" s="6"/>
      <c r="U838" s="6"/>
    </row>
    <row r="839" spans="1:21">
      <c r="A839" s="82"/>
      <c r="B839" s="83"/>
      <c r="C839" s="82"/>
      <c r="D839" s="82"/>
      <c r="E839" s="82"/>
      <c r="F839" s="82"/>
      <c r="G839" s="82"/>
      <c r="H839" s="83"/>
      <c r="I839" s="83"/>
      <c r="J839" s="83"/>
      <c r="K839" s="6"/>
      <c r="L839" s="6"/>
      <c r="M839" s="6"/>
      <c r="N839" s="6"/>
      <c r="O839" s="6"/>
      <c r="P839" s="6"/>
      <c r="Q839" s="6"/>
      <c r="R839" s="6"/>
      <c r="S839" s="6"/>
      <c r="T839" s="6"/>
      <c r="U839" s="6"/>
    </row>
    <row r="840" spans="1:21">
      <c r="A840" s="82"/>
      <c r="B840" s="83"/>
      <c r="C840" s="82"/>
      <c r="D840" s="82"/>
      <c r="E840" s="82"/>
      <c r="F840" s="82"/>
      <c r="G840" s="82"/>
      <c r="H840" s="83"/>
      <c r="I840" s="83"/>
      <c r="J840" s="83"/>
      <c r="K840" s="6"/>
      <c r="L840" s="6"/>
      <c r="M840" s="6"/>
      <c r="N840" s="6"/>
      <c r="O840" s="6"/>
      <c r="P840" s="6"/>
      <c r="Q840" s="6"/>
      <c r="R840" s="6"/>
      <c r="S840" s="6"/>
      <c r="T840" s="6"/>
      <c r="U840" s="6"/>
    </row>
    <row r="841" spans="1:21">
      <c r="A841" s="82"/>
      <c r="B841" s="83"/>
      <c r="C841" s="82"/>
      <c r="D841" s="82"/>
      <c r="E841" s="82"/>
      <c r="F841" s="82"/>
      <c r="G841" s="82"/>
      <c r="H841" s="83"/>
      <c r="I841" s="83"/>
      <c r="J841" s="83"/>
      <c r="K841" s="6"/>
      <c r="L841" s="6"/>
      <c r="M841" s="6"/>
      <c r="N841" s="6"/>
      <c r="O841" s="6"/>
      <c r="P841" s="6"/>
      <c r="Q841" s="6"/>
      <c r="R841" s="6"/>
      <c r="S841" s="6"/>
      <c r="T841" s="6"/>
      <c r="U841" s="6"/>
    </row>
    <row r="842" spans="1:21">
      <c r="A842" s="82"/>
      <c r="B842" s="83"/>
      <c r="C842" s="82"/>
      <c r="D842" s="82"/>
      <c r="E842" s="82"/>
      <c r="F842" s="82"/>
      <c r="G842" s="82"/>
      <c r="H842" s="83"/>
      <c r="I842" s="83"/>
      <c r="J842" s="83"/>
      <c r="K842" s="6"/>
      <c r="L842" s="6"/>
      <c r="M842" s="6"/>
      <c r="N842" s="6"/>
      <c r="O842" s="6"/>
      <c r="P842" s="6"/>
      <c r="Q842" s="6"/>
      <c r="R842" s="6"/>
      <c r="S842" s="6"/>
      <c r="T842" s="6"/>
      <c r="U842" s="6"/>
    </row>
    <row r="843" spans="1:21">
      <c r="A843" s="82"/>
      <c r="B843" s="83"/>
      <c r="C843" s="82"/>
      <c r="D843" s="82"/>
      <c r="E843" s="82"/>
      <c r="F843" s="82"/>
      <c r="G843" s="82"/>
      <c r="H843" s="83"/>
      <c r="I843" s="83"/>
      <c r="J843" s="83"/>
      <c r="K843" s="6"/>
      <c r="L843" s="6"/>
      <c r="M843" s="6"/>
      <c r="N843" s="6"/>
      <c r="O843" s="6"/>
      <c r="P843" s="6"/>
      <c r="Q843" s="6"/>
      <c r="R843" s="6"/>
      <c r="S843" s="6"/>
      <c r="T843" s="6"/>
      <c r="U843" s="6"/>
    </row>
    <row r="844" spans="1:21">
      <c r="A844" s="82"/>
      <c r="B844" s="83"/>
      <c r="C844" s="82"/>
      <c r="D844" s="82"/>
      <c r="E844" s="82"/>
      <c r="F844" s="82"/>
      <c r="G844" s="82"/>
      <c r="H844" s="83"/>
      <c r="I844" s="83"/>
      <c r="J844" s="83"/>
      <c r="K844" s="6"/>
      <c r="L844" s="6"/>
      <c r="M844" s="6"/>
      <c r="N844" s="6"/>
      <c r="O844" s="6"/>
      <c r="P844" s="6"/>
      <c r="Q844" s="6"/>
      <c r="R844" s="6"/>
      <c r="S844" s="6"/>
      <c r="T844" s="6"/>
      <c r="U844" s="6"/>
    </row>
    <row r="845" spans="1:21">
      <c r="A845" s="82"/>
      <c r="B845" s="83"/>
      <c r="C845" s="82"/>
      <c r="D845" s="82"/>
      <c r="E845" s="82"/>
      <c r="F845" s="82"/>
      <c r="G845" s="82"/>
      <c r="H845" s="83"/>
      <c r="I845" s="83"/>
      <c r="J845" s="83"/>
      <c r="K845" s="6"/>
      <c r="L845" s="6"/>
      <c r="M845" s="6"/>
      <c r="N845" s="6"/>
      <c r="O845" s="6"/>
      <c r="P845" s="6"/>
      <c r="Q845" s="6"/>
      <c r="R845" s="6"/>
      <c r="S845" s="6"/>
      <c r="T845" s="6"/>
      <c r="U845" s="6"/>
    </row>
    <row r="846" spans="1:21">
      <c r="A846" s="82"/>
      <c r="B846" s="83"/>
      <c r="C846" s="82"/>
      <c r="D846" s="82"/>
      <c r="E846" s="82"/>
      <c r="F846" s="82"/>
      <c r="G846" s="82"/>
      <c r="H846" s="83"/>
      <c r="I846" s="83"/>
      <c r="J846" s="83"/>
      <c r="K846" s="6"/>
      <c r="L846" s="6"/>
      <c r="M846" s="6"/>
      <c r="N846" s="6"/>
      <c r="O846" s="6"/>
      <c r="P846" s="6"/>
      <c r="Q846" s="6"/>
      <c r="R846" s="6"/>
      <c r="S846" s="6"/>
      <c r="T846" s="6"/>
      <c r="U846" s="6"/>
    </row>
    <row r="847" spans="1:21">
      <c r="A847" s="82"/>
      <c r="B847" s="83"/>
      <c r="C847" s="82"/>
      <c r="D847" s="82"/>
      <c r="E847" s="82"/>
      <c r="F847" s="82"/>
      <c r="G847" s="82"/>
      <c r="H847" s="83"/>
      <c r="I847" s="83"/>
      <c r="J847" s="83"/>
      <c r="K847" s="6"/>
      <c r="L847" s="6"/>
      <c r="M847" s="6"/>
      <c r="N847" s="6"/>
      <c r="O847" s="6"/>
      <c r="P847" s="6"/>
      <c r="Q847" s="6"/>
      <c r="R847" s="6"/>
      <c r="S847" s="6"/>
      <c r="T847" s="6"/>
      <c r="U847" s="6"/>
    </row>
    <row r="848" spans="1:21">
      <c r="A848" s="82"/>
      <c r="B848" s="83"/>
      <c r="C848" s="82"/>
      <c r="D848" s="82"/>
      <c r="E848" s="82"/>
      <c r="F848" s="82"/>
      <c r="G848" s="82"/>
      <c r="H848" s="83"/>
      <c r="I848" s="83"/>
      <c r="J848" s="83"/>
      <c r="K848" s="6"/>
      <c r="L848" s="6"/>
      <c r="M848" s="6"/>
      <c r="N848" s="6"/>
      <c r="O848" s="6"/>
      <c r="P848" s="6"/>
      <c r="Q848" s="6"/>
      <c r="R848" s="6"/>
      <c r="S848" s="6"/>
      <c r="T848" s="6"/>
      <c r="U848" s="6"/>
    </row>
    <row r="849" spans="1:21">
      <c r="A849" s="82"/>
      <c r="B849" s="83"/>
      <c r="C849" s="82"/>
      <c r="D849" s="82"/>
      <c r="E849" s="82"/>
      <c r="F849" s="82"/>
      <c r="G849" s="82"/>
      <c r="H849" s="83"/>
      <c r="I849" s="83"/>
      <c r="J849" s="83"/>
      <c r="K849" s="6"/>
      <c r="L849" s="6"/>
      <c r="M849" s="6"/>
      <c r="N849" s="6"/>
      <c r="O849" s="6"/>
      <c r="P849" s="6"/>
      <c r="Q849" s="6"/>
      <c r="R849" s="6"/>
      <c r="S849" s="6"/>
      <c r="T849" s="6"/>
      <c r="U849" s="6"/>
    </row>
    <row r="850" spans="1:21">
      <c r="A850" s="82"/>
      <c r="B850" s="83"/>
      <c r="C850" s="82"/>
      <c r="D850" s="82"/>
      <c r="E850" s="82"/>
      <c r="F850" s="82"/>
      <c r="G850" s="82"/>
      <c r="H850" s="83"/>
      <c r="I850" s="83"/>
      <c r="J850" s="83"/>
      <c r="K850" s="6"/>
      <c r="L850" s="6"/>
      <c r="M850" s="6"/>
      <c r="N850" s="6"/>
      <c r="O850" s="6"/>
      <c r="P850" s="6"/>
      <c r="Q850" s="6"/>
      <c r="R850" s="6"/>
      <c r="S850" s="6"/>
      <c r="T850" s="6"/>
      <c r="U850" s="6"/>
    </row>
    <row r="851" spans="1:21">
      <c r="A851" s="82"/>
      <c r="B851" s="83"/>
      <c r="C851" s="82"/>
      <c r="D851" s="82"/>
      <c r="E851" s="82"/>
      <c r="F851" s="82"/>
      <c r="G851" s="82"/>
      <c r="H851" s="83"/>
      <c r="I851" s="83"/>
      <c r="J851" s="83"/>
      <c r="K851" s="6"/>
      <c r="L851" s="6"/>
      <c r="M851" s="6"/>
      <c r="N851" s="6"/>
      <c r="O851" s="6"/>
      <c r="P851" s="6"/>
      <c r="Q851" s="6"/>
      <c r="R851" s="6"/>
      <c r="S851" s="6"/>
      <c r="T851" s="6"/>
      <c r="U851" s="6"/>
    </row>
    <row r="852" spans="1:21">
      <c r="A852" s="82"/>
      <c r="B852" s="83"/>
      <c r="C852" s="82"/>
      <c r="D852" s="82"/>
      <c r="E852" s="82"/>
      <c r="F852" s="82"/>
      <c r="G852" s="82"/>
      <c r="H852" s="83"/>
      <c r="I852" s="83"/>
      <c r="J852" s="83"/>
      <c r="K852" s="6"/>
      <c r="L852" s="6"/>
      <c r="M852" s="6"/>
      <c r="N852" s="6"/>
      <c r="O852" s="6"/>
      <c r="P852" s="6"/>
      <c r="Q852" s="6"/>
      <c r="R852" s="6"/>
      <c r="S852" s="6"/>
      <c r="T852" s="6"/>
      <c r="U852" s="6"/>
    </row>
    <row r="853" spans="1:21">
      <c r="A853" s="82"/>
      <c r="B853" s="83"/>
      <c r="C853" s="82"/>
      <c r="D853" s="82"/>
      <c r="E853" s="82"/>
      <c r="F853" s="82"/>
      <c r="G853" s="82"/>
      <c r="H853" s="83"/>
      <c r="I853" s="83"/>
      <c r="J853" s="83"/>
      <c r="K853" s="6"/>
      <c r="L853" s="6"/>
      <c r="M853" s="6"/>
      <c r="N853" s="6"/>
      <c r="O853" s="6"/>
      <c r="P853" s="6"/>
      <c r="Q853" s="6"/>
      <c r="R853" s="6"/>
      <c r="S853" s="6"/>
      <c r="T853" s="6"/>
      <c r="U853" s="6"/>
    </row>
    <row r="854" spans="1:21">
      <c r="A854" s="82"/>
      <c r="B854" s="83"/>
      <c r="C854" s="82"/>
      <c r="D854" s="82"/>
      <c r="E854" s="82"/>
      <c r="F854" s="82"/>
      <c r="G854" s="82"/>
      <c r="H854" s="83"/>
      <c r="I854" s="83"/>
      <c r="J854" s="83"/>
      <c r="K854" s="6"/>
      <c r="L854" s="6"/>
      <c r="M854" s="6"/>
      <c r="N854" s="6"/>
      <c r="O854" s="6"/>
      <c r="P854" s="6"/>
      <c r="Q854" s="6"/>
      <c r="R854" s="6"/>
      <c r="S854" s="6"/>
      <c r="T854" s="6"/>
      <c r="U854" s="6"/>
    </row>
    <row r="855" spans="1:21">
      <c r="A855" s="82"/>
      <c r="B855" s="83"/>
      <c r="C855" s="82"/>
      <c r="D855" s="82"/>
      <c r="E855" s="82"/>
      <c r="F855" s="82"/>
      <c r="G855" s="82"/>
      <c r="H855" s="83"/>
      <c r="I855" s="83"/>
      <c r="J855" s="83"/>
      <c r="K855" s="6"/>
      <c r="L855" s="6"/>
      <c r="M855" s="6"/>
      <c r="N855" s="6"/>
      <c r="O855" s="6"/>
      <c r="P855" s="6"/>
      <c r="Q855" s="6"/>
      <c r="R855" s="6"/>
      <c r="S855" s="6"/>
      <c r="T855" s="6"/>
      <c r="U855" s="6"/>
    </row>
    <row r="856" spans="1:21">
      <c r="A856" s="82"/>
      <c r="B856" s="83"/>
      <c r="C856" s="82"/>
      <c r="D856" s="82"/>
      <c r="E856" s="82"/>
      <c r="F856" s="82"/>
      <c r="G856" s="82"/>
      <c r="H856" s="83"/>
      <c r="I856" s="83"/>
      <c r="J856" s="83"/>
      <c r="K856" s="6"/>
      <c r="L856" s="6"/>
      <c r="M856" s="6"/>
      <c r="N856" s="6"/>
      <c r="O856" s="6"/>
      <c r="P856" s="6"/>
      <c r="Q856" s="6"/>
      <c r="R856" s="6"/>
      <c r="S856" s="6"/>
      <c r="T856" s="6"/>
      <c r="U856" s="6"/>
    </row>
    <row r="857" spans="1:21">
      <c r="A857" s="82"/>
      <c r="B857" s="83"/>
      <c r="C857" s="82"/>
      <c r="D857" s="82"/>
      <c r="E857" s="82"/>
      <c r="F857" s="82"/>
      <c r="G857" s="82"/>
      <c r="H857" s="83"/>
      <c r="I857" s="83"/>
      <c r="J857" s="83"/>
      <c r="K857" s="6"/>
      <c r="L857" s="6"/>
      <c r="M857" s="6"/>
      <c r="N857" s="6"/>
      <c r="O857" s="6"/>
      <c r="P857" s="6"/>
      <c r="Q857" s="6"/>
      <c r="R857" s="6"/>
      <c r="S857" s="6"/>
      <c r="T857" s="6"/>
      <c r="U857" s="6"/>
    </row>
    <row r="858" spans="1:21">
      <c r="A858" s="82"/>
      <c r="B858" s="83"/>
      <c r="C858" s="82"/>
      <c r="D858" s="82"/>
      <c r="E858" s="82"/>
      <c r="F858" s="82"/>
      <c r="G858" s="82"/>
      <c r="H858" s="83"/>
      <c r="I858" s="83"/>
      <c r="J858" s="83"/>
      <c r="K858" s="6"/>
      <c r="L858" s="6"/>
      <c r="M858" s="6"/>
      <c r="N858" s="6"/>
      <c r="O858" s="6"/>
      <c r="P858" s="6"/>
      <c r="Q858" s="6"/>
      <c r="R858" s="6"/>
      <c r="S858" s="6"/>
      <c r="T858" s="6"/>
      <c r="U858" s="6"/>
    </row>
    <row r="859" spans="1:21">
      <c r="A859" s="82"/>
      <c r="B859" s="83"/>
      <c r="C859" s="82"/>
      <c r="D859" s="82"/>
      <c r="E859" s="82"/>
      <c r="F859" s="82"/>
      <c r="G859" s="82"/>
      <c r="H859" s="83"/>
      <c r="I859" s="83"/>
      <c r="J859" s="83"/>
      <c r="K859" s="6"/>
      <c r="L859" s="6"/>
      <c r="M859" s="6"/>
      <c r="N859" s="6"/>
      <c r="O859" s="6"/>
      <c r="P859" s="6"/>
      <c r="Q859" s="6"/>
      <c r="R859" s="6"/>
      <c r="S859" s="6"/>
      <c r="T859" s="6"/>
      <c r="U859" s="6"/>
    </row>
    <row r="860" spans="1:21">
      <c r="A860" s="82"/>
      <c r="B860" s="83"/>
      <c r="C860" s="82"/>
      <c r="D860" s="82"/>
      <c r="E860" s="82"/>
      <c r="F860" s="82"/>
      <c r="G860" s="82"/>
      <c r="H860" s="83"/>
      <c r="I860" s="83"/>
      <c r="J860" s="83"/>
      <c r="K860" s="6"/>
      <c r="L860" s="6"/>
      <c r="M860" s="6"/>
      <c r="N860" s="6"/>
      <c r="O860" s="6"/>
      <c r="P860" s="6"/>
      <c r="Q860" s="6"/>
      <c r="R860" s="6"/>
      <c r="S860" s="6"/>
      <c r="T860" s="6"/>
      <c r="U860" s="6"/>
    </row>
    <row r="861" spans="1:21">
      <c r="A861" s="82"/>
      <c r="B861" s="83"/>
      <c r="C861" s="82"/>
      <c r="D861" s="82"/>
      <c r="E861" s="82"/>
      <c r="F861" s="82"/>
      <c r="G861" s="82"/>
      <c r="H861" s="83"/>
      <c r="I861" s="83"/>
      <c r="J861" s="83"/>
      <c r="K861" s="6"/>
      <c r="L861" s="6"/>
      <c r="M861" s="6"/>
      <c r="N861" s="6"/>
      <c r="O861" s="6"/>
      <c r="P861" s="6"/>
      <c r="Q861" s="6"/>
      <c r="R861" s="6"/>
      <c r="S861" s="6"/>
      <c r="T861" s="6"/>
      <c r="U861" s="6"/>
    </row>
    <row r="862" spans="1:21">
      <c r="A862" s="82"/>
      <c r="B862" s="83"/>
      <c r="C862" s="82"/>
      <c r="D862" s="82"/>
      <c r="E862" s="82"/>
      <c r="F862" s="82"/>
      <c r="G862" s="82"/>
      <c r="H862" s="83"/>
      <c r="I862" s="83"/>
      <c r="J862" s="83"/>
      <c r="K862" s="6"/>
      <c r="L862" s="6"/>
      <c r="M862" s="6"/>
      <c r="N862" s="6"/>
      <c r="O862" s="6"/>
      <c r="P862" s="6"/>
      <c r="Q862" s="6"/>
      <c r="R862" s="6"/>
      <c r="S862" s="6"/>
      <c r="T862" s="6"/>
      <c r="U862" s="6"/>
    </row>
    <row r="863" spans="1:21">
      <c r="A863" s="82"/>
      <c r="B863" s="83"/>
      <c r="C863" s="82"/>
      <c r="D863" s="82"/>
      <c r="E863" s="82"/>
      <c r="F863" s="82"/>
      <c r="G863" s="82"/>
      <c r="H863" s="83"/>
      <c r="I863" s="83"/>
      <c r="J863" s="83"/>
      <c r="K863" s="6"/>
      <c r="L863" s="6"/>
      <c r="M863" s="6"/>
      <c r="N863" s="6"/>
      <c r="O863" s="6"/>
      <c r="P863" s="6"/>
      <c r="Q863" s="6"/>
      <c r="R863" s="6"/>
      <c r="S863" s="6"/>
      <c r="T863" s="6"/>
      <c r="U863" s="6"/>
    </row>
    <row r="864" spans="1:21">
      <c r="A864" s="82"/>
      <c r="B864" s="83"/>
      <c r="C864" s="82"/>
      <c r="D864" s="82"/>
      <c r="E864" s="82"/>
      <c r="F864" s="82"/>
      <c r="G864" s="82"/>
      <c r="H864" s="83"/>
      <c r="I864" s="83"/>
      <c r="J864" s="83"/>
      <c r="K864" s="6"/>
      <c r="L864" s="6"/>
      <c r="M864" s="6"/>
      <c r="N864" s="6"/>
      <c r="O864" s="6"/>
      <c r="P864" s="6"/>
      <c r="Q864" s="6"/>
      <c r="R864" s="6"/>
      <c r="S864" s="6"/>
      <c r="T864" s="6"/>
      <c r="U864" s="6"/>
    </row>
    <row r="865" spans="1:21">
      <c r="A865" s="82"/>
      <c r="B865" s="83"/>
      <c r="C865" s="82"/>
      <c r="D865" s="82"/>
      <c r="E865" s="82"/>
      <c r="F865" s="82"/>
      <c r="G865" s="82"/>
      <c r="H865" s="83"/>
      <c r="I865" s="83"/>
      <c r="J865" s="83"/>
      <c r="K865" s="6"/>
      <c r="L865" s="6"/>
      <c r="M865" s="6"/>
      <c r="N865" s="6"/>
      <c r="O865" s="6"/>
      <c r="P865" s="6"/>
      <c r="Q865" s="6"/>
      <c r="R865" s="6"/>
      <c r="S865" s="6"/>
      <c r="T865" s="6"/>
      <c r="U865" s="6"/>
    </row>
    <row r="866" spans="1:21">
      <c r="A866" s="82"/>
      <c r="B866" s="83"/>
      <c r="C866" s="82"/>
      <c r="D866" s="82"/>
      <c r="E866" s="82"/>
      <c r="F866" s="82"/>
      <c r="G866" s="82"/>
      <c r="H866" s="83"/>
      <c r="I866" s="83"/>
      <c r="J866" s="83"/>
      <c r="K866" s="6"/>
      <c r="L866" s="6"/>
      <c r="M866" s="6"/>
      <c r="N866" s="6"/>
      <c r="O866" s="6"/>
      <c r="P866" s="6"/>
      <c r="Q866" s="6"/>
      <c r="R866" s="6"/>
      <c r="S866" s="6"/>
      <c r="T866" s="6"/>
      <c r="U866" s="6"/>
    </row>
    <row r="867" spans="1:21">
      <c r="A867" s="82"/>
      <c r="B867" s="83"/>
      <c r="C867" s="82"/>
      <c r="D867" s="82"/>
      <c r="E867" s="82"/>
      <c r="F867" s="82"/>
      <c r="G867" s="82"/>
      <c r="H867" s="83"/>
      <c r="I867" s="83"/>
      <c r="J867" s="83"/>
      <c r="K867" s="6"/>
      <c r="L867" s="6"/>
      <c r="M867" s="6"/>
      <c r="N867" s="6"/>
      <c r="O867" s="6"/>
      <c r="P867" s="6"/>
      <c r="Q867" s="6"/>
      <c r="R867" s="6"/>
      <c r="S867" s="6"/>
      <c r="T867" s="6"/>
      <c r="U867" s="6"/>
    </row>
    <row r="868" spans="1:21">
      <c r="A868" s="82"/>
      <c r="B868" s="83"/>
      <c r="C868" s="82"/>
      <c r="D868" s="82"/>
      <c r="E868" s="82"/>
      <c r="F868" s="82"/>
      <c r="G868" s="82"/>
      <c r="H868" s="83"/>
      <c r="I868" s="83"/>
      <c r="J868" s="83"/>
      <c r="K868" s="6"/>
      <c r="L868" s="6"/>
      <c r="M868" s="6"/>
      <c r="N868" s="6"/>
      <c r="O868" s="6"/>
      <c r="P868" s="6"/>
      <c r="Q868" s="6"/>
      <c r="R868" s="6"/>
      <c r="S868" s="6"/>
      <c r="T868" s="6"/>
      <c r="U868" s="6"/>
    </row>
    <row r="869" spans="1:21">
      <c r="A869" s="82"/>
      <c r="B869" s="83"/>
      <c r="C869" s="82"/>
      <c r="D869" s="82"/>
      <c r="E869" s="82"/>
      <c r="F869" s="82"/>
      <c r="G869" s="82"/>
      <c r="H869" s="83"/>
      <c r="I869" s="83"/>
      <c r="J869" s="83"/>
      <c r="K869" s="6"/>
      <c r="L869" s="6"/>
      <c r="M869" s="6"/>
      <c r="N869" s="6"/>
      <c r="O869" s="6"/>
      <c r="P869" s="6"/>
      <c r="Q869" s="6"/>
      <c r="R869" s="6"/>
      <c r="S869" s="6"/>
      <c r="T869" s="6"/>
      <c r="U869" s="6"/>
    </row>
    <row r="870" spans="1:21">
      <c r="A870" s="82"/>
      <c r="B870" s="83"/>
      <c r="C870" s="82"/>
      <c r="D870" s="82"/>
      <c r="E870" s="82"/>
      <c r="F870" s="82"/>
      <c r="G870" s="82"/>
      <c r="H870" s="83"/>
      <c r="I870" s="83"/>
      <c r="J870" s="83"/>
      <c r="K870" s="6"/>
      <c r="L870" s="6"/>
      <c r="M870" s="6"/>
      <c r="N870" s="6"/>
      <c r="O870" s="6"/>
      <c r="P870" s="6"/>
      <c r="Q870" s="6"/>
      <c r="R870" s="6"/>
      <c r="S870" s="6"/>
      <c r="T870" s="6"/>
      <c r="U870" s="6"/>
    </row>
    <row r="871" spans="1:21">
      <c r="A871" s="82"/>
      <c r="B871" s="83"/>
      <c r="C871" s="82"/>
      <c r="D871" s="82"/>
      <c r="E871" s="82"/>
      <c r="F871" s="82"/>
      <c r="G871" s="82"/>
      <c r="H871" s="83"/>
      <c r="I871" s="83"/>
      <c r="J871" s="83"/>
      <c r="K871" s="6"/>
      <c r="L871" s="6"/>
      <c r="M871" s="6"/>
      <c r="N871" s="6"/>
      <c r="O871" s="6"/>
      <c r="P871" s="6"/>
      <c r="Q871" s="6"/>
      <c r="R871" s="6"/>
      <c r="S871" s="6"/>
      <c r="T871" s="6"/>
      <c r="U871" s="6"/>
    </row>
    <row r="872" spans="1:21">
      <c r="A872" s="82"/>
      <c r="B872" s="83"/>
      <c r="C872" s="82"/>
      <c r="D872" s="82"/>
      <c r="E872" s="82"/>
      <c r="F872" s="82"/>
      <c r="G872" s="82"/>
      <c r="H872" s="83"/>
      <c r="I872" s="83"/>
      <c r="J872" s="83"/>
      <c r="K872" s="6"/>
      <c r="L872" s="6"/>
      <c r="M872" s="6"/>
      <c r="N872" s="6"/>
      <c r="O872" s="6"/>
      <c r="P872" s="6"/>
      <c r="Q872" s="6"/>
      <c r="R872" s="6"/>
      <c r="S872" s="6"/>
      <c r="T872" s="6"/>
      <c r="U872" s="6"/>
    </row>
    <row r="873" spans="1:21">
      <c r="A873" s="82"/>
      <c r="B873" s="83"/>
      <c r="C873" s="82"/>
      <c r="D873" s="82"/>
      <c r="E873" s="82"/>
      <c r="F873" s="82"/>
      <c r="G873" s="82"/>
      <c r="H873" s="83"/>
      <c r="I873" s="83"/>
      <c r="J873" s="83"/>
      <c r="K873" s="6"/>
      <c r="L873" s="6"/>
      <c r="M873" s="6"/>
      <c r="N873" s="6"/>
      <c r="O873" s="6"/>
      <c r="P873" s="6"/>
      <c r="Q873" s="6"/>
      <c r="R873" s="6"/>
      <c r="S873" s="6"/>
      <c r="T873" s="6"/>
      <c r="U873" s="6"/>
    </row>
    <row r="874" spans="1:21">
      <c r="A874" s="82"/>
      <c r="B874" s="83"/>
      <c r="C874" s="82"/>
      <c r="D874" s="82"/>
      <c r="E874" s="82"/>
      <c r="F874" s="82"/>
      <c r="G874" s="82"/>
      <c r="H874" s="83"/>
      <c r="I874" s="83"/>
      <c r="J874" s="83"/>
      <c r="K874" s="6"/>
      <c r="L874" s="6"/>
      <c r="M874" s="6"/>
      <c r="N874" s="6"/>
      <c r="O874" s="6"/>
      <c r="P874" s="6"/>
      <c r="Q874" s="6"/>
      <c r="R874" s="6"/>
      <c r="S874" s="6"/>
      <c r="T874" s="6"/>
      <c r="U874" s="6"/>
    </row>
    <row r="875" spans="1:21">
      <c r="A875" s="82"/>
      <c r="B875" s="83"/>
      <c r="C875" s="82"/>
      <c r="D875" s="82"/>
      <c r="E875" s="82"/>
      <c r="F875" s="82"/>
      <c r="G875" s="82"/>
      <c r="H875" s="83"/>
      <c r="I875" s="83"/>
      <c r="J875" s="83"/>
      <c r="K875" s="6"/>
      <c r="L875" s="6"/>
      <c r="M875" s="6"/>
      <c r="N875" s="6"/>
      <c r="O875" s="6"/>
      <c r="P875" s="6"/>
      <c r="Q875" s="6"/>
      <c r="R875" s="6"/>
      <c r="S875" s="6"/>
      <c r="T875" s="6"/>
      <c r="U875" s="6"/>
    </row>
    <row r="876" spans="1:21">
      <c r="A876" s="82"/>
      <c r="B876" s="83"/>
      <c r="C876" s="82"/>
      <c r="D876" s="82"/>
      <c r="E876" s="82"/>
      <c r="F876" s="82"/>
      <c r="G876" s="82"/>
      <c r="H876" s="83"/>
      <c r="I876" s="83"/>
      <c r="J876" s="83"/>
      <c r="K876" s="6"/>
      <c r="L876" s="6"/>
      <c r="M876" s="6"/>
      <c r="N876" s="6"/>
      <c r="O876" s="6"/>
      <c r="P876" s="6"/>
      <c r="Q876" s="6"/>
      <c r="R876" s="6"/>
      <c r="S876" s="6"/>
      <c r="T876" s="6"/>
      <c r="U876" s="6"/>
    </row>
    <row r="877" spans="1:21">
      <c r="A877" s="82"/>
      <c r="B877" s="83"/>
      <c r="C877" s="82"/>
      <c r="D877" s="82"/>
      <c r="E877" s="82"/>
      <c r="F877" s="82"/>
      <c r="G877" s="82"/>
      <c r="H877" s="83"/>
      <c r="I877" s="83"/>
      <c r="J877" s="83"/>
      <c r="K877" s="6"/>
      <c r="L877" s="6"/>
      <c r="M877" s="6"/>
      <c r="N877" s="6"/>
      <c r="O877" s="6"/>
      <c r="P877" s="6"/>
      <c r="Q877" s="6"/>
      <c r="R877" s="6"/>
      <c r="S877" s="6"/>
      <c r="T877" s="6"/>
      <c r="U877" s="6"/>
    </row>
    <row r="878" spans="1:21">
      <c r="A878" s="82"/>
      <c r="B878" s="83"/>
      <c r="C878" s="82"/>
      <c r="D878" s="82"/>
      <c r="E878" s="82"/>
      <c r="F878" s="82"/>
      <c r="G878" s="82"/>
      <c r="H878" s="83"/>
      <c r="I878" s="83"/>
      <c r="J878" s="83"/>
      <c r="K878" s="6"/>
      <c r="L878" s="6"/>
      <c r="M878" s="6"/>
      <c r="N878" s="6"/>
      <c r="O878" s="6"/>
      <c r="P878" s="6"/>
      <c r="Q878" s="6"/>
      <c r="R878" s="6"/>
      <c r="S878" s="6"/>
      <c r="T878" s="6"/>
      <c r="U878" s="6"/>
    </row>
    <row r="879" spans="1:21">
      <c r="A879" s="82"/>
      <c r="B879" s="83"/>
      <c r="C879" s="82"/>
      <c r="D879" s="82"/>
      <c r="E879" s="82"/>
      <c r="F879" s="82"/>
      <c r="G879" s="82"/>
      <c r="H879" s="83"/>
      <c r="I879" s="83"/>
      <c r="J879" s="83"/>
      <c r="K879" s="6"/>
      <c r="L879" s="6"/>
      <c r="M879" s="6"/>
      <c r="N879" s="6"/>
      <c r="O879" s="6"/>
      <c r="P879" s="6"/>
      <c r="Q879" s="6"/>
      <c r="R879" s="6"/>
      <c r="S879" s="6"/>
      <c r="T879" s="6"/>
      <c r="U879" s="6"/>
    </row>
    <row r="880" spans="1:21">
      <c r="A880" s="82"/>
      <c r="B880" s="83"/>
      <c r="C880" s="82"/>
      <c r="D880" s="82"/>
      <c r="E880" s="82"/>
      <c r="F880" s="82"/>
      <c r="G880" s="82"/>
      <c r="H880" s="83"/>
      <c r="I880" s="83"/>
      <c r="J880" s="83"/>
      <c r="K880" s="6"/>
      <c r="L880" s="6"/>
      <c r="M880" s="6"/>
      <c r="N880" s="6"/>
      <c r="O880" s="6"/>
      <c r="P880" s="6"/>
      <c r="Q880" s="6"/>
      <c r="R880" s="6"/>
      <c r="S880" s="6"/>
      <c r="T880" s="6"/>
      <c r="U880" s="6"/>
    </row>
    <row r="881" spans="1:21">
      <c r="A881" s="82"/>
      <c r="B881" s="83"/>
      <c r="C881" s="82"/>
      <c r="D881" s="82"/>
      <c r="E881" s="82"/>
      <c r="F881" s="82"/>
      <c r="G881" s="82"/>
      <c r="H881" s="83"/>
      <c r="I881" s="83"/>
      <c r="J881" s="83"/>
      <c r="K881" s="6"/>
      <c r="L881" s="6"/>
      <c r="M881" s="6"/>
      <c r="N881" s="6"/>
      <c r="O881" s="6"/>
      <c r="P881" s="6"/>
      <c r="Q881" s="6"/>
      <c r="R881" s="6"/>
      <c r="S881" s="6"/>
      <c r="T881" s="6"/>
      <c r="U881" s="6"/>
    </row>
    <row r="882" spans="1:21">
      <c r="A882" s="82"/>
      <c r="B882" s="83"/>
      <c r="C882" s="82"/>
      <c r="D882" s="82"/>
      <c r="E882" s="82"/>
      <c r="F882" s="82"/>
      <c r="G882" s="82"/>
      <c r="H882" s="83"/>
      <c r="I882" s="83"/>
      <c r="J882" s="83"/>
      <c r="K882" s="6"/>
      <c r="L882" s="6"/>
      <c r="M882" s="6"/>
      <c r="N882" s="6"/>
      <c r="O882" s="6"/>
      <c r="P882" s="6"/>
      <c r="Q882" s="6"/>
      <c r="R882" s="6"/>
      <c r="S882" s="6"/>
      <c r="T882" s="6"/>
      <c r="U882" s="6"/>
    </row>
    <row r="883" spans="1:21">
      <c r="A883" s="82"/>
      <c r="B883" s="83"/>
      <c r="C883" s="82"/>
      <c r="D883" s="82"/>
      <c r="E883" s="82"/>
      <c r="F883" s="82"/>
      <c r="G883" s="82"/>
      <c r="H883" s="83"/>
      <c r="I883" s="83"/>
      <c r="J883" s="83"/>
      <c r="K883" s="6"/>
      <c r="L883" s="6"/>
      <c r="M883" s="6"/>
      <c r="N883" s="6"/>
      <c r="O883" s="6"/>
      <c r="P883" s="6"/>
      <c r="Q883" s="6"/>
      <c r="R883" s="6"/>
      <c r="S883" s="6"/>
      <c r="T883" s="6"/>
      <c r="U883" s="6"/>
    </row>
    <row r="884" spans="1:21">
      <c r="A884" s="82"/>
      <c r="B884" s="83"/>
      <c r="C884" s="82"/>
      <c r="D884" s="82"/>
      <c r="E884" s="82"/>
      <c r="F884" s="82"/>
      <c r="G884" s="82"/>
      <c r="H884" s="83"/>
      <c r="I884" s="83"/>
      <c r="J884" s="83"/>
      <c r="K884" s="6"/>
      <c r="L884" s="6"/>
      <c r="M884" s="6"/>
      <c r="N884" s="6"/>
      <c r="O884" s="6"/>
      <c r="P884" s="6"/>
      <c r="Q884" s="6"/>
      <c r="R884" s="6"/>
      <c r="S884" s="6"/>
      <c r="T884" s="6"/>
      <c r="U884" s="6"/>
    </row>
    <row r="885" spans="1:21">
      <c r="A885" s="82"/>
      <c r="B885" s="83"/>
      <c r="C885" s="82"/>
      <c r="D885" s="82"/>
      <c r="E885" s="82"/>
      <c r="F885" s="82"/>
      <c r="G885" s="82"/>
      <c r="H885" s="83"/>
      <c r="I885" s="83"/>
      <c r="J885" s="83"/>
      <c r="K885" s="6"/>
      <c r="L885" s="6"/>
      <c r="M885" s="6"/>
      <c r="N885" s="6"/>
      <c r="O885" s="6"/>
      <c r="P885" s="6"/>
      <c r="Q885" s="6"/>
      <c r="R885" s="6"/>
      <c r="S885" s="6"/>
      <c r="T885" s="6"/>
      <c r="U885" s="6"/>
    </row>
    <row r="886" spans="1:21">
      <c r="A886" s="82"/>
      <c r="B886" s="83"/>
      <c r="C886" s="82"/>
      <c r="D886" s="82"/>
      <c r="E886" s="82"/>
      <c r="F886" s="82"/>
      <c r="G886" s="82"/>
      <c r="H886" s="83"/>
      <c r="I886" s="83"/>
      <c r="J886" s="83"/>
      <c r="K886" s="6"/>
      <c r="L886" s="6"/>
      <c r="M886" s="6"/>
      <c r="N886" s="6"/>
      <c r="O886" s="6"/>
      <c r="P886" s="6"/>
      <c r="Q886" s="6"/>
      <c r="R886" s="6"/>
      <c r="S886" s="6"/>
      <c r="T886" s="6"/>
      <c r="U886" s="6"/>
    </row>
    <row r="887" spans="1:21">
      <c r="A887" s="82"/>
      <c r="B887" s="83"/>
      <c r="C887" s="82"/>
      <c r="D887" s="82"/>
      <c r="E887" s="82"/>
      <c r="F887" s="82"/>
      <c r="G887" s="82"/>
      <c r="H887" s="83"/>
      <c r="I887" s="83"/>
      <c r="J887" s="83"/>
      <c r="K887" s="6"/>
      <c r="L887" s="6"/>
      <c r="M887" s="6"/>
      <c r="N887" s="6"/>
      <c r="O887" s="6"/>
      <c r="P887" s="6"/>
      <c r="Q887" s="6"/>
      <c r="R887" s="6"/>
      <c r="S887" s="6"/>
      <c r="T887" s="6"/>
      <c r="U887" s="6"/>
    </row>
    <row r="888" spans="1:21">
      <c r="A888" s="82"/>
      <c r="B888" s="83"/>
      <c r="C888" s="82"/>
      <c r="D888" s="82"/>
      <c r="E888" s="82"/>
      <c r="F888" s="82"/>
      <c r="G888" s="82"/>
      <c r="H888" s="83"/>
      <c r="I888" s="83"/>
      <c r="J888" s="83"/>
      <c r="K888" s="6"/>
      <c r="L888" s="6"/>
      <c r="M888" s="6"/>
      <c r="N888" s="6"/>
      <c r="O888" s="6"/>
      <c r="P888" s="6"/>
      <c r="Q888" s="6"/>
      <c r="R888" s="6"/>
      <c r="S888" s="6"/>
      <c r="T888" s="6"/>
      <c r="U888" s="6"/>
    </row>
    <row r="889" spans="1:21">
      <c r="A889" s="82"/>
      <c r="B889" s="83"/>
      <c r="C889" s="82"/>
      <c r="D889" s="82"/>
      <c r="E889" s="82"/>
      <c r="F889" s="82"/>
      <c r="G889" s="82"/>
      <c r="H889" s="83"/>
      <c r="I889" s="83"/>
      <c r="J889" s="83"/>
      <c r="K889" s="6"/>
      <c r="L889" s="6"/>
      <c r="M889" s="6"/>
      <c r="N889" s="6"/>
      <c r="O889" s="6"/>
      <c r="P889" s="6"/>
      <c r="Q889" s="6"/>
      <c r="R889" s="6"/>
      <c r="S889" s="6"/>
      <c r="T889" s="6"/>
      <c r="U889" s="6"/>
    </row>
    <row r="890" spans="1:21">
      <c r="A890" s="82"/>
      <c r="B890" s="83"/>
      <c r="C890" s="82"/>
      <c r="D890" s="82"/>
      <c r="E890" s="82"/>
      <c r="F890" s="82"/>
      <c r="G890" s="82"/>
      <c r="H890" s="83"/>
      <c r="I890" s="83"/>
      <c r="J890" s="83"/>
      <c r="K890" s="6"/>
      <c r="L890" s="6"/>
      <c r="M890" s="6"/>
      <c r="N890" s="6"/>
      <c r="O890" s="6"/>
      <c r="P890" s="6"/>
      <c r="Q890" s="6"/>
      <c r="R890" s="6"/>
      <c r="S890" s="6"/>
      <c r="T890" s="6"/>
      <c r="U890" s="6"/>
    </row>
    <row r="891" spans="1:21">
      <c r="A891" s="82"/>
      <c r="B891" s="83"/>
      <c r="C891" s="82"/>
      <c r="D891" s="82"/>
      <c r="E891" s="82"/>
      <c r="F891" s="82"/>
      <c r="G891" s="82"/>
      <c r="H891" s="83"/>
      <c r="I891" s="83"/>
      <c r="J891" s="83"/>
      <c r="K891" s="6"/>
      <c r="L891" s="6"/>
      <c r="M891" s="6"/>
      <c r="N891" s="6"/>
      <c r="O891" s="6"/>
      <c r="P891" s="6"/>
      <c r="Q891" s="6"/>
      <c r="R891" s="6"/>
      <c r="S891" s="6"/>
      <c r="T891" s="6"/>
      <c r="U891" s="6"/>
    </row>
    <row r="892" spans="1:21">
      <c r="A892" s="82"/>
      <c r="B892" s="83"/>
      <c r="C892" s="82"/>
      <c r="D892" s="82"/>
      <c r="E892" s="82"/>
      <c r="F892" s="82"/>
      <c r="G892" s="82"/>
      <c r="H892" s="83"/>
      <c r="I892" s="83"/>
      <c r="J892" s="83"/>
      <c r="K892" s="6"/>
      <c r="L892" s="6"/>
      <c r="M892" s="6"/>
      <c r="N892" s="6"/>
      <c r="O892" s="6"/>
      <c r="P892" s="6"/>
      <c r="Q892" s="6"/>
      <c r="R892" s="6"/>
      <c r="S892" s="6"/>
      <c r="T892" s="6"/>
      <c r="U892" s="6"/>
    </row>
    <row r="893" spans="1:21">
      <c r="A893" s="82"/>
      <c r="B893" s="83"/>
      <c r="C893" s="82"/>
      <c r="D893" s="82"/>
      <c r="E893" s="82"/>
      <c r="F893" s="82"/>
      <c r="G893" s="82"/>
      <c r="H893" s="83"/>
      <c r="I893" s="83"/>
      <c r="J893" s="83"/>
      <c r="K893" s="6"/>
      <c r="L893" s="6"/>
      <c r="M893" s="6"/>
      <c r="N893" s="6"/>
      <c r="O893" s="6"/>
      <c r="P893" s="6"/>
      <c r="Q893" s="6"/>
      <c r="R893" s="6"/>
      <c r="S893" s="6"/>
      <c r="T893" s="6"/>
      <c r="U893" s="6"/>
    </row>
    <row r="894" spans="1:21">
      <c r="A894" s="82"/>
      <c r="B894" s="83"/>
      <c r="C894" s="82"/>
      <c r="D894" s="82"/>
      <c r="E894" s="82"/>
      <c r="F894" s="82"/>
      <c r="G894" s="82"/>
      <c r="H894" s="83"/>
      <c r="I894" s="83"/>
      <c r="J894" s="83"/>
      <c r="K894" s="6"/>
      <c r="L894" s="6"/>
      <c r="M894" s="6"/>
      <c r="N894" s="6"/>
      <c r="O894" s="6"/>
      <c r="P894" s="6"/>
      <c r="Q894" s="6"/>
      <c r="R894" s="6"/>
      <c r="S894" s="6"/>
      <c r="T894" s="6"/>
      <c r="U894" s="6"/>
    </row>
    <row r="895" spans="1:21">
      <c r="A895" s="82"/>
      <c r="B895" s="83"/>
      <c r="C895" s="82"/>
      <c r="D895" s="82"/>
      <c r="E895" s="82"/>
      <c r="F895" s="82"/>
      <c r="G895" s="82"/>
      <c r="H895" s="83"/>
      <c r="I895" s="83"/>
      <c r="J895" s="83"/>
      <c r="K895" s="6"/>
      <c r="L895" s="6"/>
      <c r="M895" s="6"/>
      <c r="N895" s="6"/>
      <c r="O895" s="6"/>
      <c r="P895" s="6"/>
      <c r="Q895" s="6"/>
      <c r="R895" s="6"/>
      <c r="S895" s="6"/>
      <c r="T895" s="6"/>
      <c r="U895" s="6"/>
    </row>
    <row r="896" spans="1:21">
      <c r="A896" s="82"/>
      <c r="B896" s="83"/>
      <c r="C896" s="82"/>
      <c r="D896" s="82"/>
      <c r="E896" s="82"/>
      <c r="F896" s="82"/>
      <c r="G896" s="82"/>
      <c r="H896" s="83"/>
      <c r="I896" s="83"/>
      <c r="J896" s="83"/>
      <c r="K896" s="6"/>
      <c r="L896" s="6"/>
      <c r="M896" s="6"/>
      <c r="N896" s="6"/>
      <c r="O896" s="6"/>
      <c r="P896" s="6"/>
      <c r="Q896" s="6"/>
      <c r="R896" s="6"/>
      <c r="S896" s="6"/>
      <c r="T896" s="6"/>
      <c r="U896" s="6"/>
    </row>
    <row r="897" spans="1:21">
      <c r="A897" s="82"/>
      <c r="B897" s="83"/>
      <c r="C897" s="82"/>
      <c r="D897" s="82"/>
      <c r="E897" s="82"/>
      <c r="F897" s="82"/>
      <c r="G897" s="82"/>
      <c r="H897" s="83"/>
      <c r="I897" s="83"/>
      <c r="J897" s="83"/>
      <c r="K897" s="6"/>
      <c r="L897" s="6"/>
      <c r="M897" s="6"/>
      <c r="N897" s="6"/>
      <c r="O897" s="6"/>
      <c r="P897" s="6"/>
      <c r="Q897" s="6"/>
      <c r="R897" s="6"/>
      <c r="S897" s="6"/>
      <c r="T897" s="6"/>
      <c r="U897" s="6"/>
    </row>
    <row r="898" spans="1:21">
      <c r="A898" s="82"/>
      <c r="B898" s="83"/>
      <c r="C898" s="82"/>
      <c r="D898" s="82"/>
      <c r="E898" s="82"/>
      <c r="F898" s="82"/>
      <c r="G898" s="82"/>
      <c r="H898" s="83"/>
      <c r="I898" s="83"/>
      <c r="J898" s="83"/>
      <c r="K898" s="6"/>
      <c r="L898" s="6"/>
      <c r="M898" s="6"/>
      <c r="N898" s="6"/>
      <c r="O898" s="6"/>
      <c r="P898" s="6"/>
      <c r="Q898" s="6"/>
      <c r="R898" s="6"/>
      <c r="S898" s="6"/>
      <c r="T898" s="6"/>
      <c r="U898" s="6"/>
    </row>
    <row r="899" spans="1:21">
      <c r="A899" s="82"/>
      <c r="B899" s="83"/>
      <c r="C899" s="82"/>
      <c r="D899" s="82"/>
      <c r="E899" s="82"/>
      <c r="F899" s="82"/>
      <c r="G899" s="82"/>
      <c r="H899" s="83"/>
      <c r="I899" s="83"/>
      <c r="J899" s="83"/>
      <c r="K899" s="6"/>
      <c r="L899" s="6"/>
      <c r="M899" s="6"/>
      <c r="N899" s="6"/>
      <c r="O899" s="6"/>
      <c r="P899" s="6"/>
      <c r="Q899" s="6"/>
      <c r="R899" s="6"/>
      <c r="S899" s="6"/>
      <c r="T899" s="6"/>
      <c r="U899" s="6"/>
    </row>
    <row r="900" spans="1:21">
      <c r="A900" s="82"/>
      <c r="B900" s="83"/>
      <c r="C900" s="82"/>
      <c r="D900" s="82"/>
      <c r="E900" s="82"/>
      <c r="F900" s="82"/>
      <c r="G900" s="82"/>
      <c r="H900" s="83"/>
      <c r="I900" s="83"/>
      <c r="J900" s="83"/>
      <c r="K900" s="6"/>
      <c r="L900" s="6"/>
      <c r="M900" s="6"/>
      <c r="N900" s="6"/>
      <c r="O900" s="6"/>
      <c r="P900" s="6"/>
      <c r="Q900" s="6"/>
      <c r="R900" s="6"/>
      <c r="S900" s="6"/>
      <c r="T900" s="6"/>
      <c r="U900" s="6"/>
    </row>
    <row r="901" spans="1:21">
      <c r="A901" s="82"/>
      <c r="B901" s="83"/>
      <c r="C901" s="82"/>
      <c r="D901" s="82"/>
      <c r="E901" s="82"/>
      <c r="F901" s="82"/>
      <c r="G901" s="82"/>
      <c r="H901" s="83"/>
      <c r="I901" s="83"/>
      <c r="J901" s="83"/>
      <c r="K901" s="6"/>
      <c r="L901" s="6"/>
      <c r="M901" s="6"/>
      <c r="N901" s="6"/>
      <c r="O901" s="6"/>
      <c r="P901" s="6"/>
      <c r="Q901" s="6"/>
      <c r="R901" s="6"/>
      <c r="S901" s="6"/>
      <c r="T901" s="6"/>
      <c r="U901" s="6"/>
    </row>
    <row r="902" spans="1:21">
      <c r="A902" s="82"/>
      <c r="B902" s="83"/>
      <c r="C902" s="82"/>
      <c r="D902" s="82"/>
      <c r="E902" s="82"/>
      <c r="F902" s="82"/>
      <c r="G902" s="82"/>
      <c r="H902" s="83"/>
      <c r="I902" s="83"/>
      <c r="J902" s="83"/>
      <c r="K902" s="6"/>
      <c r="L902" s="6"/>
      <c r="M902" s="6"/>
      <c r="N902" s="6"/>
      <c r="O902" s="6"/>
      <c r="P902" s="6"/>
      <c r="Q902" s="6"/>
      <c r="R902" s="6"/>
      <c r="S902" s="6"/>
      <c r="T902" s="6"/>
      <c r="U902" s="6"/>
    </row>
    <row r="903" spans="1:21">
      <c r="A903" s="82"/>
      <c r="B903" s="83"/>
      <c r="C903" s="82"/>
      <c r="D903" s="82"/>
      <c r="E903" s="82"/>
      <c r="F903" s="82"/>
      <c r="G903" s="82"/>
      <c r="H903" s="83"/>
      <c r="I903" s="83"/>
      <c r="J903" s="83"/>
      <c r="K903" s="6"/>
      <c r="L903" s="6"/>
      <c r="M903" s="6"/>
      <c r="N903" s="6"/>
      <c r="O903" s="6"/>
      <c r="P903" s="6"/>
      <c r="Q903" s="6"/>
      <c r="R903" s="6"/>
      <c r="S903" s="6"/>
      <c r="T903" s="6"/>
      <c r="U903" s="6"/>
    </row>
    <row r="904" spans="1:21">
      <c r="A904" s="82"/>
      <c r="B904" s="83"/>
      <c r="C904" s="82"/>
      <c r="D904" s="82"/>
      <c r="E904" s="82"/>
      <c r="F904" s="82"/>
      <c r="G904" s="82"/>
      <c r="H904" s="83"/>
      <c r="I904" s="83"/>
      <c r="J904" s="83"/>
      <c r="K904" s="6"/>
      <c r="L904" s="6"/>
      <c r="M904" s="6"/>
      <c r="N904" s="6"/>
      <c r="O904" s="6"/>
      <c r="P904" s="6"/>
      <c r="Q904" s="6"/>
      <c r="R904" s="6"/>
      <c r="S904" s="6"/>
      <c r="T904" s="6"/>
      <c r="U904" s="6"/>
    </row>
    <row r="905" spans="1:21">
      <c r="A905" s="82"/>
      <c r="B905" s="83"/>
      <c r="C905" s="82"/>
      <c r="D905" s="82"/>
      <c r="E905" s="82"/>
      <c r="F905" s="82"/>
      <c r="G905" s="82"/>
      <c r="H905" s="83"/>
      <c r="I905" s="83"/>
      <c r="J905" s="83"/>
      <c r="K905" s="6"/>
      <c r="L905" s="6"/>
      <c r="M905" s="6"/>
      <c r="N905" s="6"/>
      <c r="O905" s="6"/>
      <c r="P905" s="6"/>
      <c r="Q905" s="6"/>
      <c r="R905" s="6"/>
      <c r="S905" s="6"/>
      <c r="T905" s="6"/>
      <c r="U905" s="6"/>
    </row>
    <row r="906" spans="1:21">
      <c r="A906" s="82"/>
      <c r="B906" s="83"/>
      <c r="C906" s="82"/>
      <c r="D906" s="82"/>
      <c r="E906" s="82"/>
      <c r="F906" s="82"/>
      <c r="G906" s="82"/>
      <c r="H906" s="83"/>
      <c r="I906" s="83"/>
      <c r="J906" s="83"/>
      <c r="K906" s="6"/>
      <c r="L906" s="6"/>
      <c r="M906" s="6"/>
      <c r="N906" s="6"/>
      <c r="O906" s="6"/>
      <c r="P906" s="6"/>
      <c r="Q906" s="6"/>
      <c r="R906" s="6"/>
      <c r="S906" s="6"/>
      <c r="T906" s="6"/>
      <c r="U906" s="6"/>
    </row>
    <row r="907" spans="1:21">
      <c r="A907" s="82"/>
      <c r="B907" s="83"/>
      <c r="C907" s="82"/>
      <c r="D907" s="82"/>
      <c r="E907" s="82"/>
      <c r="F907" s="82"/>
      <c r="G907" s="82"/>
      <c r="H907" s="83"/>
      <c r="I907" s="83"/>
      <c r="J907" s="83"/>
      <c r="K907" s="6"/>
      <c r="L907" s="6"/>
      <c r="M907" s="6"/>
      <c r="N907" s="6"/>
      <c r="O907" s="6"/>
      <c r="P907" s="6"/>
      <c r="Q907" s="6"/>
      <c r="R907" s="6"/>
      <c r="S907" s="6"/>
      <c r="T907" s="6"/>
      <c r="U907" s="6"/>
    </row>
    <row r="908" spans="1:21">
      <c r="A908" s="82"/>
      <c r="B908" s="83"/>
      <c r="C908" s="82"/>
      <c r="D908" s="82"/>
      <c r="E908" s="82"/>
      <c r="F908" s="82"/>
      <c r="G908" s="82"/>
      <c r="H908" s="83"/>
      <c r="I908" s="83"/>
      <c r="J908" s="83"/>
      <c r="K908" s="6"/>
      <c r="L908" s="6"/>
      <c r="M908" s="6"/>
      <c r="N908" s="6"/>
      <c r="O908" s="6"/>
      <c r="P908" s="6"/>
      <c r="Q908" s="6"/>
      <c r="R908" s="6"/>
      <c r="S908" s="6"/>
      <c r="T908" s="6"/>
      <c r="U908" s="6"/>
    </row>
    <row r="909" spans="1:21">
      <c r="A909" s="82"/>
      <c r="B909" s="83"/>
      <c r="C909" s="82"/>
      <c r="D909" s="82"/>
      <c r="E909" s="82"/>
      <c r="F909" s="82"/>
      <c r="G909" s="82"/>
      <c r="H909" s="83"/>
      <c r="I909" s="83"/>
      <c r="J909" s="83"/>
      <c r="K909" s="6"/>
      <c r="L909" s="6"/>
      <c r="M909" s="6"/>
      <c r="N909" s="6"/>
      <c r="O909" s="6"/>
      <c r="P909" s="6"/>
      <c r="Q909" s="6"/>
      <c r="R909" s="6"/>
      <c r="S909" s="6"/>
      <c r="T909" s="6"/>
      <c r="U909" s="6"/>
    </row>
    <row r="910" spans="1:21">
      <c r="A910" s="82"/>
      <c r="B910" s="83"/>
      <c r="C910" s="82"/>
      <c r="D910" s="82"/>
      <c r="E910" s="82"/>
      <c r="F910" s="82"/>
      <c r="G910" s="82"/>
      <c r="H910" s="83"/>
      <c r="I910" s="83"/>
      <c r="J910" s="83"/>
      <c r="K910" s="6"/>
      <c r="L910" s="6"/>
      <c r="M910" s="6"/>
      <c r="N910" s="6"/>
      <c r="O910" s="6"/>
      <c r="P910" s="6"/>
      <c r="Q910" s="6"/>
      <c r="R910" s="6"/>
      <c r="S910" s="6"/>
      <c r="T910" s="6"/>
      <c r="U910" s="6"/>
    </row>
    <row r="911" spans="1:21">
      <c r="A911" s="82"/>
      <c r="B911" s="83"/>
      <c r="C911" s="82"/>
      <c r="D911" s="82"/>
      <c r="E911" s="82"/>
      <c r="F911" s="82"/>
      <c r="G911" s="82"/>
      <c r="H911" s="83"/>
      <c r="I911" s="83"/>
      <c r="J911" s="83"/>
      <c r="K911" s="6"/>
      <c r="L911" s="6"/>
      <c r="M911" s="6"/>
      <c r="N911" s="6"/>
      <c r="O911" s="6"/>
      <c r="P911" s="6"/>
      <c r="Q911" s="6"/>
      <c r="R911" s="6"/>
      <c r="S911" s="6"/>
      <c r="T911" s="6"/>
      <c r="U911" s="6"/>
    </row>
    <row r="912" spans="1:21">
      <c r="A912" s="82"/>
      <c r="B912" s="83"/>
      <c r="C912" s="82"/>
      <c r="D912" s="82"/>
      <c r="E912" s="82"/>
      <c r="F912" s="82"/>
      <c r="G912" s="82"/>
      <c r="H912" s="83"/>
      <c r="I912" s="83"/>
      <c r="J912" s="83"/>
      <c r="K912" s="6"/>
      <c r="L912" s="6"/>
      <c r="M912" s="6"/>
      <c r="N912" s="6"/>
      <c r="O912" s="6"/>
      <c r="P912" s="6"/>
      <c r="Q912" s="6"/>
      <c r="R912" s="6"/>
      <c r="S912" s="6"/>
      <c r="T912" s="6"/>
      <c r="U912" s="6"/>
    </row>
    <row r="913" spans="1:21">
      <c r="A913" s="82"/>
      <c r="B913" s="83"/>
      <c r="C913" s="82"/>
      <c r="D913" s="82"/>
      <c r="E913" s="82"/>
      <c r="F913" s="82"/>
      <c r="G913" s="82"/>
      <c r="H913" s="83"/>
      <c r="I913" s="83"/>
      <c r="J913" s="83"/>
      <c r="K913" s="6"/>
      <c r="L913" s="6"/>
      <c r="M913" s="6"/>
      <c r="N913" s="6"/>
      <c r="O913" s="6"/>
      <c r="P913" s="6"/>
      <c r="Q913" s="6"/>
      <c r="R913" s="6"/>
      <c r="S913" s="6"/>
      <c r="T913" s="6"/>
      <c r="U913" s="6"/>
    </row>
    <row r="914" spans="1:21">
      <c r="A914" s="82"/>
      <c r="B914" s="83"/>
      <c r="C914" s="82"/>
      <c r="D914" s="82"/>
      <c r="E914" s="82"/>
      <c r="F914" s="82"/>
      <c r="G914" s="82"/>
      <c r="H914" s="83"/>
      <c r="I914" s="83"/>
      <c r="J914" s="83"/>
      <c r="K914" s="6"/>
      <c r="L914" s="6"/>
      <c r="M914" s="6"/>
      <c r="N914" s="6"/>
      <c r="O914" s="6"/>
      <c r="P914" s="6"/>
      <c r="Q914" s="6"/>
      <c r="R914" s="6"/>
      <c r="S914" s="6"/>
      <c r="T914" s="6"/>
      <c r="U914" s="6"/>
    </row>
    <row r="915" spans="1:21">
      <c r="A915" s="82"/>
      <c r="B915" s="83"/>
      <c r="C915" s="82"/>
      <c r="D915" s="82"/>
      <c r="E915" s="82"/>
      <c r="F915" s="82"/>
      <c r="G915" s="82"/>
      <c r="H915" s="83"/>
      <c r="I915" s="83"/>
      <c r="J915" s="83"/>
      <c r="K915" s="6"/>
      <c r="L915" s="6"/>
      <c r="M915" s="6"/>
      <c r="N915" s="6"/>
      <c r="O915" s="6"/>
      <c r="P915" s="6"/>
      <c r="Q915" s="6"/>
      <c r="R915" s="6"/>
      <c r="S915" s="6"/>
      <c r="T915" s="6"/>
      <c r="U915" s="6"/>
    </row>
    <row r="916" spans="1:21">
      <c r="A916" s="82"/>
      <c r="B916" s="83"/>
      <c r="C916" s="82"/>
      <c r="D916" s="82"/>
      <c r="E916" s="82"/>
      <c r="F916" s="82"/>
      <c r="G916" s="82"/>
      <c r="H916" s="83"/>
      <c r="I916" s="83"/>
      <c r="J916" s="83"/>
      <c r="K916" s="6"/>
      <c r="L916" s="6"/>
      <c r="M916" s="6"/>
      <c r="N916" s="6"/>
      <c r="O916" s="6"/>
      <c r="P916" s="6"/>
      <c r="Q916" s="6"/>
      <c r="R916" s="6"/>
      <c r="S916" s="6"/>
      <c r="T916" s="6"/>
      <c r="U916" s="6"/>
    </row>
    <row r="917" spans="1:21">
      <c r="A917" s="82"/>
      <c r="B917" s="83"/>
      <c r="C917" s="82"/>
      <c r="D917" s="82"/>
      <c r="E917" s="82"/>
      <c r="F917" s="82"/>
      <c r="G917" s="82"/>
      <c r="H917" s="83"/>
      <c r="I917" s="83"/>
      <c r="J917" s="83"/>
      <c r="K917" s="6"/>
      <c r="L917" s="6"/>
      <c r="M917" s="6"/>
      <c r="N917" s="6"/>
      <c r="O917" s="6"/>
      <c r="P917" s="6"/>
      <c r="Q917" s="6"/>
      <c r="R917" s="6"/>
      <c r="S917" s="6"/>
      <c r="T917" s="6"/>
      <c r="U917" s="6"/>
    </row>
    <row r="918" spans="1:21">
      <c r="A918" s="82"/>
      <c r="B918" s="83"/>
      <c r="C918" s="82"/>
      <c r="D918" s="82"/>
      <c r="E918" s="82"/>
      <c r="F918" s="82"/>
      <c r="G918" s="82"/>
      <c r="H918" s="83"/>
      <c r="I918" s="83"/>
      <c r="J918" s="83"/>
      <c r="K918" s="6"/>
      <c r="L918" s="6"/>
      <c r="M918" s="6"/>
      <c r="N918" s="6"/>
      <c r="O918" s="6"/>
      <c r="P918" s="6"/>
      <c r="Q918" s="6"/>
      <c r="R918" s="6"/>
      <c r="S918" s="6"/>
      <c r="T918" s="6"/>
      <c r="U918" s="6"/>
    </row>
    <row r="919" spans="1:21">
      <c r="A919" s="82"/>
      <c r="B919" s="83"/>
      <c r="C919" s="82"/>
      <c r="D919" s="82"/>
      <c r="E919" s="82"/>
      <c r="F919" s="82"/>
      <c r="G919" s="82"/>
      <c r="H919" s="83"/>
      <c r="I919" s="83"/>
      <c r="J919" s="83"/>
      <c r="K919" s="6"/>
      <c r="L919" s="6"/>
      <c r="M919" s="6"/>
      <c r="N919" s="6"/>
      <c r="O919" s="6"/>
      <c r="P919" s="6"/>
      <c r="Q919" s="6"/>
      <c r="R919" s="6"/>
      <c r="S919" s="6"/>
      <c r="T919" s="6"/>
      <c r="U919" s="6"/>
    </row>
    <row r="920" spans="1:21">
      <c r="A920" s="82"/>
      <c r="B920" s="83"/>
      <c r="C920" s="82"/>
      <c r="D920" s="82"/>
      <c r="E920" s="82"/>
      <c r="F920" s="82"/>
      <c r="G920" s="82"/>
      <c r="H920" s="83"/>
      <c r="I920" s="83"/>
      <c r="J920" s="83"/>
      <c r="K920" s="6"/>
      <c r="L920" s="6"/>
      <c r="M920" s="6"/>
      <c r="N920" s="6"/>
      <c r="O920" s="6"/>
      <c r="P920" s="6"/>
      <c r="Q920" s="6"/>
      <c r="R920" s="6"/>
      <c r="S920" s="6"/>
      <c r="T920" s="6"/>
      <c r="U920" s="6"/>
    </row>
    <row r="921" spans="1:21">
      <c r="A921" s="82"/>
      <c r="B921" s="83"/>
      <c r="C921" s="82"/>
      <c r="D921" s="82"/>
      <c r="E921" s="82"/>
      <c r="F921" s="82"/>
      <c r="G921" s="82"/>
      <c r="H921" s="83"/>
      <c r="I921" s="83"/>
      <c r="J921" s="83"/>
      <c r="K921" s="6"/>
      <c r="L921" s="6"/>
      <c r="M921" s="6"/>
      <c r="N921" s="6"/>
      <c r="O921" s="6"/>
      <c r="P921" s="6"/>
      <c r="Q921" s="6"/>
      <c r="R921" s="6"/>
      <c r="S921" s="6"/>
      <c r="T921" s="6"/>
      <c r="U921" s="6"/>
    </row>
    <row r="922" spans="1:21">
      <c r="A922" s="82"/>
      <c r="B922" s="83"/>
      <c r="C922" s="82"/>
      <c r="D922" s="82"/>
      <c r="E922" s="82"/>
      <c r="F922" s="82"/>
      <c r="G922" s="82"/>
      <c r="H922" s="83"/>
      <c r="I922" s="83"/>
      <c r="J922" s="83"/>
      <c r="K922" s="6"/>
      <c r="L922" s="6"/>
      <c r="M922" s="6"/>
      <c r="N922" s="6"/>
      <c r="O922" s="6"/>
      <c r="P922" s="6"/>
      <c r="Q922" s="6"/>
      <c r="R922" s="6"/>
      <c r="S922" s="6"/>
      <c r="T922" s="6"/>
      <c r="U922" s="6"/>
    </row>
    <row r="923" spans="1:21">
      <c r="A923" s="82"/>
      <c r="B923" s="83"/>
      <c r="C923" s="82"/>
      <c r="D923" s="82"/>
      <c r="E923" s="82"/>
      <c r="F923" s="82"/>
      <c r="G923" s="82"/>
      <c r="H923" s="83"/>
      <c r="I923" s="83"/>
      <c r="J923" s="83"/>
      <c r="K923" s="6"/>
      <c r="L923" s="6"/>
      <c r="M923" s="6"/>
      <c r="N923" s="6"/>
      <c r="O923" s="6"/>
      <c r="P923" s="6"/>
      <c r="Q923" s="6"/>
      <c r="R923" s="6"/>
      <c r="S923" s="6"/>
      <c r="T923" s="6"/>
      <c r="U923" s="6"/>
    </row>
    <row r="924" spans="1:21">
      <c r="A924" s="82"/>
      <c r="B924" s="83"/>
      <c r="C924" s="82"/>
      <c r="D924" s="82"/>
      <c r="E924" s="82"/>
      <c r="F924" s="82"/>
      <c r="G924" s="82"/>
      <c r="H924" s="83"/>
      <c r="I924" s="83"/>
      <c r="J924" s="83"/>
      <c r="K924" s="6"/>
      <c r="L924" s="6"/>
      <c r="M924" s="6"/>
      <c r="N924" s="6"/>
      <c r="O924" s="6"/>
      <c r="P924" s="6"/>
      <c r="Q924" s="6"/>
      <c r="R924" s="6"/>
      <c r="S924" s="6"/>
      <c r="T924" s="6"/>
      <c r="U924" s="6"/>
    </row>
    <row r="925" spans="1:21">
      <c r="A925" s="82"/>
      <c r="B925" s="83"/>
      <c r="C925" s="82"/>
      <c r="D925" s="82"/>
      <c r="E925" s="82"/>
      <c r="F925" s="82"/>
      <c r="G925" s="82"/>
      <c r="H925" s="83"/>
      <c r="I925" s="83"/>
      <c r="J925" s="83"/>
      <c r="K925" s="6"/>
      <c r="L925" s="6"/>
      <c r="M925" s="6"/>
      <c r="N925" s="6"/>
      <c r="O925" s="6"/>
      <c r="P925" s="6"/>
      <c r="Q925" s="6"/>
      <c r="R925" s="6"/>
      <c r="S925" s="6"/>
      <c r="T925" s="6"/>
      <c r="U925" s="6"/>
    </row>
    <row r="926" spans="1:21">
      <c r="A926" s="82"/>
      <c r="B926" s="83"/>
      <c r="C926" s="82"/>
      <c r="D926" s="82"/>
      <c r="E926" s="82"/>
      <c r="F926" s="82"/>
      <c r="G926" s="82"/>
      <c r="H926" s="83"/>
      <c r="I926" s="83"/>
      <c r="J926" s="83"/>
      <c r="K926" s="6"/>
      <c r="L926" s="6"/>
      <c r="M926" s="6"/>
      <c r="N926" s="6"/>
      <c r="O926" s="6"/>
      <c r="P926" s="6"/>
      <c r="Q926" s="6"/>
      <c r="R926" s="6"/>
      <c r="S926" s="6"/>
      <c r="T926" s="6"/>
      <c r="U926" s="6"/>
    </row>
    <row r="927" spans="1:21">
      <c r="A927" s="82"/>
      <c r="B927" s="83"/>
      <c r="C927" s="82"/>
      <c r="D927" s="82"/>
      <c r="E927" s="82"/>
      <c r="F927" s="82"/>
      <c r="G927" s="82"/>
      <c r="H927" s="83"/>
      <c r="I927" s="83"/>
      <c r="J927" s="83"/>
      <c r="K927" s="6"/>
      <c r="L927" s="6"/>
      <c r="M927" s="6"/>
      <c r="N927" s="6"/>
      <c r="O927" s="6"/>
      <c r="P927" s="6"/>
      <c r="Q927" s="6"/>
      <c r="R927" s="6"/>
      <c r="S927" s="6"/>
      <c r="T927" s="6"/>
      <c r="U927" s="6"/>
    </row>
    <row r="928" spans="1:21">
      <c r="A928" s="82"/>
      <c r="B928" s="83"/>
      <c r="C928" s="82"/>
      <c r="D928" s="82"/>
      <c r="E928" s="82"/>
      <c r="F928" s="82"/>
      <c r="G928" s="82"/>
      <c r="H928" s="83"/>
      <c r="I928" s="83"/>
      <c r="J928" s="83"/>
      <c r="K928" s="6"/>
      <c r="L928" s="6"/>
      <c r="M928" s="6"/>
      <c r="N928" s="6"/>
      <c r="O928" s="6"/>
      <c r="P928" s="6"/>
      <c r="Q928" s="6"/>
      <c r="R928" s="6"/>
      <c r="S928" s="6"/>
      <c r="T928" s="6"/>
      <c r="U928" s="6"/>
    </row>
    <row r="929" spans="1:21">
      <c r="A929" s="82"/>
      <c r="B929" s="83"/>
      <c r="C929" s="82"/>
      <c r="D929" s="82"/>
      <c r="E929" s="82"/>
      <c r="F929" s="82"/>
      <c r="G929" s="82"/>
      <c r="H929" s="83"/>
      <c r="I929" s="83"/>
      <c r="J929" s="83"/>
      <c r="K929" s="6"/>
      <c r="L929" s="6"/>
      <c r="M929" s="6"/>
      <c r="N929" s="6"/>
      <c r="O929" s="6"/>
      <c r="P929" s="6"/>
      <c r="Q929" s="6"/>
      <c r="R929" s="6"/>
      <c r="S929" s="6"/>
      <c r="T929" s="6"/>
      <c r="U929" s="6"/>
    </row>
    <row r="930" spans="1:21">
      <c r="A930" s="82"/>
      <c r="B930" s="83"/>
      <c r="C930" s="82"/>
      <c r="D930" s="82"/>
      <c r="E930" s="82"/>
      <c r="F930" s="82"/>
      <c r="G930" s="82"/>
      <c r="H930" s="83"/>
      <c r="I930" s="83"/>
      <c r="J930" s="83"/>
      <c r="K930" s="6"/>
      <c r="L930" s="6"/>
      <c r="M930" s="6"/>
      <c r="N930" s="6"/>
      <c r="O930" s="6"/>
      <c r="P930" s="6"/>
      <c r="Q930" s="6"/>
      <c r="R930" s="6"/>
      <c r="S930" s="6"/>
      <c r="T930" s="6"/>
      <c r="U930" s="6"/>
    </row>
    <row r="931" spans="1:21">
      <c r="A931" s="82"/>
      <c r="B931" s="83"/>
      <c r="C931" s="82"/>
      <c r="D931" s="82"/>
      <c r="E931" s="82"/>
      <c r="F931" s="82"/>
      <c r="G931" s="82"/>
      <c r="H931" s="83"/>
      <c r="I931" s="83"/>
      <c r="J931" s="83"/>
      <c r="K931" s="6"/>
      <c r="L931" s="6"/>
      <c r="M931" s="6"/>
      <c r="N931" s="6"/>
      <c r="O931" s="6"/>
      <c r="P931" s="6"/>
      <c r="Q931" s="6"/>
      <c r="R931" s="6"/>
      <c r="S931" s="6"/>
      <c r="T931" s="6"/>
      <c r="U931" s="6"/>
    </row>
    <row r="932" spans="1:21">
      <c r="A932" s="82"/>
      <c r="B932" s="83"/>
      <c r="C932" s="82"/>
      <c r="D932" s="82"/>
      <c r="E932" s="82"/>
      <c r="F932" s="82"/>
      <c r="G932" s="82"/>
      <c r="H932" s="83"/>
      <c r="I932" s="83"/>
      <c r="J932" s="83"/>
      <c r="K932" s="6"/>
      <c r="L932" s="6"/>
      <c r="M932" s="6"/>
      <c r="N932" s="6"/>
      <c r="O932" s="6"/>
      <c r="P932" s="6"/>
      <c r="Q932" s="6"/>
      <c r="R932" s="6"/>
      <c r="S932" s="6"/>
      <c r="T932" s="6"/>
      <c r="U932" s="6"/>
    </row>
    <row r="933" spans="1:21">
      <c r="A933" s="82"/>
      <c r="B933" s="83"/>
      <c r="C933" s="82"/>
      <c r="D933" s="82"/>
      <c r="E933" s="82"/>
      <c r="F933" s="82"/>
      <c r="G933" s="82"/>
      <c r="H933" s="83"/>
      <c r="I933" s="83"/>
      <c r="J933" s="83"/>
      <c r="K933" s="6"/>
      <c r="L933" s="6"/>
      <c r="M933" s="6"/>
      <c r="N933" s="6"/>
      <c r="O933" s="6"/>
      <c r="P933" s="6"/>
      <c r="Q933" s="6"/>
      <c r="R933" s="6"/>
      <c r="S933" s="6"/>
      <c r="T933" s="6"/>
      <c r="U933" s="6"/>
    </row>
    <row r="934" spans="1:21">
      <c r="A934" s="82"/>
      <c r="B934" s="83"/>
      <c r="C934" s="82"/>
      <c r="D934" s="82"/>
      <c r="E934" s="82"/>
      <c r="F934" s="82"/>
      <c r="G934" s="82"/>
      <c r="H934" s="83"/>
      <c r="I934" s="83"/>
      <c r="J934" s="83"/>
      <c r="K934" s="6"/>
      <c r="L934" s="6"/>
      <c r="M934" s="6"/>
      <c r="N934" s="6"/>
      <c r="O934" s="6"/>
      <c r="P934" s="6"/>
      <c r="Q934" s="6"/>
      <c r="R934" s="6"/>
      <c r="S934" s="6"/>
      <c r="T934" s="6"/>
      <c r="U934" s="6"/>
    </row>
    <row r="935" spans="1:21">
      <c r="A935" s="82"/>
      <c r="B935" s="83"/>
      <c r="C935" s="82"/>
      <c r="D935" s="82"/>
      <c r="E935" s="82"/>
      <c r="F935" s="82"/>
      <c r="G935" s="82"/>
      <c r="H935" s="83"/>
      <c r="I935" s="83"/>
      <c r="J935" s="83"/>
      <c r="K935" s="6"/>
      <c r="L935" s="6"/>
      <c r="M935" s="6"/>
      <c r="N935" s="6"/>
      <c r="O935" s="6"/>
      <c r="P935" s="6"/>
      <c r="Q935" s="6"/>
      <c r="R935" s="6"/>
      <c r="S935" s="6"/>
      <c r="T935" s="6"/>
      <c r="U935" s="6"/>
    </row>
    <row r="936" spans="1:21">
      <c r="A936" s="82"/>
      <c r="B936" s="83"/>
      <c r="C936" s="82"/>
      <c r="D936" s="82"/>
      <c r="E936" s="82"/>
      <c r="F936" s="82"/>
      <c r="G936" s="82"/>
      <c r="H936" s="83"/>
      <c r="I936" s="83"/>
      <c r="J936" s="83"/>
      <c r="K936" s="6"/>
      <c r="L936" s="6"/>
      <c r="M936" s="6"/>
      <c r="N936" s="6"/>
      <c r="O936" s="6"/>
      <c r="P936" s="6"/>
      <c r="Q936" s="6"/>
      <c r="R936" s="6"/>
      <c r="S936" s="6"/>
      <c r="T936" s="6"/>
      <c r="U936" s="6"/>
    </row>
    <row r="937" spans="1:21">
      <c r="A937" s="82"/>
      <c r="B937" s="83"/>
      <c r="C937" s="82"/>
      <c r="D937" s="82"/>
      <c r="E937" s="82"/>
      <c r="F937" s="82"/>
      <c r="G937" s="82"/>
      <c r="H937" s="83"/>
      <c r="I937" s="83"/>
      <c r="J937" s="83"/>
      <c r="K937" s="6"/>
      <c r="L937" s="6"/>
      <c r="M937" s="6"/>
      <c r="N937" s="6"/>
      <c r="O937" s="6"/>
      <c r="P937" s="6"/>
      <c r="Q937" s="6"/>
      <c r="R937" s="6"/>
      <c r="S937" s="6"/>
      <c r="T937" s="6"/>
      <c r="U937" s="6"/>
    </row>
    <row r="938" spans="1:21">
      <c r="A938" s="82"/>
      <c r="B938" s="83"/>
      <c r="C938" s="82"/>
      <c r="D938" s="82"/>
      <c r="E938" s="82"/>
      <c r="F938" s="82"/>
      <c r="G938" s="82"/>
      <c r="H938" s="83"/>
      <c r="I938" s="83"/>
      <c r="J938" s="83"/>
      <c r="K938" s="6"/>
      <c r="L938" s="6"/>
      <c r="M938" s="6"/>
      <c r="N938" s="6"/>
      <c r="O938" s="6"/>
      <c r="P938" s="6"/>
      <c r="Q938" s="6"/>
      <c r="R938" s="6"/>
      <c r="S938" s="6"/>
      <c r="T938" s="6"/>
      <c r="U938" s="6"/>
    </row>
    <row r="939" spans="1:21">
      <c r="A939" s="82"/>
      <c r="B939" s="83"/>
      <c r="C939" s="82"/>
      <c r="D939" s="82"/>
      <c r="E939" s="82"/>
      <c r="F939" s="82"/>
      <c r="G939" s="82"/>
      <c r="H939" s="83"/>
      <c r="I939" s="83"/>
      <c r="J939" s="83"/>
      <c r="K939" s="6"/>
      <c r="L939" s="6"/>
      <c r="M939" s="6"/>
      <c r="N939" s="6"/>
      <c r="O939" s="6"/>
      <c r="P939" s="6"/>
      <c r="Q939" s="6"/>
      <c r="R939" s="6"/>
      <c r="S939" s="6"/>
      <c r="T939" s="6"/>
      <c r="U939" s="6"/>
    </row>
    <row r="940" spans="1:21">
      <c r="A940" s="82"/>
      <c r="B940" s="83"/>
      <c r="C940" s="82"/>
      <c r="D940" s="82"/>
      <c r="E940" s="82"/>
      <c r="F940" s="82"/>
      <c r="G940" s="82"/>
      <c r="H940" s="83"/>
      <c r="I940" s="83"/>
      <c r="J940" s="83"/>
      <c r="K940" s="6"/>
      <c r="L940" s="6"/>
      <c r="M940" s="6"/>
      <c r="N940" s="6"/>
      <c r="O940" s="6"/>
      <c r="P940" s="6"/>
      <c r="Q940" s="6"/>
      <c r="R940" s="6"/>
      <c r="S940" s="6"/>
      <c r="T940" s="6"/>
      <c r="U940" s="6"/>
    </row>
    <row r="941" spans="1:21">
      <c r="A941" s="82"/>
      <c r="B941" s="83"/>
      <c r="C941" s="82"/>
      <c r="D941" s="82"/>
      <c r="E941" s="82"/>
      <c r="F941" s="82"/>
      <c r="G941" s="82"/>
      <c r="H941" s="83"/>
      <c r="I941" s="83"/>
      <c r="J941" s="83"/>
      <c r="K941" s="6"/>
      <c r="L941" s="6"/>
      <c r="M941" s="6"/>
      <c r="N941" s="6"/>
      <c r="O941" s="6"/>
      <c r="P941" s="6"/>
      <c r="Q941" s="6"/>
      <c r="R941" s="6"/>
      <c r="S941" s="6"/>
      <c r="T941" s="6"/>
      <c r="U941" s="6"/>
    </row>
    <row r="942" spans="1:21">
      <c r="A942" s="82"/>
      <c r="B942" s="83"/>
      <c r="C942" s="82"/>
      <c r="D942" s="82"/>
      <c r="E942" s="82"/>
      <c r="F942" s="82"/>
      <c r="G942" s="82"/>
      <c r="H942" s="83"/>
      <c r="I942" s="83"/>
      <c r="J942" s="83"/>
      <c r="K942" s="6"/>
      <c r="L942" s="6"/>
      <c r="M942" s="6"/>
      <c r="N942" s="6"/>
      <c r="O942" s="6"/>
      <c r="P942" s="6"/>
      <c r="Q942" s="6"/>
      <c r="R942" s="6"/>
      <c r="S942" s="6"/>
      <c r="T942" s="6"/>
      <c r="U942" s="6"/>
    </row>
    <row r="943" spans="1:21">
      <c r="A943" s="82"/>
      <c r="B943" s="83"/>
      <c r="C943" s="82"/>
      <c r="D943" s="82"/>
      <c r="E943" s="82"/>
      <c r="F943" s="82"/>
      <c r="G943" s="82"/>
      <c r="H943" s="83"/>
      <c r="I943" s="83"/>
      <c r="J943" s="83"/>
      <c r="K943" s="6"/>
      <c r="L943" s="6"/>
      <c r="M943" s="6"/>
      <c r="N943" s="6"/>
      <c r="O943" s="6"/>
      <c r="P943" s="6"/>
      <c r="Q943" s="6"/>
      <c r="R943" s="6"/>
      <c r="S943" s="6"/>
      <c r="T943" s="6"/>
      <c r="U943" s="6"/>
    </row>
    <row r="944" spans="1:21">
      <c r="A944" s="82"/>
      <c r="B944" s="83"/>
      <c r="C944" s="82"/>
      <c r="D944" s="82"/>
      <c r="E944" s="82"/>
      <c r="F944" s="82"/>
      <c r="G944" s="82"/>
      <c r="H944" s="83"/>
      <c r="I944" s="83"/>
      <c r="J944" s="83"/>
      <c r="K944" s="6"/>
      <c r="L944" s="6"/>
      <c r="M944" s="6"/>
      <c r="N944" s="6"/>
      <c r="O944" s="6"/>
      <c r="P944" s="6"/>
      <c r="Q944" s="6"/>
      <c r="R944" s="6"/>
      <c r="S944" s="6"/>
      <c r="T944" s="6"/>
      <c r="U944" s="6"/>
    </row>
    <row r="945" spans="1:21">
      <c r="A945" s="82"/>
      <c r="B945" s="83"/>
      <c r="C945" s="82"/>
      <c r="D945" s="82"/>
      <c r="E945" s="82"/>
      <c r="F945" s="82"/>
      <c r="G945" s="82"/>
      <c r="H945" s="83"/>
      <c r="I945" s="83"/>
      <c r="J945" s="83"/>
      <c r="K945" s="6"/>
      <c r="L945" s="6"/>
      <c r="M945" s="6"/>
      <c r="N945" s="6"/>
      <c r="O945" s="6"/>
      <c r="P945" s="6"/>
      <c r="Q945" s="6"/>
      <c r="R945" s="6"/>
      <c r="S945" s="6"/>
      <c r="T945" s="6"/>
      <c r="U945" s="6"/>
    </row>
    <row r="946" spans="1:21">
      <c r="A946" s="82"/>
      <c r="B946" s="83"/>
      <c r="C946" s="82"/>
      <c r="D946" s="82"/>
      <c r="E946" s="82"/>
      <c r="F946" s="82"/>
      <c r="G946" s="82"/>
      <c r="H946" s="83"/>
      <c r="I946" s="83"/>
      <c r="J946" s="83"/>
      <c r="K946" s="6"/>
      <c r="L946" s="6"/>
      <c r="M946" s="6"/>
      <c r="N946" s="6"/>
      <c r="O946" s="6"/>
      <c r="P946" s="6"/>
      <c r="Q946" s="6"/>
      <c r="R946" s="6"/>
      <c r="S946" s="6"/>
      <c r="T946" s="6"/>
      <c r="U946" s="6"/>
    </row>
    <row r="947" spans="1:21">
      <c r="A947" s="82"/>
      <c r="B947" s="83"/>
      <c r="C947" s="82"/>
      <c r="D947" s="82"/>
      <c r="E947" s="82"/>
      <c r="F947" s="82"/>
      <c r="G947" s="82"/>
      <c r="H947" s="83"/>
      <c r="I947" s="83"/>
      <c r="J947" s="83"/>
      <c r="K947" s="6"/>
      <c r="L947" s="6"/>
      <c r="M947" s="6"/>
      <c r="N947" s="6"/>
      <c r="O947" s="6"/>
      <c r="P947" s="6"/>
      <c r="Q947" s="6"/>
      <c r="R947" s="6"/>
      <c r="S947" s="6"/>
      <c r="T947" s="6"/>
      <c r="U947" s="6"/>
    </row>
    <row r="948" spans="1:21">
      <c r="A948" s="82"/>
      <c r="B948" s="83"/>
      <c r="C948" s="82"/>
      <c r="D948" s="82"/>
      <c r="E948" s="82"/>
      <c r="F948" s="82"/>
      <c r="G948" s="82"/>
      <c r="H948" s="83"/>
      <c r="I948" s="83"/>
      <c r="J948" s="83"/>
      <c r="K948" s="6"/>
      <c r="L948" s="6"/>
      <c r="M948" s="6"/>
      <c r="N948" s="6"/>
      <c r="O948" s="6"/>
      <c r="P948" s="6"/>
      <c r="Q948" s="6"/>
      <c r="R948" s="6"/>
      <c r="S948" s="6"/>
      <c r="T948" s="6"/>
      <c r="U948" s="6"/>
    </row>
    <row r="949" spans="1:21">
      <c r="A949" s="82"/>
      <c r="B949" s="83"/>
      <c r="C949" s="82"/>
      <c r="D949" s="82"/>
      <c r="E949" s="82"/>
      <c r="F949" s="82"/>
      <c r="G949" s="82"/>
      <c r="H949" s="83"/>
      <c r="I949" s="83"/>
      <c r="J949" s="83"/>
      <c r="K949" s="6"/>
      <c r="L949" s="6"/>
      <c r="M949" s="6"/>
      <c r="N949" s="6"/>
      <c r="O949" s="6"/>
      <c r="P949" s="6"/>
      <c r="Q949" s="6"/>
      <c r="R949" s="6"/>
      <c r="S949" s="6"/>
      <c r="T949" s="6"/>
      <c r="U949" s="6"/>
    </row>
    <row r="950" spans="1:21">
      <c r="A950" s="82"/>
      <c r="B950" s="83"/>
      <c r="C950" s="82"/>
      <c r="D950" s="82"/>
      <c r="E950" s="82"/>
      <c r="F950" s="82"/>
      <c r="G950" s="82"/>
      <c r="H950" s="83"/>
      <c r="I950" s="83"/>
      <c r="J950" s="83"/>
      <c r="K950" s="6"/>
      <c r="L950" s="6"/>
      <c r="M950" s="6"/>
      <c r="N950" s="6"/>
      <c r="O950" s="6"/>
      <c r="P950" s="6"/>
      <c r="Q950" s="6"/>
      <c r="R950" s="6"/>
      <c r="S950" s="6"/>
      <c r="T950" s="6"/>
      <c r="U950" s="6"/>
    </row>
    <row r="951" spans="1:21">
      <c r="A951" s="82"/>
      <c r="B951" s="83"/>
      <c r="C951" s="82"/>
      <c r="D951" s="82"/>
      <c r="E951" s="82"/>
      <c r="F951" s="82"/>
      <c r="G951" s="82"/>
      <c r="H951" s="83"/>
      <c r="I951" s="83"/>
      <c r="J951" s="83"/>
      <c r="K951" s="6"/>
      <c r="L951" s="6"/>
      <c r="M951" s="6"/>
      <c r="N951" s="6"/>
      <c r="O951" s="6"/>
      <c r="P951" s="6"/>
      <c r="Q951" s="6"/>
      <c r="R951" s="6"/>
      <c r="S951" s="6"/>
      <c r="T951" s="6"/>
      <c r="U951" s="6"/>
    </row>
    <row r="952" spans="1:21">
      <c r="A952" s="82"/>
      <c r="B952" s="83"/>
      <c r="C952" s="82"/>
      <c r="D952" s="82"/>
      <c r="E952" s="82"/>
      <c r="F952" s="82"/>
      <c r="G952" s="82"/>
      <c r="H952" s="83"/>
      <c r="I952" s="83"/>
      <c r="J952" s="83"/>
      <c r="K952" s="6"/>
      <c r="L952" s="6"/>
      <c r="M952" s="6"/>
      <c r="N952" s="6"/>
      <c r="O952" s="6"/>
      <c r="P952" s="6"/>
      <c r="Q952" s="6"/>
      <c r="R952" s="6"/>
      <c r="S952" s="6"/>
      <c r="T952" s="6"/>
      <c r="U952" s="6"/>
    </row>
    <row r="953" spans="1:21">
      <c r="A953" s="82"/>
      <c r="B953" s="83"/>
      <c r="C953" s="82"/>
      <c r="D953" s="82"/>
      <c r="E953" s="82"/>
      <c r="F953" s="82"/>
      <c r="G953" s="82"/>
      <c r="H953" s="83"/>
      <c r="I953" s="83"/>
      <c r="J953" s="83"/>
      <c r="K953" s="6"/>
      <c r="L953" s="6"/>
      <c r="M953" s="6"/>
      <c r="N953" s="6"/>
      <c r="O953" s="6"/>
      <c r="P953" s="6"/>
      <c r="Q953" s="6"/>
      <c r="R953" s="6"/>
      <c r="S953" s="6"/>
      <c r="T953" s="6"/>
      <c r="U953" s="6"/>
    </row>
    <row r="954" spans="1:21">
      <c r="A954" s="82"/>
      <c r="B954" s="83"/>
      <c r="C954" s="82"/>
      <c r="D954" s="82"/>
      <c r="E954" s="82"/>
      <c r="F954" s="82"/>
      <c r="G954" s="82"/>
      <c r="H954" s="83"/>
      <c r="I954" s="83"/>
      <c r="J954" s="83"/>
      <c r="K954" s="6"/>
      <c r="L954" s="6"/>
      <c r="M954" s="6"/>
      <c r="N954" s="6"/>
      <c r="O954" s="6"/>
      <c r="P954" s="6"/>
      <c r="Q954" s="6"/>
      <c r="R954" s="6"/>
      <c r="S954" s="6"/>
      <c r="T954" s="6"/>
      <c r="U954" s="6"/>
    </row>
    <row r="955" spans="1:21">
      <c r="A955" s="82"/>
      <c r="B955" s="83"/>
      <c r="C955" s="82"/>
      <c r="D955" s="82"/>
      <c r="E955" s="82"/>
      <c r="F955" s="82"/>
      <c r="G955" s="82"/>
      <c r="H955" s="83"/>
      <c r="I955" s="83"/>
      <c r="J955" s="83"/>
      <c r="K955" s="6"/>
      <c r="L955" s="6"/>
      <c r="M955" s="6"/>
      <c r="N955" s="6"/>
      <c r="O955" s="6"/>
      <c r="P955" s="6"/>
      <c r="Q955" s="6"/>
      <c r="R955" s="6"/>
      <c r="S955" s="6"/>
      <c r="T955" s="6"/>
      <c r="U955" s="6"/>
    </row>
    <row r="956" spans="1:21">
      <c r="A956" s="82"/>
      <c r="B956" s="83"/>
      <c r="C956" s="82"/>
      <c r="D956" s="82"/>
      <c r="E956" s="82"/>
      <c r="F956" s="82"/>
      <c r="G956" s="82"/>
      <c r="H956" s="83"/>
      <c r="I956" s="83"/>
      <c r="J956" s="83"/>
      <c r="K956" s="6"/>
      <c r="L956" s="6"/>
      <c r="M956" s="6"/>
      <c r="N956" s="6"/>
      <c r="O956" s="6"/>
      <c r="P956" s="6"/>
      <c r="Q956" s="6"/>
      <c r="R956" s="6"/>
      <c r="S956" s="6"/>
      <c r="T956" s="6"/>
      <c r="U956" s="6"/>
    </row>
    <row r="957" spans="1:21">
      <c r="A957" s="82"/>
      <c r="B957" s="83"/>
      <c r="C957" s="82"/>
      <c r="D957" s="82"/>
      <c r="E957" s="82"/>
      <c r="F957" s="82"/>
      <c r="G957" s="82"/>
      <c r="H957" s="83"/>
      <c r="I957" s="83"/>
      <c r="J957" s="83"/>
      <c r="K957" s="6"/>
      <c r="L957" s="6"/>
      <c r="M957" s="6"/>
      <c r="N957" s="6"/>
      <c r="O957" s="6"/>
      <c r="P957" s="6"/>
      <c r="Q957" s="6"/>
      <c r="R957" s="6"/>
      <c r="S957" s="6"/>
      <c r="T957" s="6"/>
      <c r="U957" s="6"/>
    </row>
    <row r="958" spans="1:21">
      <c r="A958" s="82"/>
      <c r="B958" s="83"/>
      <c r="C958" s="82"/>
      <c r="D958" s="82"/>
      <c r="E958" s="82"/>
      <c r="F958" s="82"/>
      <c r="G958" s="82"/>
      <c r="H958" s="83"/>
      <c r="I958" s="83"/>
      <c r="J958" s="83"/>
      <c r="K958" s="6"/>
      <c r="L958" s="6"/>
      <c r="M958" s="6"/>
      <c r="N958" s="6"/>
      <c r="O958" s="6"/>
      <c r="P958" s="6"/>
      <c r="Q958" s="6"/>
      <c r="R958" s="6"/>
      <c r="S958" s="6"/>
      <c r="T958" s="6"/>
      <c r="U958" s="6"/>
    </row>
    <row r="959" spans="1:21">
      <c r="A959" s="82"/>
      <c r="B959" s="83"/>
      <c r="C959" s="82"/>
      <c r="D959" s="82"/>
      <c r="E959" s="82"/>
      <c r="F959" s="82"/>
      <c r="G959" s="82"/>
      <c r="H959" s="83"/>
      <c r="I959" s="83"/>
      <c r="J959" s="83"/>
      <c r="K959" s="6"/>
      <c r="L959" s="6"/>
      <c r="M959" s="6"/>
      <c r="N959" s="6"/>
      <c r="O959" s="6"/>
      <c r="P959" s="6"/>
      <c r="Q959" s="6"/>
      <c r="R959" s="6"/>
      <c r="S959" s="6"/>
      <c r="T959" s="6"/>
      <c r="U959" s="6"/>
    </row>
    <row r="960" spans="1:21">
      <c r="A960" s="82"/>
      <c r="B960" s="83"/>
      <c r="C960" s="82"/>
      <c r="D960" s="82"/>
      <c r="E960" s="82"/>
      <c r="F960" s="82"/>
      <c r="G960" s="82"/>
      <c r="H960" s="83"/>
      <c r="I960" s="83"/>
      <c r="J960" s="83"/>
      <c r="K960" s="6"/>
      <c r="L960" s="6"/>
      <c r="M960" s="6"/>
      <c r="N960" s="6"/>
      <c r="O960" s="6"/>
      <c r="P960" s="6"/>
      <c r="Q960" s="6"/>
      <c r="R960" s="6"/>
      <c r="S960" s="6"/>
      <c r="T960" s="6"/>
      <c r="U960" s="6"/>
    </row>
    <row r="961" spans="1:21">
      <c r="A961" s="82"/>
      <c r="B961" s="83"/>
      <c r="C961" s="82"/>
      <c r="D961" s="82"/>
      <c r="E961" s="82"/>
      <c r="F961" s="82"/>
      <c r="G961" s="82"/>
      <c r="H961" s="83"/>
      <c r="I961" s="83"/>
      <c r="J961" s="83"/>
      <c r="K961" s="6"/>
      <c r="L961" s="6"/>
      <c r="M961" s="6"/>
      <c r="N961" s="6"/>
      <c r="O961" s="6"/>
      <c r="P961" s="6"/>
      <c r="Q961" s="6"/>
      <c r="R961" s="6"/>
      <c r="S961" s="6"/>
      <c r="T961" s="6"/>
      <c r="U961" s="6"/>
    </row>
    <row r="962" spans="1:21">
      <c r="A962" s="82"/>
      <c r="B962" s="83"/>
      <c r="C962" s="82"/>
      <c r="D962" s="82"/>
      <c r="E962" s="82"/>
      <c r="F962" s="82"/>
      <c r="G962" s="82"/>
      <c r="H962" s="83"/>
      <c r="I962" s="83"/>
      <c r="J962" s="83"/>
      <c r="K962" s="6"/>
      <c r="L962" s="6"/>
      <c r="M962" s="6"/>
      <c r="N962" s="6"/>
      <c r="O962" s="6"/>
      <c r="P962" s="6"/>
      <c r="Q962" s="6"/>
      <c r="R962" s="6"/>
      <c r="S962" s="6"/>
      <c r="T962" s="6"/>
      <c r="U962" s="6"/>
    </row>
    <row r="963" spans="1:21">
      <c r="A963" s="82"/>
      <c r="B963" s="83"/>
      <c r="C963" s="82"/>
      <c r="D963" s="82"/>
      <c r="E963" s="82"/>
      <c r="F963" s="82"/>
      <c r="G963" s="82"/>
      <c r="H963" s="83"/>
      <c r="I963" s="83"/>
      <c r="J963" s="83"/>
      <c r="K963" s="6"/>
      <c r="L963" s="6"/>
      <c r="M963" s="6"/>
      <c r="N963" s="6"/>
      <c r="O963" s="6"/>
      <c r="P963" s="6"/>
      <c r="Q963" s="6"/>
      <c r="R963" s="6"/>
      <c r="S963" s="6"/>
      <c r="T963" s="6"/>
      <c r="U963" s="6"/>
    </row>
    <row r="964" spans="1:21">
      <c r="A964" s="82"/>
      <c r="B964" s="83"/>
      <c r="C964" s="82"/>
      <c r="D964" s="82"/>
      <c r="E964" s="82"/>
      <c r="F964" s="82"/>
      <c r="G964" s="82"/>
      <c r="H964" s="83"/>
      <c r="I964" s="83"/>
      <c r="J964" s="83"/>
      <c r="K964" s="6"/>
      <c r="L964" s="6"/>
      <c r="M964" s="6"/>
      <c r="N964" s="6"/>
      <c r="O964" s="6"/>
      <c r="P964" s="6"/>
      <c r="Q964" s="6"/>
      <c r="R964" s="6"/>
      <c r="S964" s="6"/>
      <c r="T964" s="6"/>
      <c r="U964" s="6"/>
    </row>
    <row r="965" spans="1:21">
      <c r="A965" s="82"/>
      <c r="B965" s="83"/>
      <c r="C965" s="82"/>
      <c r="D965" s="82"/>
      <c r="E965" s="82"/>
      <c r="F965" s="82"/>
      <c r="G965" s="82"/>
      <c r="H965" s="83"/>
      <c r="I965" s="83"/>
      <c r="J965" s="83"/>
      <c r="K965" s="6"/>
      <c r="L965" s="6"/>
      <c r="M965" s="6"/>
      <c r="N965" s="6"/>
      <c r="O965" s="6"/>
      <c r="P965" s="6"/>
      <c r="Q965" s="6"/>
      <c r="R965" s="6"/>
      <c r="S965" s="6"/>
      <c r="T965" s="6"/>
      <c r="U965" s="6"/>
    </row>
    <row r="966" spans="1:21">
      <c r="A966" s="82"/>
      <c r="B966" s="83"/>
      <c r="C966" s="82"/>
      <c r="D966" s="82"/>
      <c r="E966" s="82"/>
      <c r="F966" s="82"/>
      <c r="G966" s="82"/>
      <c r="H966" s="83"/>
      <c r="I966" s="83"/>
      <c r="J966" s="83"/>
      <c r="K966" s="6"/>
      <c r="L966" s="6"/>
      <c r="M966" s="6"/>
      <c r="N966" s="6"/>
      <c r="O966" s="6"/>
      <c r="P966" s="6"/>
      <c r="Q966" s="6"/>
      <c r="R966" s="6"/>
      <c r="S966" s="6"/>
      <c r="T966" s="6"/>
      <c r="U966" s="6"/>
    </row>
    <row r="967" spans="1:21">
      <c r="A967" s="82"/>
      <c r="B967" s="83"/>
      <c r="C967" s="82"/>
      <c r="D967" s="82"/>
      <c r="E967" s="82"/>
      <c r="F967" s="82"/>
      <c r="G967" s="82"/>
      <c r="H967" s="83"/>
      <c r="I967" s="83"/>
      <c r="J967" s="83"/>
      <c r="K967" s="6"/>
      <c r="L967" s="6"/>
      <c r="M967" s="6"/>
      <c r="N967" s="6"/>
      <c r="O967" s="6"/>
      <c r="P967" s="6"/>
      <c r="Q967" s="6"/>
      <c r="R967" s="6"/>
      <c r="S967" s="6"/>
      <c r="T967" s="6"/>
      <c r="U967" s="6"/>
    </row>
    <row r="968" spans="1:21">
      <c r="A968" s="82"/>
      <c r="B968" s="83"/>
      <c r="C968" s="82"/>
      <c r="D968" s="82"/>
      <c r="E968" s="82"/>
      <c r="F968" s="82"/>
      <c r="G968" s="82"/>
      <c r="H968" s="83"/>
      <c r="I968" s="83"/>
      <c r="J968" s="83"/>
      <c r="K968" s="6"/>
      <c r="L968" s="6"/>
      <c r="M968" s="6"/>
      <c r="N968" s="6"/>
      <c r="O968" s="6"/>
      <c r="P968" s="6"/>
      <c r="Q968" s="6"/>
      <c r="R968" s="6"/>
      <c r="S968" s="6"/>
      <c r="T968" s="6"/>
      <c r="U968" s="6"/>
    </row>
    <row r="969" spans="1:21">
      <c r="A969" s="82"/>
      <c r="B969" s="83"/>
      <c r="C969" s="82"/>
      <c r="D969" s="82"/>
      <c r="E969" s="82"/>
      <c r="F969" s="82"/>
      <c r="G969" s="82"/>
      <c r="H969" s="83"/>
      <c r="I969" s="83"/>
      <c r="J969" s="83"/>
      <c r="K969" s="6"/>
      <c r="L969" s="6"/>
      <c r="M969" s="6"/>
      <c r="N969" s="6"/>
      <c r="O969" s="6"/>
      <c r="P969" s="6"/>
      <c r="Q969" s="6"/>
      <c r="R969" s="6"/>
      <c r="S969" s="6"/>
      <c r="T969" s="6"/>
      <c r="U969" s="6"/>
    </row>
    <row r="970" spans="1:21">
      <c r="A970" s="82"/>
      <c r="B970" s="83"/>
      <c r="C970" s="82"/>
      <c r="D970" s="82"/>
      <c r="E970" s="82"/>
      <c r="F970" s="82"/>
      <c r="G970" s="82"/>
      <c r="H970" s="83"/>
      <c r="I970" s="83"/>
      <c r="J970" s="83"/>
      <c r="K970" s="6"/>
      <c r="L970" s="6"/>
      <c r="M970" s="6"/>
      <c r="N970" s="6"/>
      <c r="O970" s="6"/>
      <c r="P970" s="6"/>
      <c r="Q970" s="6"/>
      <c r="R970" s="6"/>
      <c r="S970" s="6"/>
      <c r="T970" s="6"/>
      <c r="U970" s="6"/>
    </row>
    <row r="971" spans="1:21">
      <c r="A971" s="82"/>
      <c r="B971" s="83"/>
      <c r="C971" s="82"/>
      <c r="D971" s="82"/>
      <c r="E971" s="82"/>
      <c r="F971" s="82"/>
      <c r="G971" s="82"/>
      <c r="H971" s="83"/>
      <c r="I971" s="83"/>
      <c r="J971" s="83"/>
      <c r="K971" s="6"/>
      <c r="L971" s="6"/>
      <c r="M971" s="6"/>
      <c r="N971" s="6"/>
      <c r="O971" s="6"/>
      <c r="P971" s="6"/>
      <c r="Q971" s="6"/>
      <c r="R971" s="6"/>
      <c r="S971" s="6"/>
      <c r="T971" s="6"/>
      <c r="U971" s="6"/>
    </row>
    <row r="972" spans="1:21">
      <c r="A972" s="82"/>
      <c r="B972" s="83"/>
      <c r="C972" s="82"/>
      <c r="D972" s="82"/>
      <c r="E972" s="82"/>
      <c r="F972" s="82"/>
      <c r="G972" s="82"/>
      <c r="H972" s="83"/>
      <c r="I972" s="83"/>
      <c r="J972" s="83"/>
      <c r="K972" s="6"/>
      <c r="L972" s="6"/>
      <c r="M972" s="6"/>
      <c r="N972" s="6"/>
      <c r="O972" s="6"/>
      <c r="P972" s="6"/>
      <c r="Q972" s="6"/>
      <c r="R972" s="6"/>
      <c r="S972" s="6"/>
      <c r="T972" s="6"/>
      <c r="U972" s="6"/>
    </row>
    <row r="973" spans="1:21">
      <c r="A973" s="82"/>
      <c r="B973" s="83"/>
      <c r="C973" s="82"/>
      <c r="D973" s="82"/>
      <c r="E973" s="82"/>
      <c r="F973" s="82"/>
      <c r="G973" s="82"/>
      <c r="H973" s="83"/>
      <c r="I973" s="83"/>
      <c r="J973" s="83"/>
      <c r="K973" s="6"/>
      <c r="L973" s="6"/>
      <c r="M973" s="6"/>
      <c r="N973" s="6"/>
      <c r="O973" s="6"/>
      <c r="P973" s="6"/>
      <c r="Q973" s="6"/>
      <c r="R973" s="6"/>
      <c r="S973" s="6"/>
      <c r="T973" s="6"/>
      <c r="U973" s="6"/>
    </row>
    <row r="974" spans="1:21">
      <c r="A974" s="82"/>
      <c r="B974" s="83"/>
      <c r="C974" s="82"/>
      <c r="D974" s="82"/>
      <c r="E974" s="82"/>
      <c r="F974" s="82"/>
      <c r="G974" s="82"/>
      <c r="H974" s="83"/>
      <c r="I974" s="83"/>
      <c r="J974" s="83"/>
      <c r="K974" s="6"/>
      <c r="L974" s="6"/>
      <c r="M974" s="6"/>
      <c r="N974" s="6"/>
      <c r="O974" s="6"/>
      <c r="P974" s="6"/>
      <c r="Q974" s="6"/>
      <c r="R974" s="6"/>
      <c r="S974" s="6"/>
      <c r="T974" s="6"/>
      <c r="U974" s="6"/>
    </row>
    <row r="975" spans="1:21">
      <c r="A975" s="82"/>
      <c r="B975" s="83"/>
      <c r="C975" s="82"/>
      <c r="D975" s="82"/>
      <c r="E975" s="82"/>
      <c r="F975" s="82"/>
      <c r="G975" s="82"/>
      <c r="H975" s="83"/>
      <c r="I975" s="83"/>
      <c r="J975" s="83"/>
      <c r="K975" s="6"/>
      <c r="L975" s="6"/>
      <c r="M975" s="6"/>
      <c r="N975" s="6"/>
      <c r="O975" s="6"/>
      <c r="P975" s="6"/>
      <c r="Q975" s="6"/>
      <c r="R975" s="6"/>
      <c r="S975" s="6"/>
      <c r="T975" s="6"/>
      <c r="U975" s="6"/>
    </row>
    <row r="976" spans="1:21">
      <c r="A976" s="82"/>
      <c r="B976" s="83"/>
      <c r="C976" s="82"/>
      <c r="D976" s="82"/>
      <c r="E976" s="82"/>
      <c r="F976" s="82"/>
      <c r="G976" s="82"/>
      <c r="H976" s="83"/>
      <c r="I976" s="83"/>
      <c r="J976" s="83"/>
      <c r="K976" s="6"/>
      <c r="L976" s="6"/>
      <c r="M976" s="6"/>
      <c r="N976" s="6"/>
      <c r="O976" s="6"/>
      <c r="P976" s="6"/>
      <c r="Q976" s="6"/>
      <c r="R976" s="6"/>
      <c r="S976" s="6"/>
      <c r="T976" s="6"/>
      <c r="U976" s="6"/>
    </row>
    <row r="977" spans="1:21">
      <c r="A977" s="82"/>
      <c r="B977" s="83"/>
      <c r="C977" s="82"/>
      <c r="D977" s="82"/>
      <c r="E977" s="82"/>
      <c r="F977" s="82"/>
      <c r="G977" s="82"/>
      <c r="H977" s="83"/>
      <c r="I977" s="83"/>
      <c r="J977" s="83"/>
      <c r="K977" s="6"/>
      <c r="L977" s="6"/>
      <c r="M977" s="6"/>
      <c r="N977" s="6"/>
      <c r="O977" s="6"/>
      <c r="P977" s="6"/>
      <c r="Q977" s="6"/>
      <c r="R977" s="6"/>
      <c r="S977" s="6"/>
      <c r="T977" s="6"/>
      <c r="U977" s="6"/>
    </row>
    <row r="978" spans="1:21">
      <c r="A978" s="82"/>
      <c r="B978" s="83"/>
      <c r="C978" s="82"/>
      <c r="D978" s="82"/>
      <c r="E978" s="82"/>
      <c r="F978" s="82"/>
      <c r="G978" s="82"/>
      <c r="H978" s="83"/>
      <c r="I978" s="83"/>
      <c r="J978" s="83"/>
      <c r="K978" s="6"/>
      <c r="L978" s="6"/>
      <c r="M978" s="6"/>
      <c r="N978" s="6"/>
      <c r="O978" s="6"/>
      <c r="P978" s="6"/>
      <c r="Q978" s="6"/>
      <c r="R978" s="6"/>
      <c r="S978" s="6"/>
      <c r="T978" s="6"/>
      <c r="U978" s="6"/>
    </row>
    <row r="979" spans="1:21">
      <c r="A979" s="82"/>
      <c r="B979" s="83"/>
      <c r="C979" s="82"/>
      <c r="D979" s="82"/>
      <c r="E979" s="82"/>
      <c r="F979" s="82"/>
      <c r="G979" s="82"/>
      <c r="H979" s="83"/>
      <c r="I979" s="83"/>
      <c r="J979" s="83"/>
      <c r="K979" s="6"/>
      <c r="L979" s="6"/>
      <c r="M979" s="6"/>
      <c r="N979" s="6"/>
      <c r="O979" s="6"/>
      <c r="P979" s="6"/>
      <c r="Q979" s="6"/>
      <c r="R979" s="6"/>
      <c r="S979" s="6"/>
      <c r="T979" s="6"/>
      <c r="U979" s="6"/>
    </row>
    <row r="980" spans="1:21">
      <c r="A980" s="82"/>
      <c r="B980" s="83"/>
      <c r="C980" s="82"/>
      <c r="D980" s="82"/>
      <c r="E980" s="82"/>
      <c r="F980" s="82"/>
      <c r="G980" s="82"/>
      <c r="H980" s="83"/>
      <c r="I980" s="83"/>
      <c r="J980" s="83"/>
      <c r="K980" s="6"/>
      <c r="L980" s="6"/>
      <c r="M980" s="6"/>
      <c r="N980" s="6"/>
      <c r="O980" s="6"/>
      <c r="P980" s="6"/>
      <c r="Q980" s="6"/>
      <c r="R980" s="6"/>
      <c r="S980" s="6"/>
      <c r="T980" s="6"/>
      <c r="U980" s="6"/>
    </row>
    <row r="981" spans="1:21">
      <c r="A981" s="82"/>
      <c r="B981" s="83"/>
      <c r="C981" s="82"/>
      <c r="D981" s="82"/>
      <c r="E981" s="82"/>
      <c r="F981" s="82"/>
      <c r="G981" s="82"/>
      <c r="H981" s="83"/>
      <c r="I981" s="83"/>
      <c r="J981" s="83"/>
      <c r="K981" s="6"/>
      <c r="L981" s="6"/>
      <c r="M981" s="6"/>
      <c r="N981" s="6"/>
      <c r="O981" s="6"/>
      <c r="P981" s="6"/>
      <c r="Q981" s="6"/>
      <c r="R981" s="6"/>
      <c r="S981" s="6"/>
      <c r="T981" s="6"/>
      <c r="U981" s="6"/>
    </row>
    <row r="982" spans="1:21">
      <c r="A982" s="82"/>
      <c r="B982" s="83"/>
      <c r="C982" s="82"/>
      <c r="D982" s="82"/>
      <c r="E982" s="82"/>
      <c r="F982" s="82"/>
      <c r="G982" s="82"/>
      <c r="H982" s="83"/>
      <c r="I982" s="83"/>
      <c r="J982" s="83"/>
      <c r="K982" s="6"/>
      <c r="L982" s="6"/>
      <c r="M982" s="6"/>
      <c r="N982" s="6"/>
      <c r="O982" s="6"/>
      <c r="P982" s="6"/>
      <c r="Q982" s="6"/>
      <c r="R982" s="6"/>
      <c r="S982" s="6"/>
      <c r="T982" s="6"/>
      <c r="U982" s="6"/>
    </row>
    <row r="983" spans="1:21">
      <c r="A983" s="82"/>
      <c r="B983" s="83"/>
      <c r="C983" s="82"/>
      <c r="D983" s="82"/>
      <c r="E983" s="82"/>
      <c r="F983" s="82"/>
      <c r="G983" s="82"/>
      <c r="H983" s="83"/>
      <c r="I983" s="83"/>
      <c r="J983" s="83"/>
      <c r="K983" s="6"/>
      <c r="L983" s="6"/>
      <c r="M983" s="6"/>
      <c r="N983" s="6"/>
      <c r="O983" s="6"/>
      <c r="P983" s="6"/>
      <c r="Q983" s="6"/>
      <c r="R983" s="6"/>
      <c r="S983" s="6"/>
      <c r="T983" s="6"/>
      <c r="U983" s="6"/>
    </row>
    <row r="984" spans="1:21">
      <c r="A984" s="82"/>
      <c r="B984" s="83"/>
      <c r="C984" s="82"/>
      <c r="D984" s="82"/>
      <c r="E984" s="82"/>
      <c r="F984" s="82"/>
      <c r="G984" s="82"/>
      <c r="H984" s="83"/>
      <c r="I984" s="83"/>
      <c r="J984" s="83"/>
      <c r="K984" s="6"/>
      <c r="L984" s="6"/>
      <c r="M984" s="6"/>
      <c r="N984" s="6"/>
      <c r="O984" s="6"/>
      <c r="P984" s="6"/>
      <c r="Q984" s="6"/>
      <c r="R984" s="6"/>
      <c r="S984" s="6"/>
      <c r="T984" s="6"/>
      <c r="U984" s="6"/>
    </row>
    <row r="985" spans="1:21">
      <c r="A985" s="82"/>
      <c r="B985" s="83"/>
      <c r="C985" s="82"/>
      <c r="D985" s="82"/>
      <c r="E985" s="82"/>
      <c r="F985" s="82"/>
      <c r="G985" s="82"/>
      <c r="H985" s="83"/>
      <c r="I985" s="83"/>
      <c r="J985" s="83"/>
      <c r="K985" s="6"/>
      <c r="L985" s="6"/>
      <c r="M985" s="6"/>
      <c r="N985" s="6"/>
      <c r="O985" s="6"/>
      <c r="P985" s="6"/>
      <c r="Q985" s="6"/>
      <c r="R985" s="6"/>
      <c r="S985" s="6"/>
      <c r="T985" s="6"/>
      <c r="U985" s="6"/>
    </row>
    <row r="986" spans="1:21">
      <c r="A986" s="82"/>
      <c r="B986" s="83"/>
      <c r="C986" s="82"/>
      <c r="D986" s="82"/>
      <c r="E986" s="82"/>
      <c r="F986" s="82"/>
      <c r="G986" s="82"/>
      <c r="H986" s="83"/>
      <c r="I986" s="83"/>
      <c r="J986" s="83"/>
      <c r="K986" s="6"/>
      <c r="L986" s="6"/>
      <c r="M986" s="6"/>
      <c r="N986" s="6"/>
      <c r="O986" s="6"/>
      <c r="P986" s="6"/>
      <c r="Q986" s="6"/>
      <c r="R986" s="6"/>
      <c r="S986" s="6"/>
      <c r="T986" s="6"/>
      <c r="U986" s="6"/>
    </row>
    <row r="987" spans="1:21">
      <c r="A987" s="82"/>
      <c r="B987" s="83"/>
      <c r="C987" s="82"/>
      <c r="D987" s="82"/>
      <c r="E987" s="82"/>
      <c r="F987" s="82"/>
      <c r="G987" s="82"/>
      <c r="H987" s="83"/>
      <c r="I987" s="83"/>
      <c r="J987" s="83"/>
      <c r="K987" s="6"/>
      <c r="L987" s="6"/>
      <c r="M987" s="6"/>
      <c r="N987" s="6"/>
      <c r="O987" s="6"/>
      <c r="P987" s="6"/>
      <c r="Q987" s="6"/>
      <c r="R987" s="6"/>
      <c r="S987" s="6"/>
      <c r="T987" s="6"/>
      <c r="U987" s="6"/>
    </row>
    <row r="988" spans="1:21">
      <c r="A988" s="82"/>
      <c r="B988" s="83"/>
      <c r="C988" s="82"/>
      <c r="D988" s="82"/>
      <c r="E988" s="82"/>
      <c r="F988" s="82"/>
      <c r="G988" s="82"/>
      <c r="H988" s="83"/>
      <c r="I988" s="83"/>
      <c r="J988" s="83"/>
      <c r="K988" s="6"/>
      <c r="L988" s="6"/>
      <c r="M988" s="6"/>
      <c r="N988" s="6"/>
      <c r="O988" s="6"/>
      <c r="P988" s="6"/>
      <c r="Q988" s="6"/>
      <c r="R988" s="6"/>
      <c r="S988" s="6"/>
      <c r="T988" s="6"/>
      <c r="U988" s="6"/>
    </row>
    <row r="989" spans="1:21">
      <c r="A989" s="82"/>
      <c r="B989" s="83"/>
      <c r="C989" s="82"/>
      <c r="D989" s="82"/>
      <c r="E989" s="82"/>
      <c r="F989" s="82"/>
      <c r="G989" s="82"/>
      <c r="H989" s="83"/>
      <c r="I989" s="83"/>
      <c r="J989" s="83"/>
      <c r="K989" s="6"/>
      <c r="L989" s="6"/>
      <c r="M989" s="6"/>
      <c r="N989" s="6"/>
      <c r="O989" s="6"/>
      <c r="P989" s="6"/>
      <c r="Q989" s="6"/>
      <c r="R989" s="6"/>
      <c r="S989" s="6"/>
      <c r="T989" s="6"/>
      <c r="U989" s="6"/>
    </row>
    <row r="990" spans="1:21">
      <c r="A990" s="82"/>
      <c r="B990" s="83"/>
      <c r="C990" s="82"/>
      <c r="D990" s="82"/>
      <c r="E990" s="82"/>
      <c r="F990" s="82"/>
      <c r="G990" s="82"/>
      <c r="H990" s="83"/>
      <c r="I990" s="83"/>
      <c r="J990" s="83"/>
      <c r="K990" s="6"/>
      <c r="L990" s="6"/>
      <c r="M990" s="6"/>
      <c r="N990" s="6"/>
      <c r="O990" s="6"/>
      <c r="P990" s="6"/>
      <c r="Q990" s="6"/>
      <c r="R990" s="6"/>
      <c r="S990" s="6"/>
      <c r="T990" s="6"/>
      <c r="U990" s="6"/>
    </row>
    <row r="991" spans="1:21">
      <c r="A991" s="82"/>
      <c r="B991" s="83"/>
      <c r="C991" s="82"/>
      <c r="D991" s="82"/>
      <c r="E991" s="82"/>
      <c r="F991" s="82"/>
      <c r="G991" s="82"/>
      <c r="H991" s="83"/>
      <c r="I991" s="83"/>
      <c r="J991" s="83"/>
      <c r="K991" s="6"/>
      <c r="L991" s="6"/>
      <c r="M991" s="6"/>
      <c r="N991" s="6"/>
      <c r="O991" s="6"/>
      <c r="P991" s="6"/>
      <c r="Q991" s="6"/>
      <c r="R991" s="6"/>
      <c r="S991" s="6"/>
      <c r="T991" s="6"/>
      <c r="U991" s="6"/>
    </row>
    <row r="992" spans="1:21">
      <c r="A992" s="82"/>
      <c r="B992" s="83"/>
      <c r="C992" s="82"/>
      <c r="D992" s="82"/>
      <c r="E992" s="82"/>
      <c r="F992" s="82"/>
      <c r="G992" s="82"/>
      <c r="H992" s="83"/>
      <c r="I992" s="83"/>
      <c r="J992" s="83"/>
      <c r="K992" s="6"/>
      <c r="L992" s="6"/>
      <c r="M992" s="6"/>
      <c r="N992" s="6"/>
      <c r="O992" s="6"/>
      <c r="P992" s="6"/>
      <c r="Q992" s="6"/>
      <c r="R992" s="6"/>
      <c r="S992" s="6"/>
      <c r="T992" s="6"/>
      <c r="U992" s="6"/>
    </row>
    <row r="993" spans="1:21">
      <c r="A993" s="82"/>
      <c r="B993" s="83"/>
      <c r="C993" s="82"/>
      <c r="D993" s="82"/>
      <c r="E993" s="82"/>
      <c r="F993" s="82"/>
      <c r="G993" s="82"/>
      <c r="H993" s="83"/>
      <c r="I993" s="83"/>
      <c r="J993" s="83"/>
      <c r="K993" s="6"/>
      <c r="L993" s="6"/>
      <c r="M993" s="6"/>
      <c r="N993" s="6"/>
      <c r="O993" s="6"/>
      <c r="P993" s="6"/>
      <c r="Q993" s="6"/>
      <c r="R993" s="6"/>
      <c r="S993" s="6"/>
      <c r="T993" s="6"/>
      <c r="U993" s="6"/>
    </row>
    <row r="994" spans="1:21">
      <c r="A994" s="82"/>
      <c r="B994" s="83"/>
      <c r="C994" s="82"/>
      <c r="D994" s="82"/>
      <c r="E994" s="82"/>
      <c r="F994" s="82"/>
      <c r="G994" s="82"/>
      <c r="H994" s="83"/>
      <c r="I994" s="83"/>
      <c r="J994" s="83"/>
      <c r="K994" s="6"/>
      <c r="L994" s="6"/>
      <c r="M994" s="6"/>
      <c r="N994" s="6"/>
      <c r="O994" s="6"/>
      <c r="P994" s="6"/>
      <c r="Q994" s="6"/>
      <c r="R994" s="6"/>
      <c r="S994" s="6"/>
      <c r="T994" s="6"/>
      <c r="U994" s="6"/>
    </row>
    <row r="995" spans="1:21">
      <c r="A995" s="82"/>
      <c r="B995" s="83"/>
      <c r="C995" s="82"/>
      <c r="D995" s="82"/>
      <c r="E995" s="82"/>
      <c r="F995" s="82"/>
      <c r="G995" s="82"/>
      <c r="H995" s="83"/>
      <c r="I995" s="83"/>
      <c r="J995" s="83"/>
      <c r="K995" s="6"/>
      <c r="L995" s="6"/>
      <c r="M995" s="6"/>
      <c r="N995" s="6"/>
      <c r="O995" s="6"/>
      <c r="P995" s="6"/>
      <c r="Q995" s="6"/>
      <c r="R995" s="6"/>
      <c r="S995" s="6"/>
      <c r="T995" s="6"/>
      <c r="U995" s="6"/>
    </row>
    <row r="996" spans="1:21">
      <c r="A996" s="82"/>
      <c r="B996" s="83"/>
      <c r="C996" s="82"/>
      <c r="D996" s="82"/>
      <c r="E996" s="82"/>
      <c r="F996" s="82"/>
      <c r="G996" s="82"/>
      <c r="H996" s="83"/>
      <c r="I996" s="83"/>
      <c r="J996" s="83"/>
      <c r="K996" s="6"/>
      <c r="L996" s="6"/>
      <c r="M996" s="6"/>
      <c r="N996" s="6"/>
      <c r="O996" s="6"/>
      <c r="P996" s="6"/>
      <c r="Q996" s="6"/>
      <c r="R996" s="6"/>
      <c r="S996" s="6"/>
      <c r="T996" s="6"/>
      <c r="U996" s="6"/>
    </row>
    <row r="997" spans="1:21">
      <c r="A997" s="82"/>
      <c r="B997" s="83"/>
      <c r="C997" s="82"/>
      <c r="D997" s="82"/>
      <c r="E997" s="82"/>
      <c r="F997" s="82"/>
      <c r="G997" s="82"/>
      <c r="H997" s="83"/>
      <c r="I997" s="83"/>
      <c r="J997" s="83"/>
      <c r="K997" s="6"/>
      <c r="L997" s="6"/>
      <c r="M997" s="6"/>
      <c r="N997" s="6"/>
      <c r="O997" s="6"/>
      <c r="P997" s="6"/>
      <c r="Q997" s="6"/>
      <c r="R997" s="6"/>
      <c r="S997" s="6"/>
      <c r="T997" s="6"/>
      <c r="U997" s="6"/>
    </row>
    <row r="998" spans="1:21">
      <c r="A998" s="82"/>
      <c r="B998" s="83"/>
      <c r="C998" s="82"/>
      <c r="D998" s="82"/>
      <c r="E998" s="82"/>
      <c r="F998" s="82"/>
      <c r="G998" s="82"/>
      <c r="H998" s="83"/>
      <c r="I998" s="83"/>
      <c r="J998" s="83"/>
      <c r="K998" s="6"/>
      <c r="L998" s="6"/>
      <c r="M998" s="6"/>
      <c r="N998" s="6"/>
      <c r="O998" s="6"/>
      <c r="P998" s="6"/>
      <c r="Q998" s="6"/>
      <c r="R998" s="6"/>
      <c r="S998" s="6"/>
      <c r="T998" s="6"/>
      <c r="U998" s="6"/>
    </row>
    <row r="999" spans="1:21">
      <c r="A999" s="82"/>
      <c r="B999" s="83"/>
      <c r="C999" s="82"/>
      <c r="D999" s="82"/>
      <c r="E999" s="82"/>
      <c r="F999" s="82"/>
      <c r="G999" s="82"/>
      <c r="H999" s="83"/>
      <c r="I999" s="83"/>
      <c r="J999" s="83"/>
      <c r="K999" s="6"/>
      <c r="L999" s="6"/>
      <c r="M999" s="6"/>
      <c r="N999" s="6"/>
      <c r="O999" s="6"/>
      <c r="P999" s="6"/>
      <c r="Q999" s="6"/>
      <c r="R999" s="6"/>
      <c r="S999" s="6"/>
      <c r="T999" s="6"/>
      <c r="U999" s="6"/>
    </row>
    <row r="1000" spans="1:21">
      <c r="A1000" s="82"/>
      <c r="B1000" s="83"/>
      <c r="C1000" s="82"/>
      <c r="D1000" s="82"/>
      <c r="E1000" s="82"/>
      <c r="F1000" s="82"/>
      <c r="G1000" s="82"/>
      <c r="H1000" s="83"/>
      <c r="I1000" s="83"/>
      <c r="J1000" s="83"/>
      <c r="K1000" s="6"/>
      <c r="L1000" s="6"/>
      <c r="M1000" s="6"/>
      <c r="N1000" s="6"/>
      <c r="O1000" s="6"/>
      <c r="P1000" s="6"/>
      <c r="Q1000" s="6"/>
      <c r="R1000" s="6"/>
      <c r="S1000" s="6"/>
      <c r="T1000" s="6"/>
      <c r="U1000" s="6"/>
    </row>
    <row r="1001" spans="1:21">
      <c r="A1001" s="82"/>
      <c r="B1001" s="83"/>
      <c r="C1001" s="82"/>
      <c r="D1001" s="82"/>
      <c r="E1001" s="82"/>
      <c r="F1001" s="82"/>
      <c r="G1001" s="82"/>
      <c r="H1001" s="83"/>
      <c r="I1001" s="83"/>
      <c r="J1001" s="83"/>
      <c r="K1001" s="6"/>
      <c r="L1001" s="6"/>
      <c r="M1001" s="6"/>
      <c r="N1001" s="6"/>
      <c r="O1001" s="6"/>
      <c r="P1001" s="6"/>
      <c r="Q1001" s="6"/>
      <c r="R1001" s="6"/>
      <c r="S1001" s="6"/>
      <c r="T1001" s="6"/>
      <c r="U1001" s="6"/>
    </row>
    <row r="1002" spans="1:21">
      <c r="A1002" s="82"/>
      <c r="B1002" s="83"/>
      <c r="C1002" s="82"/>
      <c r="D1002" s="82"/>
      <c r="E1002" s="82"/>
      <c r="F1002" s="82"/>
      <c r="G1002" s="82"/>
      <c r="H1002" s="83"/>
      <c r="I1002" s="83"/>
      <c r="J1002" s="83"/>
      <c r="K1002" s="6"/>
      <c r="L1002" s="6"/>
      <c r="M1002" s="6"/>
      <c r="N1002" s="6"/>
      <c r="O1002" s="6"/>
      <c r="P1002" s="6"/>
      <c r="Q1002" s="6"/>
      <c r="R1002" s="6"/>
      <c r="S1002" s="6"/>
      <c r="T1002" s="6"/>
      <c r="U1002" s="6"/>
    </row>
    <row r="1003" spans="1:21">
      <c r="A1003" s="82"/>
      <c r="B1003" s="83"/>
      <c r="C1003" s="82"/>
      <c r="D1003" s="82"/>
      <c r="E1003" s="82"/>
      <c r="F1003" s="82"/>
      <c r="G1003" s="82"/>
      <c r="H1003" s="83"/>
      <c r="I1003" s="83"/>
      <c r="J1003" s="83"/>
      <c r="K1003" s="6"/>
      <c r="L1003" s="6"/>
      <c r="M1003" s="6"/>
      <c r="N1003" s="6"/>
      <c r="O1003" s="6"/>
      <c r="P1003" s="6"/>
      <c r="Q1003" s="6"/>
      <c r="R1003" s="6"/>
      <c r="S1003" s="6"/>
      <c r="T1003" s="6"/>
      <c r="U1003" s="6"/>
    </row>
    <row r="1004" spans="1:21">
      <c r="A1004" s="82"/>
      <c r="B1004" s="83"/>
      <c r="C1004" s="82"/>
      <c r="D1004" s="82"/>
      <c r="E1004" s="82"/>
      <c r="F1004" s="82"/>
      <c r="G1004" s="82"/>
      <c r="H1004" s="83"/>
      <c r="I1004" s="83"/>
      <c r="J1004" s="83"/>
      <c r="K1004" s="6"/>
      <c r="L1004" s="6"/>
      <c r="M1004" s="6"/>
      <c r="N1004" s="6"/>
      <c r="O1004" s="6"/>
      <c r="P1004" s="6"/>
      <c r="Q1004" s="6"/>
      <c r="R1004" s="6"/>
      <c r="S1004" s="6"/>
      <c r="T1004" s="6"/>
      <c r="U1004" s="6"/>
    </row>
    <row r="1005" spans="1:21">
      <c r="A1005" s="82"/>
      <c r="B1005" s="83"/>
      <c r="C1005" s="82"/>
      <c r="D1005" s="82"/>
      <c r="E1005" s="82"/>
      <c r="F1005" s="82"/>
      <c r="G1005" s="82"/>
      <c r="H1005" s="83"/>
      <c r="I1005" s="83"/>
      <c r="J1005" s="83"/>
      <c r="K1005" s="6"/>
      <c r="L1005" s="6"/>
      <c r="M1005" s="6"/>
      <c r="N1005" s="6"/>
      <c r="O1005" s="6"/>
      <c r="P1005" s="6"/>
      <c r="Q1005" s="6"/>
      <c r="R1005" s="6"/>
      <c r="S1005" s="6"/>
      <c r="T1005" s="6"/>
      <c r="U1005" s="6"/>
    </row>
    <row r="1006" spans="1:21">
      <c r="A1006" s="82"/>
      <c r="B1006" s="83"/>
      <c r="C1006" s="82"/>
      <c r="D1006" s="82"/>
      <c r="E1006" s="82"/>
      <c r="F1006" s="82"/>
      <c r="G1006" s="82"/>
      <c r="H1006" s="83"/>
      <c r="I1006" s="83"/>
      <c r="J1006" s="83"/>
      <c r="K1006" s="6"/>
      <c r="L1006" s="6"/>
      <c r="M1006" s="6"/>
      <c r="N1006" s="6"/>
      <c r="O1006" s="6"/>
      <c r="P1006" s="6"/>
      <c r="Q1006" s="6"/>
      <c r="R1006" s="6"/>
      <c r="S1006" s="6"/>
      <c r="T1006" s="6"/>
      <c r="U1006" s="6"/>
    </row>
    <row r="1007" spans="1:21">
      <c r="A1007" s="82"/>
      <c r="B1007" s="83"/>
      <c r="C1007" s="82"/>
      <c r="D1007" s="82"/>
      <c r="E1007" s="82"/>
      <c r="F1007" s="82"/>
      <c r="G1007" s="82"/>
      <c r="H1007" s="83"/>
      <c r="I1007" s="83"/>
      <c r="J1007" s="83"/>
      <c r="K1007" s="6"/>
      <c r="L1007" s="6"/>
      <c r="M1007" s="6"/>
      <c r="N1007" s="6"/>
      <c r="O1007" s="6"/>
      <c r="P1007" s="6"/>
      <c r="Q1007" s="6"/>
      <c r="R1007" s="6"/>
      <c r="S1007" s="6"/>
      <c r="T1007" s="6"/>
      <c r="U1007" s="6"/>
    </row>
    <row r="1008" spans="1:21">
      <c r="A1008" s="82"/>
      <c r="B1008" s="83"/>
      <c r="C1008" s="82"/>
      <c r="D1008" s="82"/>
      <c r="E1008" s="82"/>
      <c r="F1008" s="82"/>
      <c r="G1008" s="82"/>
      <c r="H1008" s="83"/>
      <c r="I1008" s="83"/>
      <c r="J1008" s="83"/>
      <c r="K1008" s="6"/>
      <c r="L1008" s="6"/>
      <c r="M1008" s="6"/>
      <c r="N1008" s="6"/>
      <c r="O1008" s="6"/>
      <c r="P1008" s="6"/>
      <c r="Q1008" s="6"/>
      <c r="R1008" s="6"/>
      <c r="S1008" s="6"/>
      <c r="T1008" s="6"/>
      <c r="U1008" s="6"/>
    </row>
    <row r="1009" spans="1:21">
      <c r="A1009" s="82"/>
      <c r="B1009" s="83"/>
      <c r="C1009" s="82"/>
      <c r="D1009" s="82"/>
      <c r="E1009" s="82"/>
      <c r="F1009" s="82"/>
      <c r="G1009" s="82"/>
      <c r="H1009" s="83"/>
      <c r="I1009" s="83"/>
      <c r="J1009" s="83"/>
      <c r="K1009" s="6"/>
      <c r="L1009" s="6"/>
      <c r="M1009" s="6"/>
      <c r="N1009" s="6"/>
      <c r="O1009" s="6"/>
      <c r="P1009" s="6"/>
      <c r="Q1009" s="6"/>
      <c r="R1009" s="6"/>
      <c r="S1009" s="6"/>
      <c r="T1009" s="6"/>
      <c r="U1009" s="6"/>
    </row>
  </sheetData>
  <mergeCells count="2">
    <mergeCell ref="A1:B1"/>
    <mergeCell ref="A48:I48"/>
  </mergeCells>
  <conditionalFormatting sqref="D3:D47">
    <cfRule type="containsText" dxfId="42" priority="4" operator="containsText" text="AI">
      <formula>NOT(ISERROR(SEARCH(("AI"),(D3))))</formula>
    </cfRule>
    <cfRule type="containsText" dxfId="41" priority="5" operator="containsText" text="DS">
      <formula>NOT(ISERROR(SEARCH(("DS"),(D3))))</formula>
    </cfRule>
  </conditionalFormatting>
  <conditionalFormatting sqref="D16:D17 H16:J17 D25 H25:J25 D31:D33 H31:J33">
    <cfRule type="containsText" dxfId="40" priority="1" operator="containsText" text="Yes">
      <formula>NOT(ISERROR(SEARCH(("Yes"),(D16))))</formula>
    </cfRule>
  </conditionalFormatting>
  <conditionalFormatting sqref="D3:E47">
    <cfRule type="colorScale" priority="2">
      <colorScale>
        <cfvo type="percentile" val="0"/>
        <cfvo type="percentile" val="50"/>
        <cfvo type="percentile" val="100"/>
        <color rgb="FF6AA84F"/>
        <color rgb="FFFFFFFF"/>
        <color rgb="FFA61C00"/>
      </colorScale>
    </cfRule>
  </conditionalFormatting>
  <conditionalFormatting sqref="D3:J47">
    <cfRule type="containsText" dxfId="39" priority="3" operator="containsText" text="Null">
      <formula>NOT(ISERROR(SEARCH(("Null"),(D3))))</formula>
    </cfRule>
  </conditionalFormatting>
  <hyperlinks>
    <hyperlink ref="A1" r:id="rId1" xr:uid="{00000000-0004-0000-0000-000000000000}"/>
    <hyperlink ref="A48" r:id="rId2" xr:uid="{00000000-0004-0000-0000-000001000000}"/>
  </hyperlinks>
  <pageMargins left="0.75" right="0.75" top="1" bottom="1" header="0" footer="0"/>
  <pageSetup orientation="landscape"/>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F9CB9C"/>
  </sheetPr>
  <dimension ref="A1:U908"/>
  <sheetViews>
    <sheetView workbookViewId="0">
      <pane ySplit="2" topLeftCell="A3" activePane="bottomLeft" state="frozen"/>
      <selection pane="bottomLeft" activeCell="B4" sqref="B4"/>
    </sheetView>
  </sheetViews>
  <sheetFormatPr baseColWidth="10" defaultColWidth="14.5" defaultRowHeight="15" customHeight="1"/>
  <cols>
    <col min="1" max="1" width="10.83203125" customWidth="1"/>
    <col min="2" max="2" width="58.1640625" customWidth="1"/>
    <col min="3" max="3" width="23.5" customWidth="1"/>
    <col min="4" max="4" width="13.6640625" customWidth="1"/>
    <col min="5" max="5" width="19.5" customWidth="1"/>
    <col min="6" max="6" width="15.5" customWidth="1"/>
    <col min="7" max="7" width="19" customWidth="1"/>
    <col min="8" max="9" width="40.1640625" customWidth="1"/>
    <col min="10" max="21" width="8.6640625" customWidth="1"/>
  </cols>
  <sheetData>
    <row r="1" spans="1:21">
      <c r="A1" s="288" t="s">
        <v>537</v>
      </c>
      <c r="B1" s="289"/>
      <c r="C1" s="1" t="s">
        <v>405</v>
      </c>
      <c r="D1" s="3" t="s">
        <v>3</v>
      </c>
      <c r="E1" s="3" t="s">
        <v>4</v>
      </c>
      <c r="F1" s="1" t="s">
        <v>5</v>
      </c>
      <c r="G1" s="183" t="s">
        <v>6</v>
      </c>
      <c r="H1" s="5" t="s">
        <v>7</v>
      </c>
      <c r="I1" s="2" t="s">
        <v>8</v>
      </c>
      <c r="J1" s="6"/>
      <c r="K1" s="6"/>
      <c r="L1" s="6"/>
      <c r="M1" s="6"/>
      <c r="N1" s="6"/>
      <c r="O1" s="6"/>
      <c r="P1" s="6"/>
      <c r="Q1" s="6"/>
      <c r="R1" s="6"/>
      <c r="S1" s="6"/>
      <c r="T1" s="6"/>
      <c r="U1" s="6"/>
    </row>
    <row r="2" spans="1:21">
      <c r="A2" s="184" t="s">
        <v>9</v>
      </c>
      <c r="B2" s="185" t="s">
        <v>10</v>
      </c>
      <c r="C2" s="186" t="s">
        <v>406</v>
      </c>
      <c r="D2" s="186" t="s">
        <v>13</v>
      </c>
      <c r="E2" s="186" t="s">
        <v>14</v>
      </c>
      <c r="F2" s="186" t="s">
        <v>15</v>
      </c>
      <c r="G2" s="186" t="s">
        <v>16</v>
      </c>
      <c r="H2" s="187" t="s">
        <v>17</v>
      </c>
      <c r="I2" s="10" t="s">
        <v>18</v>
      </c>
      <c r="J2" s="6"/>
      <c r="K2" s="6"/>
      <c r="L2" s="6"/>
      <c r="M2" s="6"/>
      <c r="N2" s="6"/>
      <c r="O2" s="6"/>
      <c r="P2" s="6"/>
      <c r="Q2" s="6"/>
      <c r="R2" s="6"/>
      <c r="S2" s="6"/>
      <c r="T2" s="6"/>
      <c r="U2" s="6"/>
    </row>
    <row r="3" spans="1:21">
      <c r="A3" s="12" t="s">
        <v>538</v>
      </c>
      <c r="B3" s="188" t="s">
        <v>539</v>
      </c>
      <c r="C3" s="69" t="s">
        <v>540</v>
      </c>
      <c r="D3" s="13">
        <v>17</v>
      </c>
      <c r="E3" s="13" t="s">
        <v>45</v>
      </c>
      <c r="F3" s="13" t="s">
        <v>463</v>
      </c>
      <c r="G3" s="72">
        <v>0.2</v>
      </c>
      <c r="H3" s="17" t="s">
        <v>541</v>
      </c>
      <c r="I3" s="15"/>
      <c r="J3" s="6"/>
      <c r="K3" s="6"/>
      <c r="L3" s="6"/>
      <c r="M3" s="6"/>
      <c r="N3" s="6"/>
      <c r="O3" s="6"/>
      <c r="P3" s="6"/>
      <c r="Q3" s="6"/>
      <c r="R3" s="6"/>
      <c r="S3" s="6"/>
      <c r="T3" s="6"/>
      <c r="U3" s="6"/>
    </row>
    <row r="4" spans="1:21">
      <c r="A4" s="18" t="s">
        <v>542</v>
      </c>
      <c r="B4" s="189" t="s">
        <v>543</v>
      </c>
      <c r="C4" s="70" t="s">
        <v>540</v>
      </c>
      <c r="D4" s="19">
        <v>20</v>
      </c>
      <c r="E4" s="19" t="s">
        <v>45</v>
      </c>
      <c r="F4" s="19" t="s">
        <v>463</v>
      </c>
      <c r="G4" s="73">
        <v>0.2</v>
      </c>
      <c r="H4" s="23" t="s">
        <v>541</v>
      </c>
      <c r="I4" s="21"/>
      <c r="J4" s="6"/>
      <c r="K4" s="6"/>
      <c r="L4" s="6"/>
      <c r="M4" s="6"/>
      <c r="N4" s="6"/>
      <c r="O4" s="6"/>
      <c r="P4" s="6"/>
      <c r="Q4" s="6"/>
      <c r="R4" s="6"/>
      <c r="S4" s="6"/>
      <c r="T4" s="6"/>
      <c r="U4" s="6"/>
    </row>
    <row r="5" spans="1:21">
      <c r="A5" s="24" t="s">
        <v>544</v>
      </c>
      <c r="B5" s="193" t="s">
        <v>545</v>
      </c>
      <c r="C5" s="71" t="s">
        <v>540</v>
      </c>
      <c r="D5" s="25">
        <v>13</v>
      </c>
      <c r="E5" s="25" t="s">
        <v>45</v>
      </c>
      <c r="F5" s="25" t="s">
        <v>463</v>
      </c>
      <c r="G5" s="28">
        <v>0.2</v>
      </c>
      <c r="H5" s="29" t="s">
        <v>541</v>
      </c>
      <c r="I5" s="27"/>
      <c r="J5" s="6"/>
      <c r="K5" s="6"/>
      <c r="L5" s="6"/>
      <c r="M5" s="6"/>
      <c r="N5" s="6"/>
      <c r="O5" s="6"/>
      <c r="P5" s="6"/>
      <c r="Q5" s="6"/>
      <c r="R5" s="6"/>
      <c r="S5" s="6"/>
      <c r="T5" s="6"/>
      <c r="U5" s="6"/>
    </row>
    <row r="6" spans="1:21">
      <c r="A6" s="12" t="s">
        <v>546</v>
      </c>
      <c r="B6" s="188" t="s">
        <v>547</v>
      </c>
      <c r="C6" s="69" t="s">
        <v>540</v>
      </c>
      <c r="D6" s="13">
        <v>23</v>
      </c>
      <c r="E6" s="13" t="s">
        <v>45</v>
      </c>
      <c r="F6" s="13" t="s">
        <v>50</v>
      </c>
      <c r="G6" s="72">
        <v>0.3</v>
      </c>
      <c r="H6" s="17" t="s">
        <v>548</v>
      </c>
      <c r="I6" s="15"/>
      <c r="J6" s="6"/>
      <c r="K6" s="6"/>
      <c r="L6" s="6"/>
      <c r="M6" s="6"/>
      <c r="N6" s="6"/>
      <c r="O6" s="6"/>
      <c r="P6" s="6"/>
      <c r="Q6" s="6"/>
      <c r="R6" s="6"/>
      <c r="S6" s="6"/>
      <c r="T6" s="6"/>
      <c r="U6" s="6"/>
    </row>
    <row r="7" spans="1:21">
      <c r="A7" s="18" t="s">
        <v>549</v>
      </c>
      <c r="B7" s="189" t="s">
        <v>550</v>
      </c>
      <c r="C7" s="70" t="s">
        <v>540</v>
      </c>
      <c r="D7" s="19">
        <v>26</v>
      </c>
      <c r="E7" s="19" t="s">
        <v>45</v>
      </c>
      <c r="F7" s="19" t="s">
        <v>50</v>
      </c>
      <c r="G7" s="73">
        <v>0.3</v>
      </c>
      <c r="H7" s="23" t="s">
        <v>548</v>
      </c>
      <c r="I7" s="21"/>
      <c r="J7" s="6"/>
      <c r="K7" s="6"/>
      <c r="L7" s="6"/>
      <c r="M7" s="6"/>
      <c r="N7" s="6"/>
      <c r="O7" s="6"/>
      <c r="P7" s="6"/>
      <c r="Q7" s="6"/>
      <c r="R7" s="6"/>
      <c r="S7" s="6"/>
      <c r="T7" s="6"/>
      <c r="U7" s="6"/>
    </row>
    <row r="8" spans="1:21">
      <c r="A8" s="24" t="s">
        <v>551</v>
      </c>
      <c r="B8" s="193" t="s">
        <v>552</v>
      </c>
      <c r="C8" s="71" t="s">
        <v>540</v>
      </c>
      <c r="D8" s="25">
        <v>18</v>
      </c>
      <c r="E8" s="25" t="s">
        <v>45</v>
      </c>
      <c r="F8" s="25" t="s">
        <v>50</v>
      </c>
      <c r="G8" s="28">
        <v>0.35</v>
      </c>
      <c r="H8" s="29" t="s">
        <v>553</v>
      </c>
      <c r="I8" s="27"/>
      <c r="J8" s="6"/>
      <c r="K8" s="6"/>
      <c r="L8" s="6"/>
      <c r="M8" s="6"/>
      <c r="N8" s="6"/>
      <c r="O8" s="6"/>
      <c r="P8" s="6"/>
      <c r="Q8" s="6"/>
      <c r="R8" s="6"/>
      <c r="S8" s="6"/>
      <c r="T8" s="6"/>
      <c r="U8" s="6"/>
    </row>
    <row r="9" spans="1:21">
      <c r="A9" s="12" t="s">
        <v>554</v>
      </c>
      <c r="B9" s="188" t="s">
        <v>555</v>
      </c>
      <c r="C9" s="69" t="s">
        <v>540</v>
      </c>
      <c r="D9" s="13">
        <v>37</v>
      </c>
      <c r="E9" s="13" t="s">
        <v>45</v>
      </c>
      <c r="F9" s="13" t="s">
        <v>463</v>
      </c>
      <c r="G9" s="72">
        <v>0.25</v>
      </c>
      <c r="H9" s="17" t="s">
        <v>556</v>
      </c>
      <c r="I9" s="15"/>
      <c r="J9" s="6"/>
      <c r="K9" s="6"/>
      <c r="L9" s="6"/>
      <c r="M9" s="6"/>
      <c r="N9" s="6"/>
      <c r="O9" s="6"/>
      <c r="P9" s="6"/>
      <c r="Q9" s="6"/>
      <c r="R9" s="6"/>
      <c r="S9" s="6"/>
      <c r="T9" s="6"/>
      <c r="U9" s="6"/>
    </row>
    <row r="10" spans="1:21">
      <c r="A10" s="18" t="s">
        <v>557</v>
      </c>
      <c r="B10" s="189" t="s">
        <v>558</v>
      </c>
      <c r="C10" s="70" t="s">
        <v>540</v>
      </c>
      <c r="D10" s="19">
        <v>33</v>
      </c>
      <c r="E10" s="19" t="s">
        <v>45</v>
      </c>
      <c r="F10" s="19" t="s">
        <v>50</v>
      </c>
      <c r="G10" s="73">
        <v>0.25</v>
      </c>
      <c r="H10" s="23" t="s">
        <v>559</v>
      </c>
      <c r="I10" s="21"/>
      <c r="J10" s="6"/>
      <c r="K10" s="6"/>
      <c r="L10" s="6"/>
      <c r="M10" s="6"/>
      <c r="N10" s="6"/>
      <c r="O10" s="6"/>
      <c r="P10" s="6"/>
      <c r="Q10" s="6"/>
      <c r="R10" s="6"/>
      <c r="S10" s="6"/>
      <c r="T10" s="6"/>
      <c r="U10" s="6"/>
    </row>
    <row r="11" spans="1:21">
      <c r="A11" s="24" t="s">
        <v>560</v>
      </c>
      <c r="B11" s="193" t="s">
        <v>561</v>
      </c>
      <c r="C11" s="71" t="s">
        <v>540</v>
      </c>
      <c r="D11" s="25">
        <v>37</v>
      </c>
      <c r="E11" s="25" t="s">
        <v>45</v>
      </c>
      <c r="F11" s="25" t="s">
        <v>50</v>
      </c>
      <c r="G11" s="28">
        <v>0.25</v>
      </c>
      <c r="H11" s="29" t="s">
        <v>562</v>
      </c>
      <c r="I11" s="27"/>
      <c r="J11" s="6"/>
      <c r="K11" s="6"/>
      <c r="L11" s="6"/>
      <c r="M11" s="6"/>
      <c r="N11" s="6"/>
      <c r="O11" s="6"/>
      <c r="P11" s="6"/>
      <c r="Q11" s="6"/>
      <c r="R11" s="6"/>
      <c r="S11" s="6"/>
      <c r="T11" s="6"/>
      <c r="U11" s="6"/>
    </row>
    <row r="12" spans="1:21">
      <c r="A12" s="12" t="s">
        <v>563</v>
      </c>
      <c r="B12" s="188" t="s">
        <v>564</v>
      </c>
      <c r="C12" s="69" t="s">
        <v>540</v>
      </c>
      <c r="D12" s="13">
        <v>15</v>
      </c>
      <c r="E12" s="13" t="s">
        <v>45</v>
      </c>
      <c r="F12" s="13" t="s">
        <v>50</v>
      </c>
      <c r="G12" s="72">
        <v>0.25</v>
      </c>
      <c r="H12" s="17" t="s">
        <v>565</v>
      </c>
      <c r="I12" s="15"/>
      <c r="J12" s="6"/>
      <c r="K12" s="6"/>
      <c r="L12" s="6"/>
      <c r="M12" s="6"/>
      <c r="N12" s="6"/>
      <c r="O12" s="6"/>
      <c r="P12" s="6"/>
      <c r="Q12" s="6"/>
      <c r="R12" s="6"/>
      <c r="S12" s="6"/>
      <c r="T12" s="6"/>
      <c r="U12" s="6"/>
    </row>
    <row r="13" spans="1:21">
      <c r="A13" s="18" t="s">
        <v>566</v>
      </c>
      <c r="B13" s="189" t="s">
        <v>567</v>
      </c>
      <c r="C13" s="70" t="s">
        <v>540</v>
      </c>
      <c r="D13" s="19">
        <v>18</v>
      </c>
      <c r="E13" s="19" t="s">
        <v>45</v>
      </c>
      <c r="F13" s="19" t="s">
        <v>50</v>
      </c>
      <c r="G13" s="73">
        <v>0.25</v>
      </c>
      <c r="H13" s="23" t="s">
        <v>568</v>
      </c>
      <c r="I13" s="21"/>
      <c r="J13" s="6"/>
      <c r="K13" s="6"/>
      <c r="L13" s="6"/>
      <c r="M13" s="6"/>
      <c r="N13" s="6"/>
      <c r="O13" s="6"/>
      <c r="P13" s="6"/>
      <c r="Q13" s="6"/>
      <c r="R13" s="6"/>
      <c r="S13" s="6"/>
      <c r="T13" s="6"/>
      <c r="U13" s="6"/>
    </row>
    <row r="14" spans="1:21">
      <c r="A14" s="24" t="s">
        <v>569</v>
      </c>
      <c r="B14" s="193" t="s">
        <v>570</v>
      </c>
      <c r="C14" s="71" t="s">
        <v>540</v>
      </c>
      <c r="D14" s="25">
        <v>21</v>
      </c>
      <c r="E14" s="25" t="s">
        <v>45</v>
      </c>
      <c r="F14" s="25" t="s">
        <v>50</v>
      </c>
      <c r="G14" s="28">
        <v>0.25</v>
      </c>
      <c r="H14" s="29" t="s">
        <v>571</v>
      </c>
      <c r="I14" s="27"/>
      <c r="J14" s="6"/>
      <c r="K14" s="6"/>
      <c r="L14" s="6"/>
      <c r="M14" s="6"/>
      <c r="N14" s="6"/>
      <c r="O14" s="6"/>
      <c r="P14" s="6"/>
      <c r="Q14" s="6"/>
      <c r="R14" s="6"/>
      <c r="S14" s="6"/>
      <c r="T14" s="6"/>
      <c r="U14" s="6"/>
    </row>
    <row r="15" spans="1:21">
      <c r="A15" s="12" t="s">
        <v>572</v>
      </c>
      <c r="B15" s="188" t="s">
        <v>573</v>
      </c>
      <c r="C15" s="69" t="s">
        <v>540</v>
      </c>
      <c r="D15" s="13">
        <v>9</v>
      </c>
      <c r="E15" s="13" t="s">
        <v>410</v>
      </c>
      <c r="F15" s="13" t="s">
        <v>574</v>
      </c>
      <c r="G15" s="72">
        <v>0.25</v>
      </c>
      <c r="H15" s="17" t="s">
        <v>575</v>
      </c>
      <c r="I15" s="15"/>
      <c r="J15" s="6"/>
      <c r="K15" s="6"/>
      <c r="L15" s="6"/>
      <c r="M15" s="6"/>
      <c r="N15" s="6"/>
      <c r="O15" s="6"/>
      <c r="P15" s="6"/>
      <c r="Q15" s="6"/>
      <c r="R15" s="6"/>
      <c r="S15" s="6"/>
      <c r="T15" s="6"/>
      <c r="U15" s="6"/>
    </row>
    <row r="16" spans="1:21">
      <c r="A16" s="231" t="s">
        <v>576</v>
      </c>
      <c r="B16" s="232" t="s">
        <v>577</v>
      </c>
      <c r="C16" s="233" t="s">
        <v>540</v>
      </c>
      <c r="D16" s="234">
        <v>8</v>
      </c>
      <c r="E16" s="234" t="s">
        <v>410</v>
      </c>
      <c r="F16" s="234" t="s">
        <v>574</v>
      </c>
      <c r="G16" s="235">
        <v>0.3</v>
      </c>
      <c r="H16" s="236" t="s">
        <v>578</v>
      </c>
      <c r="I16" s="237"/>
      <c r="J16" s="6"/>
      <c r="K16" s="6"/>
      <c r="L16" s="6"/>
      <c r="M16" s="6"/>
      <c r="N16" s="6"/>
      <c r="O16" s="6"/>
      <c r="P16" s="6"/>
      <c r="Q16" s="6"/>
      <c r="R16" s="6"/>
      <c r="S16" s="6"/>
      <c r="T16" s="6"/>
      <c r="U16" s="6"/>
    </row>
    <row r="17" spans="1:21">
      <c r="A17" s="238" t="s">
        <v>579</v>
      </c>
      <c r="B17" s="239" t="s">
        <v>580</v>
      </c>
      <c r="C17" s="240" t="s">
        <v>540</v>
      </c>
      <c r="D17" s="241">
        <v>12</v>
      </c>
      <c r="E17" s="241" t="s">
        <v>410</v>
      </c>
      <c r="F17" s="241" t="s">
        <v>574</v>
      </c>
      <c r="G17" s="242">
        <v>0.4</v>
      </c>
      <c r="H17" s="243" t="s">
        <v>581</v>
      </c>
      <c r="I17" s="244"/>
      <c r="J17" s="6"/>
      <c r="K17" s="6"/>
      <c r="L17" s="6"/>
      <c r="M17" s="6"/>
      <c r="N17" s="6"/>
      <c r="O17" s="6"/>
      <c r="P17" s="6"/>
      <c r="Q17" s="6"/>
      <c r="R17" s="6"/>
      <c r="S17" s="6"/>
      <c r="T17" s="6"/>
      <c r="U17" s="6"/>
    </row>
    <row r="18" spans="1:21">
      <c r="A18" s="245" t="s">
        <v>582</v>
      </c>
      <c r="B18" s="246" t="s">
        <v>583</v>
      </c>
      <c r="C18" s="247" t="s">
        <v>540</v>
      </c>
      <c r="D18" s="248">
        <v>15</v>
      </c>
      <c r="E18" s="248"/>
      <c r="F18" s="248"/>
      <c r="G18" s="249"/>
      <c r="H18" s="250"/>
      <c r="I18" s="251"/>
      <c r="J18" s="6"/>
      <c r="K18" s="6"/>
      <c r="L18" s="6"/>
      <c r="M18" s="6"/>
      <c r="N18" s="6"/>
      <c r="O18" s="6"/>
      <c r="P18" s="6"/>
      <c r="Q18" s="6"/>
      <c r="R18" s="6"/>
      <c r="S18" s="6"/>
      <c r="T18" s="6"/>
      <c r="U18" s="6"/>
    </row>
    <row r="19" spans="1:21">
      <c r="A19" s="231" t="s">
        <v>584</v>
      </c>
      <c r="B19" s="232" t="s">
        <v>585</v>
      </c>
      <c r="C19" s="233" t="s">
        <v>540</v>
      </c>
      <c r="D19" s="234">
        <v>18</v>
      </c>
      <c r="E19" s="234"/>
      <c r="F19" s="234"/>
      <c r="G19" s="252"/>
      <c r="H19" s="236"/>
      <c r="I19" s="237"/>
      <c r="J19" s="6"/>
      <c r="K19" s="6"/>
      <c r="L19" s="6"/>
      <c r="M19" s="6"/>
      <c r="N19" s="6"/>
      <c r="O19" s="6"/>
      <c r="P19" s="6"/>
      <c r="Q19" s="6"/>
      <c r="R19" s="6"/>
      <c r="S19" s="6"/>
      <c r="T19" s="6"/>
      <c r="U19" s="6"/>
    </row>
    <row r="20" spans="1:21">
      <c r="A20" s="238" t="s">
        <v>586</v>
      </c>
      <c r="B20" s="239" t="s">
        <v>587</v>
      </c>
      <c r="C20" s="240" t="s">
        <v>540</v>
      </c>
      <c r="D20" s="241">
        <v>15</v>
      </c>
      <c r="E20" s="241"/>
      <c r="F20" s="241"/>
      <c r="G20" s="253"/>
      <c r="H20" s="243"/>
      <c r="I20" s="244"/>
      <c r="J20" s="6"/>
      <c r="K20" s="6"/>
      <c r="L20" s="6"/>
      <c r="M20" s="6"/>
      <c r="N20" s="6"/>
      <c r="O20" s="6"/>
      <c r="P20" s="6"/>
      <c r="Q20" s="6"/>
      <c r="R20" s="6"/>
      <c r="S20" s="6"/>
      <c r="T20" s="6"/>
      <c r="U20" s="6"/>
    </row>
    <row r="21" spans="1:21">
      <c r="A21" s="245" t="s">
        <v>588</v>
      </c>
      <c r="B21" s="246" t="s">
        <v>589</v>
      </c>
      <c r="C21" s="247" t="s">
        <v>540</v>
      </c>
      <c r="D21" s="248">
        <v>40</v>
      </c>
      <c r="E21" s="248"/>
      <c r="F21" s="248"/>
      <c r="G21" s="249"/>
      <c r="H21" s="250"/>
      <c r="I21" s="251"/>
      <c r="J21" s="6"/>
      <c r="K21" s="6"/>
      <c r="L21" s="6"/>
      <c r="M21" s="6"/>
      <c r="N21" s="6"/>
      <c r="O21" s="6"/>
      <c r="P21" s="6"/>
      <c r="Q21" s="6"/>
      <c r="R21" s="6"/>
      <c r="S21" s="6"/>
      <c r="T21" s="6"/>
      <c r="U21" s="6"/>
    </row>
    <row r="22" spans="1:21">
      <c r="A22" s="231" t="s">
        <v>590</v>
      </c>
      <c r="B22" s="232" t="s">
        <v>591</v>
      </c>
      <c r="C22" s="233" t="s">
        <v>540</v>
      </c>
      <c r="D22" s="234">
        <v>34</v>
      </c>
      <c r="E22" s="234"/>
      <c r="F22" s="234"/>
      <c r="G22" s="252"/>
      <c r="H22" s="236"/>
      <c r="I22" s="237"/>
      <c r="J22" s="6"/>
      <c r="K22" s="6"/>
      <c r="L22" s="6"/>
      <c r="M22" s="6"/>
      <c r="N22" s="6"/>
      <c r="O22" s="6"/>
      <c r="P22" s="6"/>
      <c r="Q22" s="6"/>
      <c r="R22" s="6"/>
      <c r="S22" s="6"/>
      <c r="T22" s="6"/>
      <c r="U22" s="6"/>
    </row>
    <row r="23" spans="1:21">
      <c r="A23" s="238" t="s">
        <v>592</v>
      </c>
      <c r="B23" s="239" t="s">
        <v>593</v>
      </c>
      <c r="C23" s="240" t="s">
        <v>540</v>
      </c>
      <c r="D23" s="241">
        <v>39</v>
      </c>
      <c r="E23" s="241"/>
      <c r="F23" s="241"/>
      <c r="G23" s="253"/>
      <c r="H23" s="243"/>
      <c r="I23" s="244"/>
      <c r="J23" s="6"/>
      <c r="K23" s="6"/>
      <c r="L23" s="6"/>
      <c r="M23" s="6"/>
      <c r="N23" s="6"/>
      <c r="O23" s="6"/>
      <c r="P23" s="6"/>
      <c r="Q23" s="6"/>
      <c r="R23" s="6"/>
      <c r="S23" s="6"/>
      <c r="T23" s="6"/>
      <c r="U23" s="6"/>
    </row>
    <row r="24" spans="1:21">
      <c r="A24" s="254" t="s">
        <v>594</v>
      </c>
      <c r="B24" s="255" t="s">
        <v>595</v>
      </c>
      <c r="C24" s="256" t="s">
        <v>540</v>
      </c>
      <c r="D24" s="257">
        <v>15</v>
      </c>
      <c r="E24" s="257"/>
      <c r="F24" s="257"/>
      <c r="G24" s="258"/>
      <c r="H24" s="259" t="s">
        <v>596</v>
      </c>
      <c r="I24" s="260"/>
      <c r="J24" s="6"/>
      <c r="K24" s="6"/>
      <c r="L24" s="6"/>
      <c r="M24" s="6"/>
      <c r="N24" s="6"/>
      <c r="O24" s="6"/>
      <c r="P24" s="6"/>
      <c r="Q24" s="6"/>
      <c r="R24" s="6"/>
      <c r="S24" s="6"/>
      <c r="T24" s="6"/>
      <c r="U24" s="6"/>
    </row>
    <row r="25" spans="1:21">
      <c r="A25" s="231" t="s">
        <v>597</v>
      </c>
      <c r="B25" s="232" t="s">
        <v>598</v>
      </c>
      <c r="C25" s="233" t="s">
        <v>540</v>
      </c>
      <c r="D25" s="234">
        <v>15</v>
      </c>
      <c r="E25" s="234"/>
      <c r="F25" s="234"/>
      <c r="G25" s="252"/>
      <c r="H25" s="236" t="s">
        <v>596</v>
      </c>
      <c r="I25" s="237"/>
      <c r="J25" s="6"/>
      <c r="K25" s="6"/>
      <c r="L25" s="6"/>
      <c r="M25" s="6"/>
      <c r="N25" s="6"/>
      <c r="O25" s="6"/>
      <c r="P25" s="6"/>
      <c r="Q25" s="6"/>
      <c r="R25" s="6"/>
      <c r="S25" s="6"/>
      <c r="T25" s="6"/>
      <c r="U25" s="6"/>
    </row>
    <row r="26" spans="1:21">
      <c r="A26" s="261" t="s">
        <v>599</v>
      </c>
      <c r="B26" s="262" t="s">
        <v>600</v>
      </c>
      <c r="C26" s="263" t="s">
        <v>540</v>
      </c>
      <c r="D26" s="264">
        <v>15</v>
      </c>
      <c r="E26" s="264" t="s">
        <v>45</v>
      </c>
      <c r="F26" s="264" t="s">
        <v>50</v>
      </c>
      <c r="G26" s="265">
        <v>0.4</v>
      </c>
      <c r="H26" s="266" t="s">
        <v>596</v>
      </c>
      <c r="I26" s="267"/>
      <c r="J26" s="6"/>
      <c r="K26" s="6"/>
      <c r="L26" s="6"/>
      <c r="M26" s="6"/>
      <c r="N26" s="6"/>
      <c r="O26" s="6"/>
      <c r="P26" s="6"/>
      <c r="Q26" s="6"/>
      <c r="R26" s="6"/>
      <c r="S26" s="6"/>
      <c r="T26" s="6"/>
      <c r="U26" s="6"/>
    </row>
    <row r="27" spans="1:21">
      <c r="A27" s="245" t="s">
        <v>601</v>
      </c>
      <c r="B27" s="246" t="s">
        <v>602</v>
      </c>
      <c r="C27" s="247" t="s">
        <v>540</v>
      </c>
      <c r="D27" s="248">
        <v>25</v>
      </c>
      <c r="E27" s="248" t="s">
        <v>45</v>
      </c>
      <c r="F27" s="248" t="s">
        <v>50</v>
      </c>
      <c r="G27" s="268">
        <v>0.25</v>
      </c>
      <c r="H27" s="250" t="s">
        <v>603</v>
      </c>
      <c r="I27" s="251"/>
      <c r="J27" s="6"/>
      <c r="K27" s="6"/>
      <c r="L27" s="6"/>
      <c r="M27" s="6"/>
      <c r="N27" s="6"/>
      <c r="O27" s="6"/>
      <c r="P27" s="6"/>
      <c r="Q27" s="6"/>
      <c r="R27" s="6"/>
      <c r="S27" s="6"/>
      <c r="T27" s="6"/>
      <c r="U27" s="6"/>
    </row>
    <row r="28" spans="1:21">
      <c r="A28" s="231" t="s">
        <v>604</v>
      </c>
      <c r="B28" s="232" t="s">
        <v>605</v>
      </c>
      <c r="C28" s="233" t="s">
        <v>540</v>
      </c>
      <c r="D28" s="234">
        <v>24</v>
      </c>
      <c r="E28" s="234" t="s">
        <v>45</v>
      </c>
      <c r="F28" s="234" t="s">
        <v>50</v>
      </c>
      <c r="G28" s="235">
        <v>0.25</v>
      </c>
      <c r="H28" s="236" t="s">
        <v>603</v>
      </c>
      <c r="I28" s="237"/>
      <c r="J28" s="6"/>
      <c r="K28" s="6"/>
      <c r="L28" s="6"/>
      <c r="M28" s="6"/>
      <c r="N28" s="6"/>
      <c r="O28" s="6"/>
      <c r="P28" s="6"/>
      <c r="Q28" s="6"/>
      <c r="R28" s="6"/>
      <c r="S28" s="6"/>
      <c r="T28" s="6"/>
      <c r="U28" s="6"/>
    </row>
    <row r="29" spans="1:21">
      <c r="A29" s="238" t="s">
        <v>606</v>
      </c>
      <c r="B29" s="239" t="s">
        <v>607</v>
      </c>
      <c r="C29" s="240" t="s">
        <v>540</v>
      </c>
      <c r="D29" s="241">
        <v>14</v>
      </c>
      <c r="E29" s="241" t="s">
        <v>45</v>
      </c>
      <c r="F29" s="241" t="s">
        <v>50</v>
      </c>
      <c r="G29" s="242">
        <v>0.25</v>
      </c>
      <c r="H29" s="243" t="s">
        <v>603</v>
      </c>
      <c r="I29" s="244"/>
      <c r="J29" s="6"/>
      <c r="K29" s="6"/>
      <c r="L29" s="6"/>
      <c r="M29" s="6"/>
      <c r="N29" s="6"/>
      <c r="O29" s="6"/>
      <c r="P29" s="6"/>
      <c r="Q29" s="6"/>
      <c r="R29" s="6"/>
      <c r="S29" s="6"/>
      <c r="T29" s="6"/>
      <c r="U29" s="6"/>
    </row>
    <row r="30" spans="1:21">
      <c r="A30" s="254" t="s">
        <v>608</v>
      </c>
      <c r="B30" s="255" t="s">
        <v>609</v>
      </c>
      <c r="C30" s="256" t="s">
        <v>540</v>
      </c>
      <c r="D30" s="257">
        <v>22</v>
      </c>
      <c r="E30" s="257"/>
      <c r="F30" s="257"/>
      <c r="G30" s="258"/>
      <c r="H30" s="259"/>
      <c r="I30" s="260"/>
      <c r="J30" s="6"/>
      <c r="K30" s="6"/>
      <c r="L30" s="6"/>
      <c r="M30" s="6"/>
      <c r="N30" s="6"/>
      <c r="O30" s="6"/>
      <c r="P30" s="6"/>
      <c r="Q30" s="6"/>
      <c r="R30" s="6"/>
      <c r="S30" s="6"/>
      <c r="T30" s="6"/>
      <c r="U30" s="6"/>
    </row>
    <row r="31" spans="1:21">
      <c r="A31" s="231" t="s">
        <v>610</v>
      </c>
      <c r="B31" s="232" t="s">
        <v>611</v>
      </c>
      <c r="C31" s="233" t="s">
        <v>540</v>
      </c>
      <c r="D31" s="234">
        <v>21</v>
      </c>
      <c r="E31" s="234"/>
      <c r="F31" s="234"/>
      <c r="G31" s="252"/>
      <c r="H31" s="236"/>
      <c r="I31" s="237"/>
      <c r="J31" s="6"/>
      <c r="K31" s="6"/>
      <c r="L31" s="6"/>
      <c r="M31" s="6"/>
      <c r="N31" s="6"/>
      <c r="O31" s="6"/>
      <c r="P31" s="6"/>
      <c r="Q31" s="6"/>
      <c r="R31" s="6"/>
      <c r="S31" s="6"/>
      <c r="T31" s="6"/>
      <c r="U31" s="6"/>
    </row>
    <row r="32" spans="1:21">
      <c r="A32" s="261" t="s">
        <v>612</v>
      </c>
      <c r="B32" s="262" t="s">
        <v>613</v>
      </c>
      <c r="C32" s="263" t="s">
        <v>540</v>
      </c>
      <c r="D32" s="264">
        <v>20</v>
      </c>
      <c r="E32" s="264"/>
      <c r="F32" s="264"/>
      <c r="G32" s="269"/>
      <c r="H32" s="266"/>
      <c r="I32" s="267"/>
      <c r="J32" s="6"/>
      <c r="K32" s="6"/>
      <c r="L32" s="6"/>
      <c r="M32" s="6"/>
      <c r="N32" s="6"/>
      <c r="O32" s="6"/>
      <c r="P32" s="6"/>
      <c r="Q32" s="6"/>
      <c r="R32" s="6"/>
      <c r="S32" s="6"/>
      <c r="T32" s="6"/>
      <c r="U32" s="6"/>
    </row>
    <row r="33" spans="1:21">
      <c r="A33" s="245" t="s">
        <v>614</v>
      </c>
      <c r="B33" s="246" t="s">
        <v>615</v>
      </c>
      <c r="C33" s="247" t="s">
        <v>540</v>
      </c>
      <c r="D33" s="248">
        <v>7</v>
      </c>
      <c r="E33" s="248" t="s">
        <v>45</v>
      </c>
      <c r="F33" s="248" t="s">
        <v>50</v>
      </c>
      <c r="G33" s="268">
        <v>0.4</v>
      </c>
      <c r="H33" s="250" t="s">
        <v>596</v>
      </c>
      <c r="I33" s="251"/>
      <c r="J33" s="6"/>
      <c r="K33" s="6"/>
      <c r="L33" s="6"/>
      <c r="M33" s="6"/>
      <c r="N33" s="6"/>
      <c r="O33" s="6"/>
      <c r="P33" s="6"/>
      <c r="Q33" s="6"/>
      <c r="R33" s="6"/>
      <c r="S33" s="6"/>
      <c r="T33" s="6"/>
      <c r="U33" s="6"/>
    </row>
    <row r="34" spans="1:21">
      <c r="A34" s="231" t="s">
        <v>616</v>
      </c>
      <c r="B34" s="232" t="s">
        <v>617</v>
      </c>
      <c r="C34" s="233" t="s">
        <v>540</v>
      </c>
      <c r="D34" s="234">
        <v>8</v>
      </c>
      <c r="E34" s="234" t="s">
        <v>45</v>
      </c>
      <c r="F34" s="234" t="s">
        <v>50</v>
      </c>
      <c r="G34" s="235">
        <v>0.4</v>
      </c>
      <c r="H34" s="236" t="s">
        <v>596</v>
      </c>
      <c r="I34" s="237"/>
      <c r="J34" s="6"/>
      <c r="K34" s="6"/>
      <c r="L34" s="6"/>
      <c r="M34" s="6"/>
      <c r="N34" s="6"/>
      <c r="O34" s="6"/>
      <c r="P34" s="6"/>
      <c r="Q34" s="6"/>
      <c r="R34" s="6"/>
      <c r="S34" s="6"/>
      <c r="T34" s="6"/>
      <c r="U34" s="6"/>
    </row>
    <row r="35" spans="1:21">
      <c r="A35" s="238" t="s">
        <v>618</v>
      </c>
      <c r="B35" s="239" t="s">
        <v>619</v>
      </c>
      <c r="C35" s="240" t="s">
        <v>540</v>
      </c>
      <c r="D35" s="241">
        <v>8</v>
      </c>
      <c r="E35" s="241" t="s">
        <v>45</v>
      </c>
      <c r="F35" s="241" t="s">
        <v>50</v>
      </c>
      <c r="G35" s="242">
        <v>0.4</v>
      </c>
      <c r="H35" s="243" t="s">
        <v>596</v>
      </c>
      <c r="I35" s="244"/>
      <c r="J35" s="6"/>
      <c r="K35" s="6"/>
      <c r="L35" s="6"/>
      <c r="M35" s="6"/>
      <c r="N35" s="6"/>
      <c r="O35" s="6"/>
      <c r="P35" s="6"/>
      <c r="Q35" s="6"/>
      <c r="R35" s="6"/>
      <c r="S35" s="6"/>
      <c r="T35" s="6"/>
      <c r="U35" s="6"/>
    </row>
    <row r="36" spans="1:21">
      <c r="A36" s="254" t="s">
        <v>620</v>
      </c>
      <c r="B36" s="255" t="s">
        <v>621</v>
      </c>
      <c r="C36" s="256" t="s">
        <v>540</v>
      </c>
      <c r="D36" s="257">
        <v>25</v>
      </c>
      <c r="E36" s="257"/>
      <c r="F36" s="257"/>
      <c r="G36" s="258"/>
      <c r="H36" s="297" t="s">
        <v>622</v>
      </c>
      <c r="I36" s="260"/>
      <c r="J36" s="6"/>
      <c r="K36" s="6"/>
      <c r="L36" s="6"/>
      <c r="M36" s="6"/>
      <c r="N36" s="6"/>
      <c r="O36" s="6"/>
      <c r="P36" s="6"/>
      <c r="Q36" s="6"/>
      <c r="R36" s="6"/>
      <c r="S36" s="6"/>
      <c r="T36" s="6"/>
      <c r="U36" s="6"/>
    </row>
    <row r="37" spans="1:21">
      <c r="A37" s="231" t="s">
        <v>623</v>
      </c>
      <c r="B37" s="232" t="s">
        <v>624</v>
      </c>
      <c r="C37" s="233" t="s">
        <v>540</v>
      </c>
      <c r="D37" s="234">
        <v>25</v>
      </c>
      <c r="E37" s="234"/>
      <c r="F37" s="234"/>
      <c r="G37" s="252"/>
      <c r="H37" s="298"/>
      <c r="I37" s="237"/>
      <c r="J37" s="6"/>
      <c r="K37" s="6"/>
      <c r="L37" s="6"/>
      <c r="M37" s="6"/>
      <c r="N37" s="6"/>
      <c r="O37" s="6"/>
      <c r="P37" s="6"/>
      <c r="Q37" s="6"/>
      <c r="R37" s="6"/>
      <c r="S37" s="6"/>
      <c r="T37" s="6"/>
      <c r="U37" s="6"/>
    </row>
    <row r="38" spans="1:21">
      <c r="A38" s="261" t="s">
        <v>625</v>
      </c>
      <c r="B38" s="262" t="s">
        <v>626</v>
      </c>
      <c r="C38" s="263" t="s">
        <v>540</v>
      </c>
      <c r="D38" s="264">
        <v>24</v>
      </c>
      <c r="E38" s="264"/>
      <c r="F38" s="264"/>
      <c r="G38" s="269"/>
      <c r="H38" s="299"/>
      <c r="I38" s="267"/>
      <c r="J38" s="6"/>
      <c r="K38" s="6"/>
      <c r="L38" s="6"/>
      <c r="M38" s="6"/>
      <c r="N38" s="6"/>
      <c r="O38" s="6"/>
      <c r="P38" s="6"/>
      <c r="Q38" s="6"/>
      <c r="R38" s="6"/>
      <c r="S38" s="6"/>
      <c r="T38" s="6"/>
      <c r="U38" s="6"/>
    </row>
    <row r="39" spans="1:21">
      <c r="A39" s="245" t="s">
        <v>627</v>
      </c>
      <c r="B39" s="246" t="s">
        <v>628</v>
      </c>
      <c r="C39" s="247" t="s">
        <v>540</v>
      </c>
      <c r="D39" s="248">
        <v>18</v>
      </c>
      <c r="E39" s="248"/>
      <c r="F39" s="248" t="s">
        <v>463</v>
      </c>
      <c r="G39" s="268">
        <v>0.25</v>
      </c>
      <c r="H39" s="250"/>
      <c r="I39" s="251"/>
      <c r="J39" s="6"/>
      <c r="K39" s="6"/>
      <c r="L39" s="6"/>
      <c r="M39" s="6"/>
      <c r="N39" s="6"/>
      <c r="O39" s="6"/>
      <c r="P39" s="6"/>
      <c r="Q39" s="6"/>
      <c r="R39" s="6"/>
      <c r="S39" s="6"/>
      <c r="T39" s="6"/>
      <c r="U39" s="6"/>
    </row>
    <row r="40" spans="1:21">
      <c r="A40" s="231" t="s">
        <v>629</v>
      </c>
      <c r="B40" s="232" t="s">
        <v>630</v>
      </c>
      <c r="C40" s="233" t="s">
        <v>540</v>
      </c>
      <c r="D40" s="234">
        <v>19</v>
      </c>
      <c r="E40" s="234"/>
      <c r="F40" s="234" t="s">
        <v>463</v>
      </c>
      <c r="G40" s="235">
        <v>0.25</v>
      </c>
      <c r="H40" s="236"/>
      <c r="I40" s="237"/>
      <c r="J40" s="6"/>
      <c r="K40" s="6"/>
      <c r="L40" s="6"/>
      <c r="M40" s="6"/>
      <c r="N40" s="6"/>
      <c r="O40" s="6"/>
      <c r="P40" s="6"/>
      <c r="Q40" s="6"/>
      <c r="R40" s="6"/>
      <c r="S40" s="6"/>
      <c r="T40" s="6"/>
      <c r="U40" s="6"/>
    </row>
    <row r="41" spans="1:21">
      <c r="A41" s="238" t="s">
        <v>631</v>
      </c>
      <c r="B41" s="239" t="s">
        <v>632</v>
      </c>
      <c r="C41" s="240" t="s">
        <v>540</v>
      </c>
      <c r="D41" s="241">
        <v>21</v>
      </c>
      <c r="E41" s="241"/>
      <c r="F41" s="241" t="s">
        <v>463</v>
      </c>
      <c r="G41" s="242">
        <v>0.25</v>
      </c>
      <c r="H41" s="243"/>
      <c r="I41" s="244"/>
      <c r="J41" s="6"/>
      <c r="K41" s="6"/>
      <c r="L41" s="6"/>
      <c r="M41" s="6"/>
      <c r="N41" s="6"/>
      <c r="O41" s="6"/>
      <c r="P41" s="6"/>
      <c r="Q41" s="6"/>
      <c r="R41" s="6"/>
      <c r="S41" s="6"/>
      <c r="T41" s="6"/>
      <c r="U41" s="6"/>
    </row>
    <row r="42" spans="1:21">
      <c r="A42" s="254" t="s">
        <v>633</v>
      </c>
      <c r="B42" s="255" t="s">
        <v>634</v>
      </c>
      <c r="C42" s="256" t="s">
        <v>540</v>
      </c>
      <c r="D42" s="257">
        <v>22</v>
      </c>
      <c r="E42" s="257" t="s">
        <v>45</v>
      </c>
      <c r="F42" s="257" t="s">
        <v>463</v>
      </c>
      <c r="G42" s="271">
        <v>0.25</v>
      </c>
      <c r="H42" s="259"/>
      <c r="I42" s="260"/>
      <c r="J42" s="6"/>
      <c r="K42" s="6"/>
      <c r="L42" s="6"/>
      <c r="M42" s="6"/>
      <c r="N42" s="6"/>
      <c r="O42" s="6"/>
      <c r="P42" s="6"/>
      <c r="Q42" s="6"/>
      <c r="R42" s="6"/>
      <c r="S42" s="6"/>
      <c r="T42" s="6"/>
      <c r="U42" s="6"/>
    </row>
    <row r="43" spans="1:21">
      <c r="A43" s="231" t="s">
        <v>635</v>
      </c>
      <c r="B43" s="232" t="s">
        <v>636</v>
      </c>
      <c r="C43" s="233" t="s">
        <v>540</v>
      </c>
      <c r="D43" s="234">
        <v>21</v>
      </c>
      <c r="E43" s="234" t="s">
        <v>45</v>
      </c>
      <c r="F43" s="234" t="s">
        <v>463</v>
      </c>
      <c r="G43" s="235">
        <v>0.25</v>
      </c>
      <c r="H43" s="236"/>
      <c r="I43" s="237"/>
      <c r="J43" s="6"/>
      <c r="K43" s="6"/>
      <c r="L43" s="6"/>
      <c r="M43" s="6"/>
      <c r="N43" s="6"/>
      <c r="O43" s="6"/>
      <c r="P43" s="6"/>
      <c r="Q43" s="6"/>
      <c r="R43" s="6"/>
      <c r="S43" s="6"/>
      <c r="T43" s="6"/>
      <c r="U43" s="6"/>
    </row>
    <row r="44" spans="1:21">
      <c r="A44" s="261" t="s">
        <v>637</v>
      </c>
      <c r="B44" s="262" t="s">
        <v>638</v>
      </c>
      <c r="C44" s="263" t="s">
        <v>540</v>
      </c>
      <c r="D44" s="264">
        <v>15</v>
      </c>
      <c r="E44" s="264" t="s">
        <v>45</v>
      </c>
      <c r="F44" s="264" t="s">
        <v>50</v>
      </c>
      <c r="G44" s="265">
        <v>0.28000000000000003</v>
      </c>
      <c r="H44" s="266"/>
      <c r="I44" s="267"/>
      <c r="J44" s="6"/>
      <c r="K44" s="6"/>
      <c r="L44" s="6"/>
      <c r="M44" s="6"/>
      <c r="N44" s="6"/>
      <c r="O44" s="6"/>
      <c r="P44" s="6"/>
      <c r="Q44" s="6"/>
      <c r="R44" s="6"/>
      <c r="S44" s="6"/>
      <c r="T44" s="6"/>
      <c r="U44" s="6"/>
    </row>
    <row r="45" spans="1:21">
      <c r="A45" s="245" t="s">
        <v>639</v>
      </c>
      <c r="B45" s="246" t="s">
        <v>640</v>
      </c>
      <c r="C45" s="247" t="s">
        <v>540</v>
      </c>
      <c r="D45" s="248">
        <v>23</v>
      </c>
      <c r="E45" s="248"/>
      <c r="F45" s="248"/>
      <c r="G45" s="249"/>
      <c r="H45" s="250"/>
      <c r="I45" s="251"/>
      <c r="J45" s="6"/>
      <c r="K45" s="6"/>
      <c r="L45" s="6"/>
      <c r="M45" s="6"/>
      <c r="N45" s="6"/>
      <c r="O45" s="6"/>
      <c r="P45" s="6"/>
      <c r="Q45" s="6"/>
      <c r="R45" s="6"/>
      <c r="S45" s="6"/>
      <c r="T45" s="6"/>
      <c r="U45" s="6"/>
    </row>
    <row r="46" spans="1:21">
      <c r="A46" s="231" t="s">
        <v>641</v>
      </c>
      <c r="B46" s="232" t="s">
        <v>642</v>
      </c>
      <c r="C46" s="233" t="s">
        <v>540</v>
      </c>
      <c r="D46" s="234">
        <v>26</v>
      </c>
      <c r="E46" s="234"/>
      <c r="F46" s="234"/>
      <c r="G46" s="252"/>
      <c r="H46" s="236"/>
      <c r="I46" s="237"/>
      <c r="J46" s="6"/>
      <c r="K46" s="6"/>
      <c r="L46" s="6"/>
      <c r="M46" s="6"/>
      <c r="N46" s="6"/>
      <c r="O46" s="6"/>
      <c r="P46" s="6"/>
      <c r="Q46" s="6"/>
      <c r="R46" s="6"/>
      <c r="S46" s="6"/>
      <c r="T46" s="6"/>
      <c r="U46" s="6"/>
    </row>
    <row r="47" spans="1:21">
      <c r="A47" s="238" t="s">
        <v>643</v>
      </c>
      <c r="B47" s="239" t="s">
        <v>644</v>
      </c>
      <c r="C47" s="240" t="s">
        <v>540</v>
      </c>
      <c r="D47" s="241">
        <v>31</v>
      </c>
      <c r="E47" s="241"/>
      <c r="F47" s="241"/>
      <c r="G47" s="253"/>
      <c r="H47" s="243"/>
      <c r="I47" s="244"/>
      <c r="J47" s="6"/>
      <c r="K47" s="6"/>
      <c r="L47" s="6"/>
      <c r="M47" s="6"/>
      <c r="N47" s="6"/>
      <c r="O47" s="6"/>
      <c r="P47" s="6"/>
      <c r="Q47" s="6"/>
      <c r="R47" s="6"/>
      <c r="S47" s="6"/>
      <c r="T47" s="6"/>
      <c r="U47" s="6"/>
    </row>
    <row r="48" spans="1:21">
      <c r="A48" s="106"/>
      <c r="B48" s="220"/>
      <c r="C48" s="106"/>
      <c r="D48" s="106"/>
      <c r="E48" s="106"/>
      <c r="F48" s="106"/>
      <c r="G48" s="221"/>
      <c r="H48" s="221"/>
      <c r="I48" s="221"/>
      <c r="J48" s="6"/>
      <c r="K48" s="6"/>
      <c r="L48" s="6"/>
      <c r="M48" s="6"/>
      <c r="N48" s="6"/>
      <c r="O48" s="6"/>
      <c r="P48" s="6"/>
      <c r="Q48" s="6"/>
      <c r="R48" s="6"/>
      <c r="S48" s="6"/>
      <c r="T48" s="6"/>
      <c r="U48" s="6"/>
    </row>
    <row r="49" spans="1:21">
      <c r="A49" s="82"/>
      <c r="B49" s="83"/>
      <c r="C49" s="82"/>
      <c r="D49" s="82"/>
      <c r="E49" s="82"/>
      <c r="F49" s="82"/>
      <c r="G49" s="222"/>
      <c r="H49" s="222"/>
      <c r="I49" s="222"/>
      <c r="J49" s="6"/>
      <c r="K49" s="6"/>
      <c r="L49" s="6"/>
      <c r="M49" s="6"/>
      <c r="N49" s="6"/>
      <c r="O49" s="6"/>
      <c r="P49" s="6"/>
      <c r="Q49" s="6"/>
      <c r="R49" s="6"/>
      <c r="S49" s="6"/>
      <c r="T49" s="6"/>
      <c r="U49" s="6"/>
    </row>
    <row r="50" spans="1:21">
      <c r="A50" s="82"/>
      <c r="B50" s="83"/>
      <c r="C50" s="82"/>
      <c r="D50" s="82"/>
      <c r="E50" s="82"/>
      <c r="F50" s="82"/>
      <c r="G50" s="222"/>
      <c r="H50" s="222"/>
      <c r="I50" s="222"/>
      <c r="J50" s="6"/>
      <c r="K50" s="6"/>
      <c r="L50" s="6"/>
      <c r="M50" s="6"/>
      <c r="N50" s="6"/>
      <c r="O50" s="6"/>
      <c r="P50" s="6"/>
      <c r="Q50" s="6"/>
      <c r="R50" s="6"/>
      <c r="S50" s="6"/>
      <c r="T50" s="6"/>
      <c r="U50" s="6"/>
    </row>
    <row r="51" spans="1:21">
      <c r="A51" s="82"/>
      <c r="B51" s="83"/>
      <c r="C51" s="82"/>
      <c r="D51" s="82"/>
      <c r="E51" s="82"/>
      <c r="F51" s="82"/>
      <c r="G51" s="222"/>
      <c r="H51" s="222"/>
      <c r="I51" s="222"/>
      <c r="J51" s="6"/>
      <c r="K51" s="6"/>
      <c r="L51" s="6"/>
      <c r="M51" s="6"/>
      <c r="N51" s="6"/>
      <c r="O51" s="6"/>
      <c r="P51" s="6"/>
      <c r="Q51" s="6"/>
      <c r="R51" s="6"/>
      <c r="S51" s="6"/>
      <c r="T51" s="6"/>
      <c r="U51" s="6"/>
    </row>
    <row r="52" spans="1:21">
      <c r="A52" s="82"/>
      <c r="B52" s="83"/>
      <c r="C52" s="82"/>
      <c r="D52" s="82"/>
      <c r="E52" s="82"/>
      <c r="F52" s="82"/>
      <c r="G52" s="222"/>
      <c r="H52" s="222"/>
      <c r="I52" s="222"/>
      <c r="J52" s="6"/>
      <c r="K52" s="6"/>
      <c r="L52" s="6"/>
      <c r="M52" s="6"/>
      <c r="N52" s="6"/>
      <c r="O52" s="6"/>
      <c r="P52" s="6"/>
      <c r="Q52" s="6"/>
      <c r="R52" s="6"/>
      <c r="S52" s="6"/>
      <c r="T52" s="6"/>
      <c r="U52" s="6"/>
    </row>
    <row r="53" spans="1:21">
      <c r="A53" s="82"/>
      <c r="B53" s="83"/>
      <c r="C53" s="82"/>
      <c r="D53" s="82"/>
      <c r="E53" s="82"/>
      <c r="F53" s="82"/>
      <c r="G53" s="222"/>
      <c r="H53" s="222"/>
      <c r="I53" s="222"/>
      <c r="J53" s="6"/>
      <c r="K53" s="6"/>
      <c r="L53" s="6"/>
      <c r="M53" s="6"/>
      <c r="N53" s="6"/>
      <c r="O53" s="6"/>
      <c r="P53" s="6"/>
      <c r="Q53" s="6"/>
      <c r="R53" s="6"/>
      <c r="S53" s="6"/>
      <c r="T53" s="6"/>
      <c r="U53" s="6"/>
    </row>
    <row r="54" spans="1:21">
      <c r="A54" s="82"/>
      <c r="B54" s="83"/>
      <c r="C54" s="82"/>
      <c r="D54" s="82"/>
      <c r="E54" s="82"/>
      <c r="F54" s="82"/>
      <c r="G54" s="222"/>
      <c r="H54" s="222"/>
      <c r="I54" s="222"/>
      <c r="J54" s="6"/>
      <c r="K54" s="6"/>
      <c r="L54" s="6"/>
      <c r="M54" s="6"/>
      <c r="N54" s="6"/>
      <c r="O54" s="6"/>
      <c r="P54" s="6"/>
      <c r="Q54" s="6"/>
      <c r="R54" s="6"/>
      <c r="S54" s="6"/>
      <c r="T54" s="6"/>
      <c r="U54" s="6"/>
    </row>
    <row r="55" spans="1:21">
      <c r="A55" s="82"/>
      <c r="B55" s="83"/>
      <c r="C55" s="82"/>
      <c r="D55" s="82"/>
      <c r="E55" s="82"/>
      <c r="F55" s="82"/>
      <c r="G55" s="222"/>
      <c r="H55" s="222"/>
      <c r="I55" s="222"/>
      <c r="J55" s="6"/>
      <c r="K55" s="6"/>
      <c r="L55" s="6"/>
      <c r="M55" s="6"/>
      <c r="N55" s="6"/>
      <c r="O55" s="6"/>
      <c r="P55" s="6"/>
      <c r="Q55" s="6"/>
      <c r="R55" s="6"/>
      <c r="S55" s="6"/>
      <c r="T55" s="6"/>
      <c r="U55" s="6"/>
    </row>
    <row r="56" spans="1:21">
      <c r="A56" s="82"/>
      <c r="B56" s="83"/>
      <c r="C56" s="82"/>
      <c r="D56" s="82"/>
      <c r="E56" s="82"/>
      <c r="F56" s="82"/>
      <c r="G56" s="222"/>
      <c r="H56" s="222"/>
      <c r="I56" s="222"/>
      <c r="J56" s="6"/>
      <c r="K56" s="6"/>
      <c r="L56" s="6"/>
      <c r="M56" s="6"/>
      <c r="N56" s="6"/>
      <c r="O56" s="6"/>
      <c r="P56" s="6"/>
      <c r="Q56" s="6"/>
      <c r="R56" s="6"/>
      <c r="S56" s="6"/>
      <c r="T56" s="6"/>
      <c r="U56" s="6"/>
    </row>
    <row r="57" spans="1:21">
      <c r="A57" s="82"/>
      <c r="B57" s="83"/>
      <c r="C57" s="82"/>
      <c r="D57" s="82"/>
      <c r="E57" s="82"/>
      <c r="F57" s="82"/>
      <c r="G57" s="222"/>
      <c r="H57" s="222"/>
      <c r="I57" s="222"/>
      <c r="J57" s="6"/>
      <c r="K57" s="6"/>
      <c r="L57" s="6"/>
      <c r="M57" s="6"/>
      <c r="N57" s="6"/>
      <c r="O57" s="6"/>
      <c r="P57" s="6"/>
      <c r="Q57" s="6"/>
      <c r="R57" s="6"/>
      <c r="S57" s="6"/>
      <c r="T57" s="6"/>
      <c r="U57" s="6"/>
    </row>
    <row r="58" spans="1:21">
      <c r="A58" s="82"/>
      <c r="B58" s="83"/>
      <c r="C58" s="82"/>
      <c r="D58" s="82"/>
      <c r="E58" s="82"/>
      <c r="F58" s="82"/>
      <c r="G58" s="222"/>
      <c r="H58" s="222"/>
      <c r="I58" s="222"/>
      <c r="J58" s="6"/>
      <c r="K58" s="6"/>
      <c r="L58" s="6"/>
      <c r="M58" s="6"/>
      <c r="N58" s="6"/>
      <c r="O58" s="6"/>
      <c r="P58" s="6"/>
      <c r="Q58" s="6"/>
      <c r="R58" s="6"/>
      <c r="S58" s="6"/>
      <c r="T58" s="6"/>
      <c r="U58" s="6"/>
    </row>
    <row r="59" spans="1:21">
      <c r="A59" s="82"/>
      <c r="B59" s="83"/>
      <c r="C59" s="82"/>
      <c r="D59" s="82"/>
      <c r="E59" s="82"/>
      <c r="F59" s="82"/>
      <c r="G59" s="222"/>
      <c r="H59" s="222"/>
      <c r="I59" s="222"/>
      <c r="J59" s="6"/>
      <c r="K59" s="6"/>
      <c r="L59" s="6"/>
      <c r="M59" s="6"/>
      <c r="N59" s="6"/>
      <c r="O59" s="6"/>
      <c r="P59" s="6"/>
      <c r="Q59" s="6"/>
      <c r="R59" s="6"/>
      <c r="S59" s="6"/>
      <c r="T59" s="6"/>
      <c r="U59" s="6"/>
    </row>
    <row r="60" spans="1:21">
      <c r="A60" s="82"/>
      <c r="B60" s="83"/>
      <c r="C60" s="82"/>
      <c r="D60" s="82"/>
      <c r="E60" s="82"/>
      <c r="F60" s="82"/>
      <c r="G60" s="222"/>
      <c r="H60" s="222"/>
      <c r="I60" s="222"/>
      <c r="J60" s="6"/>
      <c r="K60" s="6"/>
      <c r="L60" s="6"/>
      <c r="M60" s="6"/>
      <c r="N60" s="6"/>
      <c r="O60" s="6"/>
      <c r="P60" s="6"/>
      <c r="Q60" s="6"/>
      <c r="R60" s="6"/>
      <c r="S60" s="6"/>
      <c r="T60" s="6"/>
      <c r="U60" s="6"/>
    </row>
    <row r="61" spans="1:21">
      <c r="A61" s="82"/>
      <c r="B61" s="83"/>
      <c r="C61" s="82"/>
      <c r="D61" s="82"/>
      <c r="E61" s="82"/>
      <c r="F61" s="82"/>
      <c r="G61" s="222"/>
      <c r="H61" s="222"/>
      <c r="I61" s="222"/>
      <c r="J61" s="6"/>
      <c r="K61" s="6"/>
      <c r="L61" s="6"/>
      <c r="M61" s="6"/>
      <c r="N61" s="6"/>
      <c r="O61" s="6"/>
      <c r="P61" s="6"/>
      <c r="Q61" s="6"/>
      <c r="R61" s="6"/>
      <c r="S61" s="6"/>
      <c r="T61" s="6"/>
      <c r="U61" s="6"/>
    </row>
    <row r="62" spans="1:21">
      <c r="A62" s="82"/>
      <c r="B62" s="83"/>
      <c r="C62" s="82"/>
      <c r="D62" s="82"/>
      <c r="E62" s="82"/>
      <c r="F62" s="82"/>
      <c r="G62" s="222"/>
      <c r="H62" s="222"/>
      <c r="I62" s="222"/>
      <c r="J62" s="6"/>
      <c r="K62" s="6"/>
      <c r="L62" s="6"/>
      <c r="M62" s="6"/>
      <c r="N62" s="6"/>
      <c r="O62" s="6"/>
      <c r="P62" s="6"/>
      <c r="Q62" s="6"/>
      <c r="R62" s="6"/>
      <c r="S62" s="6"/>
      <c r="T62" s="6"/>
      <c r="U62" s="6"/>
    </row>
    <row r="63" spans="1:21">
      <c r="A63" s="82"/>
      <c r="B63" s="83"/>
      <c r="C63" s="82"/>
      <c r="D63" s="82"/>
      <c r="E63" s="82"/>
      <c r="F63" s="82"/>
      <c r="G63" s="222"/>
      <c r="H63" s="222"/>
      <c r="I63" s="222"/>
      <c r="J63" s="6"/>
      <c r="K63" s="6"/>
      <c r="L63" s="6"/>
      <c r="M63" s="6"/>
      <c r="N63" s="6"/>
      <c r="O63" s="6"/>
      <c r="P63" s="6"/>
      <c r="Q63" s="6"/>
      <c r="R63" s="6"/>
      <c r="S63" s="6"/>
      <c r="T63" s="6"/>
      <c r="U63" s="6"/>
    </row>
    <row r="64" spans="1:21">
      <c r="A64" s="82"/>
      <c r="B64" s="83"/>
      <c r="C64" s="82"/>
      <c r="D64" s="82"/>
      <c r="E64" s="82"/>
      <c r="F64" s="82"/>
      <c r="G64" s="222"/>
      <c r="H64" s="222"/>
      <c r="I64" s="222"/>
      <c r="J64" s="6"/>
      <c r="K64" s="6"/>
      <c r="L64" s="6"/>
      <c r="M64" s="6"/>
      <c r="N64" s="6"/>
      <c r="O64" s="6"/>
      <c r="P64" s="6"/>
      <c r="Q64" s="6"/>
      <c r="R64" s="6"/>
      <c r="S64" s="6"/>
      <c r="T64" s="6"/>
      <c r="U64" s="6"/>
    </row>
    <row r="65" spans="1:21">
      <c r="A65" s="82"/>
      <c r="B65" s="83"/>
      <c r="C65" s="82"/>
      <c r="D65" s="82"/>
      <c r="E65" s="82"/>
      <c r="F65" s="82"/>
      <c r="G65" s="222"/>
      <c r="H65" s="222"/>
      <c r="I65" s="222"/>
      <c r="J65" s="6"/>
      <c r="K65" s="6"/>
      <c r="L65" s="6"/>
      <c r="M65" s="6"/>
      <c r="N65" s="6"/>
      <c r="O65" s="6"/>
      <c r="P65" s="6"/>
      <c r="Q65" s="6"/>
      <c r="R65" s="6"/>
      <c r="S65" s="6"/>
      <c r="T65" s="6"/>
      <c r="U65" s="6"/>
    </row>
    <row r="66" spans="1:21">
      <c r="A66" s="82"/>
      <c r="B66" s="83"/>
      <c r="C66" s="82"/>
      <c r="D66" s="82"/>
      <c r="E66" s="82"/>
      <c r="F66" s="82"/>
      <c r="G66" s="222"/>
      <c r="H66" s="222"/>
      <c r="I66" s="222"/>
      <c r="J66" s="6"/>
      <c r="K66" s="6"/>
      <c r="L66" s="6"/>
      <c r="M66" s="6"/>
      <c r="N66" s="6"/>
      <c r="O66" s="6"/>
      <c r="P66" s="6"/>
      <c r="Q66" s="6"/>
      <c r="R66" s="6"/>
      <c r="S66" s="6"/>
      <c r="T66" s="6"/>
      <c r="U66" s="6"/>
    </row>
    <row r="67" spans="1:21">
      <c r="A67" s="82"/>
      <c r="B67" s="83"/>
      <c r="C67" s="82"/>
      <c r="D67" s="82"/>
      <c r="E67" s="82"/>
      <c r="F67" s="82"/>
      <c r="G67" s="222"/>
      <c r="H67" s="222"/>
      <c r="I67" s="222"/>
      <c r="J67" s="6"/>
      <c r="K67" s="6"/>
      <c r="L67" s="6"/>
      <c r="M67" s="6"/>
      <c r="N67" s="6"/>
      <c r="O67" s="6"/>
      <c r="P67" s="6"/>
      <c r="Q67" s="6"/>
      <c r="R67" s="6"/>
      <c r="S67" s="6"/>
      <c r="T67" s="6"/>
      <c r="U67" s="6"/>
    </row>
    <row r="68" spans="1:21">
      <c r="A68" s="82"/>
      <c r="B68" s="83"/>
      <c r="C68" s="82"/>
      <c r="D68" s="82"/>
      <c r="E68" s="82"/>
      <c r="F68" s="82"/>
      <c r="G68" s="222"/>
      <c r="H68" s="222"/>
      <c r="I68" s="222"/>
      <c r="J68" s="6"/>
      <c r="K68" s="6"/>
      <c r="L68" s="6"/>
      <c r="M68" s="6"/>
      <c r="N68" s="6"/>
      <c r="O68" s="6"/>
      <c r="P68" s="6"/>
      <c r="Q68" s="6"/>
      <c r="R68" s="6"/>
      <c r="S68" s="6"/>
      <c r="T68" s="6"/>
      <c r="U68" s="6"/>
    </row>
    <row r="69" spans="1:21">
      <c r="A69" s="82"/>
      <c r="B69" s="83"/>
      <c r="C69" s="82"/>
      <c r="D69" s="82"/>
      <c r="E69" s="82"/>
      <c r="F69" s="82"/>
      <c r="G69" s="222"/>
      <c r="H69" s="222"/>
      <c r="I69" s="222"/>
      <c r="J69" s="6"/>
      <c r="K69" s="6"/>
      <c r="L69" s="6"/>
      <c r="M69" s="6"/>
      <c r="N69" s="6"/>
      <c r="O69" s="6"/>
      <c r="P69" s="6"/>
      <c r="Q69" s="6"/>
      <c r="R69" s="6"/>
      <c r="S69" s="6"/>
      <c r="T69" s="6"/>
      <c r="U69" s="6"/>
    </row>
    <row r="70" spans="1:21">
      <c r="A70" s="82"/>
      <c r="B70" s="83"/>
      <c r="C70" s="82"/>
      <c r="D70" s="82"/>
      <c r="E70" s="82"/>
      <c r="F70" s="82"/>
      <c r="G70" s="222"/>
      <c r="H70" s="222"/>
      <c r="I70" s="222"/>
      <c r="J70" s="6"/>
      <c r="K70" s="6"/>
      <c r="L70" s="6"/>
      <c r="M70" s="6"/>
      <c r="N70" s="6"/>
      <c r="O70" s="6"/>
      <c r="P70" s="6"/>
      <c r="Q70" s="6"/>
      <c r="R70" s="6"/>
      <c r="S70" s="6"/>
      <c r="T70" s="6"/>
      <c r="U70" s="6"/>
    </row>
    <row r="71" spans="1:21">
      <c r="A71" s="82"/>
      <c r="B71" s="83"/>
      <c r="C71" s="82"/>
      <c r="D71" s="82"/>
      <c r="E71" s="82"/>
      <c r="F71" s="82"/>
      <c r="G71" s="222"/>
      <c r="H71" s="222"/>
      <c r="I71" s="222"/>
      <c r="J71" s="6"/>
      <c r="K71" s="6"/>
      <c r="L71" s="6"/>
      <c r="M71" s="6"/>
      <c r="N71" s="6"/>
      <c r="O71" s="6"/>
      <c r="P71" s="6"/>
      <c r="Q71" s="6"/>
      <c r="R71" s="6"/>
      <c r="S71" s="6"/>
      <c r="T71" s="6"/>
      <c r="U71" s="6"/>
    </row>
    <row r="72" spans="1:21">
      <c r="A72" s="82"/>
      <c r="B72" s="83"/>
      <c r="C72" s="82"/>
      <c r="D72" s="82"/>
      <c r="E72" s="82"/>
      <c r="F72" s="82"/>
      <c r="G72" s="222"/>
      <c r="H72" s="222"/>
      <c r="I72" s="222"/>
      <c r="J72" s="6"/>
      <c r="K72" s="6"/>
      <c r="L72" s="6"/>
      <c r="M72" s="6"/>
      <c r="N72" s="6"/>
      <c r="O72" s="6"/>
      <c r="P72" s="6"/>
      <c r="Q72" s="6"/>
      <c r="R72" s="6"/>
      <c r="S72" s="6"/>
      <c r="T72" s="6"/>
      <c r="U72" s="6"/>
    </row>
    <row r="73" spans="1:21">
      <c r="A73" s="82"/>
      <c r="B73" s="83"/>
      <c r="C73" s="82"/>
      <c r="D73" s="82"/>
      <c r="E73" s="82"/>
      <c r="F73" s="82"/>
      <c r="G73" s="222"/>
      <c r="H73" s="222"/>
      <c r="I73" s="222"/>
      <c r="J73" s="6"/>
      <c r="K73" s="6"/>
      <c r="L73" s="6"/>
      <c r="M73" s="6"/>
      <c r="N73" s="6"/>
      <c r="O73" s="6"/>
      <c r="P73" s="6"/>
      <c r="Q73" s="6"/>
      <c r="R73" s="6"/>
      <c r="S73" s="6"/>
      <c r="T73" s="6"/>
      <c r="U73" s="6"/>
    </row>
    <row r="74" spans="1:21">
      <c r="A74" s="82"/>
      <c r="B74" s="83"/>
      <c r="C74" s="82"/>
      <c r="D74" s="82"/>
      <c r="E74" s="82"/>
      <c r="F74" s="82"/>
      <c r="G74" s="222"/>
      <c r="H74" s="222"/>
      <c r="I74" s="222"/>
      <c r="J74" s="6"/>
      <c r="K74" s="6"/>
      <c r="L74" s="6"/>
      <c r="M74" s="6"/>
      <c r="N74" s="6"/>
      <c r="O74" s="6"/>
      <c r="P74" s="6"/>
      <c r="Q74" s="6"/>
      <c r="R74" s="6"/>
      <c r="S74" s="6"/>
      <c r="T74" s="6"/>
      <c r="U74" s="6"/>
    </row>
    <row r="75" spans="1:21">
      <c r="A75" s="82"/>
      <c r="B75" s="83"/>
      <c r="C75" s="82"/>
      <c r="D75" s="82"/>
      <c r="E75" s="82"/>
      <c r="F75" s="82"/>
      <c r="G75" s="222"/>
      <c r="H75" s="222"/>
      <c r="I75" s="222"/>
      <c r="J75" s="6"/>
      <c r="K75" s="6"/>
      <c r="L75" s="6"/>
      <c r="M75" s="6"/>
      <c r="N75" s="6"/>
      <c r="O75" s="6"/>
      <c r="P75" s="6"/>
      <c r="Q75" s="6"/>
      <c r="R75" s="6"/>
      <c r="S75" s="6"/>
      <c r="T75" s="6"/>
      <c r="U75" s="6"/>
    </row>
    <row r="76" spans="1:21">
      <c r="A76" s="82"/>
      <c r="B76" s="83"/>
      <c r="C76" s="82"/>
      <c r="D76" s="82"/>
      <c r="E76" s="82"/>
      <c r="F76" s="82"/>
      <c r="G76" s="222"/>
      <c r="H76" s="222"/>
      <c r="I76" s="222"/>
      <c r="J76" s="6"/>
      <c r="K76" s="6"/>
      <c r="L76" s="6"/>
      <c r="M76" s="6"/>
      <c r="N76" s="6"/>
      <c r="O76" s="6"/>
      <c r="P76" s="6"/>
      <c r="Q76" s="6"/>
      <c r="R76" s="6"/>
      <c r="S76" s="6"/>
      <c r="T76" s="6"/>
      <c r="U76" s="6"/>
    </row>
    <row r="77" spans="1:21">
      <c r="A77" s="82"/>
      <c r="B77" s="83"/>
      <c r="C77" s="82"/>
      <c r="D77" s="82"/>
      <c r="E77" s="82"/>
      <c r="F77" s="82"/>
      <c r="G77" s="222"/>
      <c r="H77" s="222"/>
      <c r="I77" s="222"/>
      <c r="J77" s="6"/>
      <c r="K77" s="6"/>
      <c r="L77" s="6"/>
      <c r="M77" s="6"/>
      <c r="N77" s="6"/>
      <c r="O77" s="6"/>
      <c r="P77" s="6"/>
      <c r="Q77" s="6"/>
      <c r="R77" s="6"/>
      <c r="S77" s="6"/>
      <c r="T77" s="6"/>
      <c r="U77" s="6"/>
    </row>
    <row r="78" spans="1:21">
      <c r="A78" s="82"/>
      <c r="B78" s="83"/>
      <c r="C78" s="82"/>
      <c r="D78" s="82"/>
      <c r="E78" s="82"/>
      <c r="F78" s="82"/>
      <c r="G78" s="222"/>
      <c r="H78" s="222"/>
      <c r="I78" s="222"/>
      <c r="J78" s="6"/>
      <c r="K78" s="6"/>
      <c r="L78" s="6"/>
      <c r="M78" s="6"/>
      <c r="N78" s="6"/>
      <c r="O78" s="6"/>
      <c r="P78" s="6"/>
      <c r="Q78" s="6"/>
      <c r="R78" s="6"/>
      <c r="S78" s="6"/>
      <c r="T78" s="6"/>
      <c r="U78" s="6"/>
    </row>
    <row r="79" spans="1:21">
      <c r="A79" s="82"/>
      <c r="B79" s="83"/>
      <c r="C79" s="82"/>
      <c r="D79" s="82"/>
      <c r="E79" s="82"/>
      <c r="F79" s="82"/>
      <c r="G79" s="222"/>
      <c r="H79" s="222"/>
      <c r="I79" s="222"/>
      <c r="J79" s="6"/>
      <c r="K79" s="6"/>
      <c r="L79" s="6"/>
      <c r="M79" s="6"/>
      <c r="N79" s="6"/>
      <c r="O79" s="6"/>
      <c r="P79" s="6"/>
      <c r="Q79" s="6"/>
      <c r="R79" s="6"/>
      <c r="S79" s="6"/>
      <c r="T79" s="6"/>
      <c r="U79" s="6"/>
    </row>
    <row r="80" spans="1:21">
      <c r="A80" s="82"/>
      <c r="B80" s="83"/>
      <c r="C80" s="82"/>
      <c r="D80" s="82"/>
      <c r="E80" s="82"/>
      <c r="F80" s="82"/>
      <c r="G80" s="222"/>
      <c r="H80" s="222"/>
      <c r="I80" s="222"/>
      <c r="J80" s="6"/>
      <c r="K80" s="6"/>
      <c r="L80" s="6"/>
      <c r="M80" s="6"/>
      <c r="N80" s="6"/>
      <c r="O80" s="6"/>
      <c r="P80" s="6"/>
      <c r="Q80" s="6"/>
      <c r="R80" s="6"/>
      <c r="S80" s="6"/>
      <c r="T80" s="6"/>
      <c r="U80" s="6"/>
    </row>
    <row r="81" spans="1:21">
      <c r="A81" s="82"/>
      <c r="B81" s="83"/>
      <c r="C81" s="82"/>
      <c r="D81" s="82"/>
      <c r="E81" s="82"/>
      <c r="F81" s="82"/>
      <c r="G81" s="222"/>
      <c r="H81" s="222"/>
      <c r="I81" s="222"/>
      <c r="J81" s="6"/>
      <c r="K81" s="6"/>
      <c r="L81" s="6"/>
      <c r="M81" s="6"/>
      <c r="N81" s="6"/>
      <c r="O81" s="6"/>
      <c r="P81" s="6"/>
      <c r="Q81" s="6"/>
      <c r="R81" s="6"/>
      <c r="S81" s="6"/>
      <c r="T81" s="6"/>
      <c r="U81" s="6"/>
    </row>
    <row r="82" spans="1:21">
      <c r="A82" s="82"/>
      <c r="B82" s="83"/>
      <c r="C82" s="82"/>
      <c r="D82" s="82"/>
      <c r="E82" s="82"/>
      <c r="F82" s="82"/>
      <c r="G82" s="222"/>
      <c r="H82" s="222"/>
      <c r="I82" s="222"/>
      <c r="J82" s="6"/>
      <c r="K82" s="6"/>
      <c r="L82" s="6"/>
      <c r="M82" s="6"/>
      <c r="N82" s="6"/>
      <c r="O82" s="6"/>
      <c r="P82" s="6"/>
      <c r="Q82" s="6"/>
      <c r="R82" s="6"/>
      <c r="S82" s="6"/>
      <c r="T82" s="6"/>
      <c r="U82" s="6"/>
    </row>
    <row r="83" spans="1:21">
      <c r="A83" s="82"/>
      <c r="B83" s="83"/>
      <c r="C83" s="82"/>
      <c r="D83" s="82"/>
      <c r="E83" s="82"/>
      <c r="F83" s="82"/>
      <c r="G83" s="222"/>
      <c r="H83" s="222"/>
      <c r="I83" s="222"/>
      <c r="J83" s="6"/>
      <c r="K83" s="6"/>
      <c r="L83" s="6"/>
      <c r="M83" s="6"/>
      <c r="N83" s="6"/>
      <c r="O83" s="6"/>
      <c r="P83" s="6"/>
      <c r="Q83" s="6"/>
      <c r="R83" s="6"/>
      <c r="S83" s="6"/>
      <c r="T83" s="6"/>
      <c r="U83" s="6"/>
    </row>
    <row r="84" spans="1:21">
      <c r="A84" s="82"/>
      <c r="B84" s="83"/>
      <c r="C84" s="82"/>
      <c r="D84" s="82"/>
      <c r="E84" s="82"/>
      <c r="F84" s="82"/>
      <c r="G84" s="222"/>
      <c r="H84" s="222"/>
      <c r="I84" s="222"/>
      <c r="J84" s="6"/>
      <c r="K84" s="6"/>
      <c r="L84" s="6"/>
      <c r="M84" s="6"/>
      <c r="N84" s="6"/>
      <c r="O84" s="6"/>
      <c r="P84" s="6"/>
      <c r="Q84" s="6"/>
      <c r="R84" s="6"/>
      <c r="S84" s="6"/>
      <c r="T84" s="6"/>
      <c r="U84" s="6"/>
    </row>
    <row r="85" spans="1:21">
      <c r="A85" s="82"/>
      <c r="B85" s="83"/>
      <c r="C85" s="82"/>
      <c r="D85" s="82"/>
      <c r="E85" s="82"/>
      <c r="F85" s="82"/>
      <c r="G85" s="222"/>
      <c r="H85" s="222"/>
      <c r="I85" s="222"/>
      <c r="J85" s="6"/>
      <c r="K85" s="6"/>
      <c r="L85" s="6"/>
      <c r="M85" s="6"/>
      <c r="N85" s="6"/>
      <c r="O85" s="6"/>
      <c r="P85" s="6"/>
      <c r="Q85" s="6"/>
      <c r="R85" s="6"/>
      <c r="S85" s="6"/>
      <c r="T85" s="6"/>
      <c r="U85" s="6"/>
    </row>
    <row r="86" spans="1:21">
      <c r="A86" s="82"/>
      <c r="B86" s="83"/>
      <c r="C86" s="82"/>
      <c r="D86" s="82"/>
      <c r="E86" s="82"/>
      <c r="F86" s="82"/>
      <c r="G86" s="222"/>
      <c r="H86" s="222"/>
      <c r="I86" s="222"/>
      <c r="J86" s="6"/>
      <c r="K86" s="6"/>
      <c r="L86" s="6"/>
      <c r="M86" s="6"/>
      <c r="N86" s="6"/>
      <c r="O86" s="6"/>
      <c r="P86" s="6"/>
      <c r="Q86" s="6"/>
      <c r="R86" s="6"/>
      <c r="S86" s="6"/>
      <c r="T86" s="6"/>
      <c r="U86" s="6"/>
    </row>
    <row r="87" spans="1:21">
      <c r="A87" s="82"/>
      <c r="B87" s="83"/>
      <c r="C87" s="82"/>
      <c r="D87" s="82"/>
      <c r="E87" s="82"/>
      <c r="F87" s="82"/>
      <c r="G87" s="222"/>
      <c r="H87" s="222"/>
      <c r="I87" s="222"/>
      <c r="J87" s="6"/>
      <c r="K87" s="6"/>
      <c r="L87" s="6"/>
      <c r="M87" s="6"/>
      <c r="N87" s="6"/>
      <c r="O87" s="6"/>
      <c r="P87" s="6"/>
      <c r="Q87" s="6"/>
      <c r="R87" s="6"/>
      <c r="S87" s="6"/>
      <c r="T87" s="6"/>
      <c r="U87" s="6"/>
    </row>
    <row r="88" spans="1:21">
      <c r="A88" s="82"/>
      <c r="B88" s="83"/>
      <c r="C88" s="82"/>
      <c r="D88" s="82"/>
      <c r="E88" s="82"/>
      <c r="F88" s="82"/>
      <c r="G88" s="222"/>
      <c r="H88" s="222"/>
      <c r="I88" s="222"/>
      <c r="J88" s="6"/>
      <c r="K88" s="6"/>
      <c r="L88" s="6"/>
      <c r="M88" s="6"/>
      <c r="N88" s="6"/>
      <c r="O88" s="6"/>
      <c r="P88" s="6"/>
      <c r="Q88" s="6"/>
      <c r="R88" s="6"/>
      <c r="S88" s="6"/>
      <c r="T88" s="6"/>
      <c r="U88" s="6"/>
    </row>
    <row r="89" spans="1:21">
      <c r="A89" s="82"/>
      <c r="B89" s="83"/>
      <c r="C89" s="82"/>
      <c r="D89" s="82"/>
      <c r="E89" s="82"/>
      <c r="F89" s="82"/>
      <c r="G89" s="222"/>
      <c r="H89" s="222"/>
      <c r="I89" s="222"/>
      <c r="J89" s="6"/>
      <c r="K89" s="6"/>
      <c r="L89" s="6"/>
      <c r="M89" s="6"/>
      <c r="N89" s="6"/>
      <c r="O89" s="6"/>
      <c r="P89" s="6"/>
      <c r="Q89" s="6"/>
      <c r="R89" s="6"/>
      <c r="S89" s="6"/>
      <c r="T89" s="6"/>
      <c r="U89" s="6"/>
    </row>
    <row r="90" spans="1:21">
      <c r="A90" s="82"/>
      <c r="B90" s="83"/>
      <c r="C90" s="82"/>
      <c r="D90" s="82"/>
      <c r="E90" s="82"/>
      <c r="F90" s="82"/>
      <c r="G90" s="222"/>
      <c r="H90" s="222"/>
      <c r="I90" s="222"/>
      <c r="J90" s="6"/>
      <c r="K90" s="6"/>
      <c r="L90" s="6"/>
      <c r="M90" s="6"/>
      <c r="N90" s="6"/>
      <c r="O90" s="6"/>
      <c r="P90" s="6"/>
      <c r="Q90" s="6"/>
      <c r="R90" s="6"/>
      <c r="S90" s="6"/>
      <c r="T90" s="6"/>
      <c r="U90" s="6"/>
    </row>
    <row r="91" spans="1:21">
      <c r="A91" s="82"/>
      <c r="B91" s="83"/>
      <c r="C91" s="82"/>
      <c r="D91" s="82"/>
      <c r="E91" s="82"/>
      <c r="F91" s="82"/>
      <c r="G91" s="222"/>
      <c r="H91" s="222"/>
      <c r="I91" s="222"/>
      <c r="J91" s="6"/>
      <c r="K91" s="6"/>
      <c r="L91" s="6"/>
      <c r="M91" s="6"/>
      <c r="N91" s="6"/>
      <c r="O91" s="6"/>
      <c r="P91" s="6"/>
      <c r="Q91" s="6"/>
      <c r="R91" s="6"/>
      <c r="S91" s="6"/>
      <c r="T91" s="6"/>
      <c r="U91" s="6"/>
    </row>
    <row r="92" spans="1:21">
      <c r="A92" s="82"/>
      <c r="B92" s="83"/>
      <c r="C92" s="82"/>
      <c r="D92" s="82"/>
      <c r="E92" s="82"/>
      <c r="F92" s="82"/>
      <c r="G92" s="222"/>
      <c r="H92" s="222"/>
      <c r="I92" s="222"/>
      <c r="J92" s="6"/>
      <c r="K92" s="6"/>
      <c r="L92" s="6"/>
      <c r="M92" s="6"/>
      <c r="N92" s="6"/>
      <c r="O92" s="6"/>
      <c r="P92" s="6"/>
      <c r="Q92" s="6"/>
      <c r="R92" s="6"/>
      <c r="S92" s="6"/>
      <c r="T92" s="6"/>
      <c r="U92" s="6"/>
    </row>
    <row r="93" spans="1:21">
      <c r="A93" s="82"/>
      <c r="B93" s="83"/>
      <c r="C93" s="82"/>
      <c r="D93" s="82"/>
      <c r="E93" s="82"/>
      <c r="F93" s="82"/>
      <c r="G93" s="222"/>
      <c r="H93" s="222"/>
      <c r="I93" s="222"/>
      <c r="J93" s="6"/>
      <c r="K93" s="6"/>
      <c r="L93" s="6"/>
      <c r="M93" s="6"/>
      <c r="N93" s="6"/>
      <c r="O93" s="6"/>
      <c r="P93" s="6"/>
      <c r="Q93" s="6"/>
      <c r="R93" s="6"/>
      <c r="S93" s="6"/>
      <c r="T93" s="6"/>
      <c r="U93" s="6"/>
    </row>
    <row r="94" spans="1:21">
      <c r="A94" s="82"/>
      <c r="B94" s="83"/>
      <c r="C94" s="82"/>
      <c r="D94" s="82"/>
      <c r="E94" s="82"/>
      <c r="F94" s="82"/>
      <c r="G94" s="222"/>
      <c r="H94" s="222"/>
      <c r="I94" s="222"/>
      <c r="J94" s="6"/>
      <c r="K94" s="6"/>
      <c r="L94" s="6"/>
      <c r="M94" s="6"/>
      <c r="N94" s="6"/>
      <c r="O94" s="6"/>
      <c r="P94" s="6"/>
      <c r="Q94" s="6"/>
      <c r="R94" s="6"/>
      <c r="S94" s="6"/>
      <c r="T94" s="6"/>
      <c r="U94" s="6"/>
    </row>
    <row r="95" spans="1:21">
      <c r="A95" s="82"/>
      <c r="B95" s="83"/>
      <c r="C95" s="82"/>
      <c r="D95" s="82"/>
      <c r="E95" s="82"/>
      <c r="F95" s="82"/>
      <c r="G95" s="222"/>
      <c r="H95" s="222"/>
      <c r="I95" s="222"/>
      <c r="J95" s="6"/>
      <c r="K95" s="6"/>
      <c r="L95" s="6"/>
      <c r="M95" s="6"/>
      <c r="N95" s="6"/>
      <c r="O95" s="6"/>
      <c r="P95" s="6"/>
      <c r="Q95" s="6"/>
      <c r="R95" s="6"/>
      <c r="S95" s="6"/>
      <c r="T95" s="6"/>
      <c r="U95" s="6"/>
    </row>
    <row r="96" spans="1:21">
      <c r="A96" s="82"/>
      <c r="B96" s="83"/>
      <c r="C96" s="82"/>
      <c r="D96" s="82"/>
      <c r="E96" s="82"/>
      <c r="F96" s="82"/>
      <c r="G96" s="222"/>
      <c r="H96" s="222"/>
      <c r="I96" s="222"/>
      <c r="J96" s="6"/>
      <c r="K96" s="6"/>
      <c r="L96" s="6"/>
      <c r="M96" s="6"/>
      <c r="N96" s="6"/>
      <c r="O96" s="6"/>
      <c r="P96" s="6"/>
      <c r="Q96" s="6"/>
      <c r="R96" s="6"/>
      <c r="S96" s="6"/>
      <c r="T96" s="6"/>
      <c r="U96" s="6"/>
    </row>
    <row r="97" spans="1:21">
      <c r="A97" s="82"/>
      <c r="B97" s="83"/>
      <c r="C97" s="82"/>
      <c r="D97" s="82"/>
      <c r="E97" s="82"/>
      <c r="F97" s="82"/>
      <c r="G97" s="222"/>
      <c r="H97" s="222"/>
      <c r="I97" s="222"/>
      <c r="J97" s="6"/>
      <c r="K97" s="6"/>
      <c r="L97" s="6"/>
      <c r="M97" s="6"/>
      <c r="N97" s="6"/>
      <c r="O97" s="6"/>
      <c r="P97" s="6"/>
      <c r="Q97" s="6"/>
      <c r="R97" s="6"/>
      <c r="S97" s="6"/>
      <c r="T97" s="6"/>
      <c r="U97" s="6"/>
    </row>
    <row r="98" spans="1:21">
      <c r="A98" s="82"/>
      <c r="B98" s="83"/>
      <c r="C98" s="82"/>
      <c r="D98" s="82"/>
      <c r="E98" s="82"/>
      <c r="F98" s="82"/>
      <c r="G98" s="222"/>
      <c r="H98" s="222"/>
      <c r="I98" s="222"/>
      <c r="J98" s="6"/>
      <c r="K98" s="6"/>
      <c r="L98" s="6"/>
      <c r="M98" s="6"/>
      <c r="N98" s="6"/>
      <c r="O98" s="6"/>
      <c r="P98" s="6"/>
      <c r="Q98" s="6"/>
      <c r="R98" s="6"/>
      <c r="S98" s="6"/>
      <c r="T98" s="6"/>
      <c r="U98" s="6"/>
    </row>
    <row r="99" spans="1:21">
      <c r="A99" s="82"/>
      <c r="B99" s="83"/>
      <c r="C99" s="82"/>
      <c r="D99" s="82"/>
      <c r="E99" s="82"/>
      <c r="F99" s="82"/>
      <c r="G99" s="222"/>
      <c r="H99" s="222"/>
      <c r="I99" s="222"/>
      <c r="J99" s="6"/>
      <c r="K99" s="6"/>
      <c r="L99" s="6"/>
      <c r="M99" s="6"/>
      <c r="N99" s="6"/>
      <c r="O99" s="6"/>
      <c r="P99" s="6"/>
      <c r="Q99" s="6"/>
      <c r="R99" s="6"/>
      <c r="S99" s="6"/>
      <c r="T99" s="6"/>
      <c r="U99" s="6"/>
    </row>
    <row r="100" spans="1:21">
      <c r="A100" s="82"/>
      <c r="B100" s="83"/>
      <c r="C100" s="82"/>
      <c r="D100" s="82"/>
      <c r="E100" s="82"/>
      <c r="F100" s="82"/>
      <c r="G100" s="222"/>
      <c r="H100" s="222"/>
      <c r="I100" s="222"/>
      <c r="J100" s="6"/>
      <c r="K100" s="6"/>
      <c r="L100" s="6"/>
      <c r="M100" s="6"/>
      <c r="N100" s="6"/>
      <c r="O100" s="6"/>
      <c r="P100" s="6"/>
      <c r="Q100" s="6"/>
      <c r="R100" s="6"/>
      <c r="S100" s="6"/>
      <c r="T100" s="6"/>
      <c r="U100" s="6"/>
    </row>
    <row r="101" spans="1:21">
      <c r="A101" s="82"/>
      <c r="B101" s="83"/>
      <c r="C101" s="82"/>
      <c r="D101" s="82"/>
      <c r="E101" s="82"/>
      <c r="F101" s="82"/>
      <c r="G101" s="222"/>
      <c r="H101" s="222"/>
      <c r="I101" s="222"/>
      <c r="J101" s="6"/>
      <c r="K101" s="6"/>
      <c r="L101" s="6"/>
      <c r="M101" s="6"/>
      <c r="N101" s="6"/>
      <c r="O101" s="6"/>
      <c r="P101" s="6"/>
      <c r="Q101" s="6"/>
      <c r="R101" s="6"/>
      <c r="S101" s="6"/>
      <c r="T101" s="6"/>
      <c r="U101" s="6"/>
    </row>
    <row r="102" spans="1:21">
      <c r="A102" s="82"/>
      <c r="B102" s="83"/>
      <c r="C102" s="82"/>
      <c r="D102" s="82"/>
      <c r="E102" s="82"/>
      <c r="F102" s="82"/>
      <c r="G102" s="222"/>
      <c r="H102" s="222"/>
      <c r="I102" s="222"/>
      <c r="J102" s="6"/>
      <c r="K102" s="6"/>
      <c r="L102" s="6"/>
      <c r="M102" s="6"/>
      <c r="N102" s="6"/>
      <c r="O102" s="6"/>
      <c r="P102" s="6"/>
      <c r="Q102" s="6"/>
      <c r="R102" s="6"/>
      <c r="S102" s="6"/>
      <c r="T102" s="6"/>
      <c r="U102" s="6"/>
    </row>
    <row r="103" spans="1:21">
      <c r="A103" s="82"/>
      <c r="B103" s="83"/>
      <c r="C103" s="82"/>
      <c r="D103" s="82"/>
      <c r="E103" s="82"/>
      <c r="F103" s="82"/>
      <c r="G103" s="222"/>
      <c r="H103" s="222"/>
      <c r="I103" s="222"/>
      <c r="J103" s="6"/>
      <c r="K103" s="6"/>
      <c r="L103" s="6"/>
      <c r="M103" s="6"/>
      <c r="N103" s="6"/>
      <c r="O103" s="6"/>
      <c r="P103" s="6"/>
      <c r="Q103" s="6"/>
      <c r="R103" s="6"/>
      <c r="S103" s="6"/>
      <c r="T103" s="6"/>
      <c r="U103" s="6"/>
    </row>
    <row r="104" spans="1:21">
      <c r="A104" s="82"/>
      <c r="B104" s="83"/>
      <c r="C104" s="82"/>
      <c r="D104" s="82"/>
      <c r="E104" s="82"/>
      <c r="F104" s="82"/>
      <c r="G104" s="222"/>
      <c r="H104" s="222"/>
      <c r="I104" s="222"/>
      <c r="J104" s="6"/>
      <c r="K104" s="6"/>
      <c r="L104" s="6"/>
      <c r="M104" s="6"/>
      <c r="N104" s="6"/>
      <c r="O104" s="6"/>
      <c r="P104" s="6"/>
      <c r="Q104" s="6"/>
      <c r="R104" s="6"/>
      <c r="S104" s="6"/>
      <c r="T104" s="6"/>
      <c r="U104" s="6"/>
    </row>
    <row r="105" spans="1:21">
      <c r="A105" s="82"/>
      <c r="B105" s="83"/>
      <c r="C105" s="82"/>
      <c r="D105" s="82"/>
      <c r="E105" s="82"/>
      <c r="F105" s="82"/>
      <c r="G105" s="222"/>
      <c r="H105" s="222"/>
      <c r="I105" s="222"/>
      <c r="J105" s="6"/>
      <c r="K105" s="6"/>
      <c r="L105" s="6"/>
      <c r="M105" s="6"/>
      <c r="N105" s="6"/>
      <c r="O105" s="6"/>
      <c r="P105" s="6"/>
      <c r="Q105" s="6"/>
      <c r="R105" s="6"/>
      <c r="S105" s="6"/>
      <c r="T105" s="6"/>
      <c r="U105" s="6"/>
    </row>
    <row r="106" spans="1:21">
      <c r="A106" s="82"/>
      <c r="B106" s="83"/>
      <c r="C106" s="82"/>
      <c r="D106" s="82"/>
      <c r="E106" s="82"/>
      <c r="F106" s="82"/>
      <c r="G106" s="222"/>
      <c r="H106" s="222"/>
      <c r="I106" s="222"/>
      <c r="J106" s="6"/>
      <c r="K106" s="6"/>
      <c r="L106" s="6"/>
      <c r="M106" s="6"/>
      <c r="N106" s="6"/>
      <c r="O106" s="6"/>
      <c r="P106" s="6"/>
      <c r="Q106" s="6"/>
      <c r="R106" s="6"/>
      <c r="S106" s="6"/>
      <c r="T106" s="6"/>
      <c r="U106" s="6"/>
    </row>
    <row r="107" spans="1:21">
      <c r="A107" s="82"/>
      <c r="B107" s="83"/>
      <c r="C107" s="82"/>
      <c r="D107" s="82"/>
      <c r="E107" s="82"/>
      <c r="F107" s="82"/>
      <c r="G107" s="222"/>
      <c r="H107" s="222"/>
      <c r="I107" s="222"/>
      <c r="J107" s="6"/>
      <c r="K107" s="6"/>
      <c r="L107" s="6"/>
      <c r="M107" s="6"/>
      <c r="N107" s="6"/>
      <c r="O107" s="6"/>
      <c r="P107" s="6"/>
      <c r="Q107" s="6"/>
      <c r="R107" s="6"/>
      <c r="S107" s="6"/>
      <c r="T107" s="6"/>
      <c r="U107" s="6"/>
    </row>
    <row r="108" spans="1:21">
      <c r="A108" s="82"/>
      <c r="B108" s="83"/>
      <c r="C108" s="82"/>
      <c r="D108" s="82"/>
      <c r="E108" s="82"/>
      <c r="F108" s="82"/>
      <c r="G108" s="222"/>
      <c r="H108" s="222"/>
      <c r="I108" s="222"/>
      <c r="J108" s="6"/>
      <c r="K108" s="6"/>
      <c r="L108" s="6"/>
      <c r="M108" s="6"/>
      <c r="N108" s="6"/>
      <c r="O108" s="6"/>
      <c r="P108" s="6"/>
      <c r="Q108" s="6"/>
      <c r="R108" s="6"/>
      <c r="S108" s="6"/>
      <c r="T108" s="6"/>
      <c r="U108" s="6"/>
    </row>
    <row r="109" spans="1:21">
      <c r="A109" s="82"/>
      <c r="B109" s="83"/>
      <c r="C109" s="82"/>
      <c r="D109" s="82"/>
      <c r="E109" s="82"/>
      <c r="F109" s="82"/>
      <c r="G109" s="222"/>
      <c r="H109" s="222"/>
      <c r="I109" s="222"/>
      <c r="J109" s="6"/>
      <c r="K109" s="6"/>
      <c r="L109" s="6"/>
      <c r="M109" s="6"/>
      <c r="N109" s="6"/>
      <c r="O109" s="6"/>
      <c r="P109" s="6"/>
      <c r="Q109" s="6"/>
      <c r="R109" s="6"/>
      <c r="S109" s="6"/>
      <c r="T109" s="6"/>
      <c r="U109" s="6"/>
    </row>
    <row r="110" spans="1:21">
      <c r="A110" s="82"/>
      <c r="B110" s="83"/>
      <c r="C110" s="82"/>
      <c r="D110" s="82"/>
      <c r="E110" s="82"/>
      <c r="F110" s="82"/>
      <c r="G110" s="222"/>
      <c r="H110" s="222"/>
      <c r="I110" s="222"/>
      <c r="J110" s="6"/>
      <c r="K110" s="6"/>
      <c r="L110" s="6"/>
      <c r="M110" s="6"/>
      <c r="N110" s="6"/>
      <c r="O110" s="6"/>
      <c r="P110" s="6"/>
      <c r="Q110" s="6"/>
      <c r="R110" s="6"/>
      <c r="S110" s="6"/>
      <c r="T110" s="6"/>
      <c r="U110" s="6"/>
    </row>
    <row r="111" spans="1:21">
      <c r="A111" s="82"/>
      <c r="B111" s="83"/>
      <c r="C111" s="82"/>
      <c r="D111" s="82"/>
      <c r="E111" s="82"/>
      <c r="F111" s="82"/>
      <c r="G111" s="222"/>
      <c r="H111" s="222"/>
      <c r="I111" s="222"/>
      <c r="J111" s="6"/>
      <c r="K111" s="6"/>
      <c r="L111" s="6"/>
      <c r="M111" s="6"/>
      <c r="N111" s="6"/>
      <c r="O111" s="6"/>
      <c r="P111" s="6"/>
      <c r="Q111" s="6"/>
      <c r="R111" s="6"/>
      <c r="S111" s="6"/>
      <c r="T111" s="6"/>
      <c r="U111" s="6"/>
    </row>
    <row r="112" spans="1:21">
      <c r="A112" s="82"/>
      <c r="B112" s="83"/>
      <c r="C112" s="82"/>
      <c r="D112" s="82"/>
      <c r="E112" s="82"/>
      <c r="F112" s="82"/>
      <c r="G112" s="222"/>
      <c r="H112" s="222"/>
      <c r="I112" s="222"/>
      <c r="J112" s="6"/>
      <c r="K112" s="6"/>
      <c r="L112" s="6"/>
      <c r="M112" s="6"/>
      <c r="N112" s="6"/>
      <c r="O112" s="6"/>
      <c r="P112" s="6"/>
      <c r="Q112" s="6"/>
      <c r="R112" s="6"/>
      <c r="S112" s="6"/>
      <c r="T112" s="6"/>
      <c r="U112" s="6"/>
    </row>
    <row r="113" spans="1:21">
      <c r="A113" s="82"/>
      <c r="B113" s="83"/>
      <c r="C113" s="82"/>
      <c r="D113" s="82"/>
      <c r="E113" s="82"/>
      <c r="F113" s="82"/>
      <c r="G113" s="222"/>
      <c r="H113" s="222"/>
      <c r="I113" s="222"/>
      <c r="J113" s="6"/>
      <c r="K113" s="6"/>
      <c r="L113" s="6"/>
      <c r="M113" s="6"/>
      <c r="N113" s="6"/>
      <c r="O113" s="6"/>
      <c r="P113" s="6"/>
      <c r="Q113" s="6"/>
      <c r="R113" s="6"/>
      <c r="S113" s="6"/>
      <c r="T113" s="6"/>
      <c r="U113" s="6"/>
    </row>
    <row r="114" spans="1:21">
      <c r="A114" s="82"/>
      <c r="B114" s="83"/>
      <c r="C114" s="82"/>
      <c r="D114" s="82"/>
      <c r="E114" s="82"/>
      <c r="F114" s="82"/>
      <c r="G114" s="222"/>
      <c r="H114" s="222"/>
      <c r="I114" s="222"/>
      <c r="J114" s="6"/>
      <c r="K114" s="6"/>
      <c r="L114" s="6"/>
      <c r="M114" s="6"/>
      <c r="N114" s="6"/>
      <c r="O114" s="6"/>
      <c r="P114" s="6"/>
      <c r="Q114" s="6"/>
      <c r="R114" s="6"/>
      <c r="S114" s="6"/>
      <c r="T114" s="6"/>
      <c r="U114" s="6"/>
    </row>
    <row r="115" spans="1:21">
      <c r="A115" s="82"/>
      <c r="B115" s="83"/>
      <c r="C115" s="82"/>
      <c r="D115" s="82"/>
      <c r="E115" s="82"/>
      <c r="F115" s="82"/>
      <c r="G115" s="222"/>
      <c r="H115" s="222"/>
      <c r="I115" s="222"/>
      <c r="J115" s="6"/>
      <c r="K115" s="6"/>
      <c r="L115" s="6"/>
      <c r="M115" s="6"/>
      <c r="N115" s="6"/>
      <c r="O115" s="6"/>
      <c r="P115" s="6"/>
      <c r="Q115" s="6"/>
      <c r="R115" s="6"/>
      <c r="S115" s="6"/>
      <c r="T115" s="6"/>
      <c r="U115" s="6"/>
    </row>
    <row r="116" spans="1:21">
      <c r="A116" s="82"/>
      <c r="B116" s="83"/>
      <c r="C116" s="82"/>
      <c r="D116" s="82"/>
      <c r="E116" s="82"/>
      <c r="F116" s="82"/>
      <c r="G116" s="222"/>
      <c r="H116" s="222"/>
      <c r="I116" s="222"/>
      <c r="J116" s="6"/>
      <c r="K116" s="6"/>
      <c r="L116" s="6"/>
      <c r="M116" s="6"/>
      <c r="N116" s="6"/>
      <c r="O116" s="6"/>
      <c r="P116" s="6"/>
      <c r="Q116" s="6"/>
      <c r="R116" s="6"/>
      <c r="S116" s="6"/>
      <c r="T116" s="6"/>
      <c r="U116" s="6"/>
    </row>
    <row r="117" spans="1:21">
      <c r="A117" s="82"/>
      <c r="B117" s="83"/>
      <c r="C117" s="82"/>
      <c r="D117" s="82"/>
      <c r="E117" s="82"/>
      <c r="F117" s="82"/>
      <c r="G117" s="222"/>
      <c r="H117" s="222"/>
      <c r="I117" s="222"/>
      <c r="J117" s="6"/>
      <c r="K117" s="6"/>
      <c r="L117" s="6"/>
      <c r="M117" s="6"/>
      <c r="N117" s="6"/>
      <c r="O117" s="6"/>
      <c r="P117" s="6"/>
      <c r="Q117" s="6"/>
      <c r="R117" s="6"/>
      <c r="S117" s="6"/>
      <c r="T117" s="6"/>
      <c r="U117" s="6"/>
    </row>
    <row r="118" spans="1:21">
      <c r="A118" s="82"/>
      <c r="B118" s="83"/>
      <c r="C118" s="82"/>
      <c r="D118" s="82"/>
      <c r="E118" s="82"/>
      <c r="F118" s="82"/>
      <c r="G118" s="222"/>
      <c r="H118" s="222"/>
      <c r="I118" s="222"/>
      <c r="J118" s="6"/>
      <c r="K118" s="6"/>
      <c r="L118" s="6"/>
      <c r="M118" s="6"/>
      <c r="N118" s="6"/>
      <c r="O118" s="6"/>
      <c r="P118" s="6"/>
      <c r="Q118" s="6"/>
      <c r="R118" s="6"/>
      <c r="S118" s="6"/>
      <c r="T118" s="6"/>
      <c r="U118" s="6"/>
    </row>
    <row r="119" spans="1:21">
      <c r="A119" s="82"/>
      <c r="B119" s="83"/>
      <c r="C119" s="82"/>
      <c r="D119" s="82"/>
      <c r="E119" s="82"/>
      <c r="F119" s="82"/>
      <c r="G119" s="222"/>
      <c r="H119" s="222"/>
      <c r="I119" s="222"/>
      <c r="J119" s="6"/>
      <c r="K119" s="6"/>
      <c r="L119" s="6"/>
      <c r="M119" s="6"/>
      <c r="N119" s="6"/>
      <c r="O119" s="6"/>
      <c r="P119" s="6"/>
      <c r="Q119" s="6"/>
      <c r="R119" s="6"/>
      <c r="S119" s="6"/>
      <c r="T119" s="6"/>
      <c r="U119" s="6"/>
    </row>
    <row r="120" spans="1:21">
      <c r="A120" s="82"/>
      <c r="B120" s="83"/>
      <c r="C120" s="82"/>
      <c r="D120" s="82"/>
      <c r="E120" s="82"/>
      <c r="F120" s="82"/>
      <c r="G120" s="222"/>
      <c r="H120" s="222"/>
      <c r="I120" s="222"/>
      <c r="J120" s="6"/>
      <c r="K120" s="6"/>
      <c r="L120" s="6"/>
      <c r="M120" s="6"/>
      <c r="N120" s="6"/>
      <c r="O120" s="6"/>
      <c r="P120" s="6"/>
      <c r="Q120" s="6"/>
      <c r="R120" s="6"/>
      <c r="S120" s="6"/>
      <c r="T120" s="6"/>
      <c r="U120" s="6"/>
    </row>
    <row r="121" spans="1:21">
      <c r="A121" s="82"/>
      <c r="B121" s="83"/>
      <c r="C121" s="82"/>
      <c r="D121" s="82"/>
      <c r="E121" s="82"/>
      <c r="F121" s="82"/>
      <c r="G121" s="222"/>
      <c r="H121" s="222"/>
      <c r="I121" s="222"/>
      <c r="J121" s="6"/>
      <c r="K121" s="6"/>
      <c r="L121" s="6"/>
      <c r="M121" s="6"/>
      <c r="N121" s="6"/>
      <c r="O121" s="6"/>
      <c r="P121" s="6"/>
      <c r="Q121" s="6"/>
      <c r="R121" s="6"/>
      <c r="S121" s="6"/>
      <c r="T121" s="6"/>
      <c r="U121" s="6"/>
    </row>
    <row r="122" spans="1:21">
      <c r="A122" s="82"/>
      <c r="B122" s="83"/>
      <c r="C122" s="82"/>
      <c r="D122" s="82"/>
      <c r="E122" s="82"/>
      <c r="F122" s="82"/>
      <c r="G122" s="222"/>
      <c r="H122" s="222"/>
      <c r="I122" s="222"/>
      <c r="J122" s="6"/>
      <c r="K122" s="6"/>
      <c r="L122" s="6"/>
      <c r="M122" s="6"/>
      <c r="N122" s="6"/>
      <c r="O122" s="6"/>
      <c r="P122" s="6"/>
      <c r="Q122" s="6"/>
      <c r="R122" s="6"/>
      <c r="S122" s="6"/>
      <c r="T122" s="6"/>
      <c r="U122" s="6"/>
    </row>
    <row r="123" spans="1:21">
      <c r="A123" s="82"/>
      <c r="B123" s="83"/>
      <c r="C123" s="82"/>
      <c r="D123" s="82"/>
      <c r="E123" s="82"/>
      <c r="F123" s="82"/>
      <c r="G123" s="222"/>
      <c r="H123" s="222"/>
      <c r="I123" s="222"/>
      <c r="J123" s="6"/>
      <c r="K123" s="6"/>
      <c r="L123" s="6"/>
      <c r="M123" s="6"/>
      <c r="N123" s="6"/>
      <c r="O123" s="6"/>
      <c r="P123" s="6"/>
      <c r="Q123" s="6"/>
      <c r="R123" s="6"/>
      <c r="S123" s="6"/>
      <c r="T123" s="6"/>
      <c r="U123" s="6"/>
    </row>
    <row r="124" spans="1:21">
      <c r="A124" s="82"/>
      <c r="B124" s="83"/>
      <c r="C124" s="82"/>
      <c r="D124" s="82"/>
      <c r="E124" s="82"/>
      <c r="F124" s="82"/>
      <c r="G124" s="222"/>
      <c r="H124" s="222"/>
      <c r="I124" s="222"/>
      <c r="J124" s="6"/>
      <c r="K124" s="6"/>
      <c r="L124" s="6"/>
      <c r="M124" s="6"/>
      <c r="N124" s="6"/>
      <c r="O124" s="6"/>
      <c r="P124" s="6"/>
      <c r="Q124" s="6"/>
      <c r="R124" s="6"/>
      <c r="S124" s="6"/>
      <c r="T124" s="6"/>
      <c r="U124" s="6"/>
    </row>
    <row r="125" spans="1:21">
      <c r="A125" s="82"/>
      <c r="B125" s="83"/>
      <c r="C125" s="82"/>
      <c r="D125" s="82"/>
      <c r="E125" s="82"/>
      <c r="F125" s="82"/>
      <c r="G125" s="222"/>
      <c r="H125" s="222"/>
      <c r="I125" s="222"/>
      <c r="J125" s="6"/>
      <c r="K125" s="6"/>
      <c r="L125" s="6"/>
      <c r="M125" s="6"/>
      <c r="N125" s="6"/>
      <c r="O125" s="6"/>
      <c r="P125" s="6"/>
      <c r="Q125" s="6"/>
      <c r="R125" s="6"/>
      <c r="S125" s="6"/>
      <c r="T125" s="6"/>
      <c r="U125" s="6"/>
    </row>
    <row r="126" spans="1:21">
      <c r="A126" s="82"/>
      <c r="B126" s="83"/>
      <c r="C126" s="82"/>
      <c r="D126" s="82"/>
      <c r="E126" s="82"/>
      <c r="F126" s="82"/>
      <c r="G126" s="222"/>
      <c r="H126" s="222"/>
      <c r="I126" s="222"/>
      <c r="J126" s="6"/>
      <c r="K126" s="6"/>
      <c r="L126" s="6"/>
      <c r="M126" s="6"/>
      <c r="N126" s="6"/>
      <c r="O126" s="6"/>
      <c r="P126" s="6"/>
      <c r="Q126" s="6"/>
      <c r="R126" s="6"/>
      <c r="S126" s="6"/>
      <c r="T126" s="6"/>
      <c r="U126" s="6"/>
    </row>
    <row r="127" spans="1:21">
      <c r="A127" s="82"/>
      <c r="B127" s="83"/>
      <c r="C127" s="82"/>
      <c r="D127" s="82"/>
      <c r="E127" s="82"/>
      <c r="F127" s="82"/>
      <c r="G127" s="222"/>
      <c r="H127" s="222"/>
      <c r="I127" s="222"/>
      <c r="J127" s="6"/>
      <c r="K127" s="6"/>
      <c r="L127" s="6"/>
      <c r="M127" s="6"/>
      <c r="N127" s="6"/>
      <c r="O127" s="6"/>
      <c r="P127" s="6"/>
      <c r="Q127" s="6"/>
      <c r="R127" s="6"/>
      <c r="S127" s="6"/>
      <c r="T127" s="6"/>
      <c r="U127" s="6"/>
    </row>
    <row r="128" spans="1:21">
      <c r="A128" s="82"/>
      <c r="B128" s="83"/>
      <c r="C128" s="82"/>
      <c r="D128" s="82"/>
      <c r="E128" s="82"/>
      <c r="F128" s="82"/>
      <c r="G128" s="222"/>
      <c r="H128" s="222"/>
      <c r="I128" s="222"/>
      <c r="J128" s="6"/>
      <c r="K128" s="6"/>
      <c r="L128" s="6"/>
      <c r="M128" s="6"/>
      <c r="N128" s="6"/>
      <c r="O128" s="6"/>
      <c r="P128" s="6"/>
      <c r="Q128" s="6"/>
      <c r="R128" s="6"/>
      <c r="S128" s="6"/>
      <c r="T128" s="6"/>
      <c r="U128" s="6"/>
    </row>
    <row r="129" spans="1:21">
      <c r="A129" s="82"/>
      <c r="B129" s="83"/>
      <c r="C129" s="82"/>
      <c r="D129" s="82"/>
      <c r="E129" s="82"/>
      <c r="F129" s="82"/>
      <c r="G129" s="222"/>
      <c r="H129" s="222"/>
      <c r="I129" s="222"/>
      <c r="J129" s="6"/>
      <c r="K129" s="6"/>
      <c r="L129" s="6"/>
      <c r="M129" s="6"/>
      <c r="N129" s="6"/>
      <c r="O129" s="6"/>
      <c r="P129" s="6"/>
      <c r="Q129" s="6"/>
      <c r="R129" s="6"/>
      <c r="S129" s="6"/>
      <c r="T129" s="6"/>
      <c r="U129" s="6"/>
    </row>
    <row r="130" spans="1:21">
      <c r="A130" s="82"/>
      <c r="B130" s="83"/>
      <c r="C130" s="82"/>
      <c r="D130" s="82"/>
      <c r="E130" s="82"/>
      <c r="F130" s="82"/>
      <c r="G130" s="222"/>
      <c r="H130" s="222"/>
      <c r="I130" s="222"/>
      <c r="J130" s="6"/>
      <c r="K130" s="6"/>
      <c r="L130" s="6"/>
      <c r="M130" s="6"/>
      <c r="N130" s="6"/>
      <c r="O130" s="6"/>
      <c r="P130" s="6"/>
      <c r="Q130" s="6"/>
      <c r="R130" s="6"/>
      <c r="S130" s="6"/>
      <c r="T130" s="6"/>
      <c r="U130" s="6"/>
    </row>
    <row r="131" spans="1:21">
      <c r="A131" s="82"/>
      <c r="B131" s="83"/>
      <c r="C131" s="82"/>
      <c r="D131" s="82"/>
      <c r="E131" s="82"/>
      <c r="F131" s="82"/>
      <c r="G131" s="222"/>
      <c r="H131" s="222"/>
      <c r="I131" s="222"/>
      <c r="J131" s="6"/>
      <c r="K131" s="6"/>
      <c r="L131" s="6"/>
      <c r="M131" s="6"/>
      <c r="N131" s="6"/>
      <c r="O131" s="6"/>
      <c r="P131" s="6"/>
      <c r="Q131" s="6"/>
      <c r="R131" s="6"/>
      <c r="S131" s="6"/>
      <c r="T131" s="6"/>
      <c r="U131" s="6"/>
    </row>
    <row r="132" spans="1:21">
      <c r="A132" s="82"/>
      <c r="B132" s="83"/>
      <c r="C132" s="82"/>
      <c r="D132" s="82"/>
      <c r="E132" s="82"/>
      <c r="F132" s="82"/>
      <c r="G132" s="222"/>
      <c r="H132" s="222"/>
      <c r="I132" s="222"/>
      <c r="J132" s="6"/>
      <c r="K132" s="6"/>
      <c r="L132" s="6"/>
      <c r="M132" s="6"/>
      <c r="N132" s="6"/>
      <c r="O132" s="6"/>
      <c r="P132" s="6"/>
      <c r="Q132" s="6"/>
      <c r="R132" s="6"/>
      <c r="S132" s="6"/>
      <c r="T132" s="6"/>
      <c r="U132" s="6"/>
    </row>
    <row r="133" spans="1:21">
      <c r="A133" s="82"/>
      <c r="B133" s="83"/>
      <c r="C133" s="82"/>
      <c r="D133" s="82"/>
      <c r="E133" s="82"/>
      <c r="F133" s="82"/>
      <c r="G133" s="222"/>
      <c r="H133" s="222"/>
      <c r="I133" s="222"/>
      <c r="J133" s="6"/>
      <c r="K133" s="6"/>
      <c r="L133" s="6"/>
      <c r="M133" s="6"/>
      <c r="N133" s="6"/>
      <c r="O133" s="6"/>
      <c r="P133" s="6"/>
      <c r="Q133" s="6"/>
      <c r="R133" s="6"/>
      <c r="S133" s="6"/>
      <c r="T133" s="6"/>
      <c r="U133" s="6"/>
    </row>
    <row r="134" spans="1:21">
      <c r="A134" s="82"/>
      <c r="B134" s="83"/>
      <c r="C134" s="82"/>
      <c r="D134" s="82"/>
      <c r="E134" s="82"/>
      <c r="F134" s="82"/>
      <c r="G134" s="222"/>
      <c r="H134" s="222"/>
      <c r="I134" s="222"/>
      <c r="J134" s="6"/>
      <c r="K134" s="6"/>
      <c r="L134" s="6"/>
      <c r="M134" s="6"/>
      <c r="N134" s="6"/>
      <c r="O134" s="6"/>
      <c r="P134" s="6"/>
      <c r="Q134" s="6"/>
      <c r="R134" s="6"/>
      <c r="S134" s="6"/>
      <c r="T134" s="6"/>
      <c r="U134" s="6"/>
    </row>
    <row r="135" spans="1:21">
      <c r="A135" s="82"/>
      <c r="B135" s="83"/>
      <c r="C135" s="82"/>
      <c r="D135" s="82"/>
      <c r="E135" s="82"/>
      <c r="F135" s="82"/>
      <c r="G135" s="222"/>
      <c r="H135" s="222"/>
      <c r="I135" s="222"/>
      <c r="J135" s="6"/>
      <c r="K135" s="6"/>
      <c r="L135" s="6"/>
      <c r="M135" s="6"/>
      <c r="N135" s="6"/>
      <c r="O135" s="6"/>
      <c r="P135" s="6"/>
      <c r="Q135" s="6"/>
      <c r="R135" s="6"/>
      <c r="S135" s="6"/>
      <c r="T135" s="6"/>
      <c r="U135" s="6"/>
    </row>
    <row r="136" spans="1:21">
      <c r="A136" s="82"/>
      <c r="B136" s="83"/>
      <c r="C136" s="82"/>
      <c r="D136" s="82"/>
      <c r="E136" s="82"/>
      <c r="F136" s="82"/>
      <c r="G136" s="222"/>
      <c r="H136" s="222"/>
      <c r="I136" s="222"/>
      <c r="J136" s="6"/>
      <c r="K136" s="6"/>
      <c r="L136" s="6"/>
      <c r="M136" s="6"/>
      <c r="N136" s="6"/>
      <c r="O136" s="6"/>
      <c r="P136" s="6"/>
      <c r="Q136" s="6"/>
      <c r="R136" s="6"/>
      <c r="S136" s="6"/>
      <c r="T136" s="6"/>
      <c r="U136" s="6"/>
    </row>
    <row r="137" spans="1:21">
      <c r="A137" s="82"/>
      <c r="B137" s="83"/>
      <c r="C137" s="82"/>
      <c r="D137" s="82"/>
      <c r="E137" s="82"/>
      <c r="F137" s="82"/>
      <c r="G137" s="222"/>
      <c r="H137" s="222"/>
      <c r="I137" s="222"/>
      <c r="J137" s="6"/>
      <c r="K137" s="6"/>
      <c r="L137" s="6"/>
      <c r="M137" s="6"/>
      <c r="N137" s="6"/>
      <c r="O137" s="6"/>
      <c r="P137" s="6"/>
      <c r="Q137" s="6"/>
      <c r="R137" s="6"/>
      <c r="S137" s="6"/>
      <c r="T137" s="6"/>
      <c r="U137" s="6"/>
    </row>
    <row r="138" spans="1:21">
      <c r="A138" s="82"/>
      <c r="B138" s="83"/>
      <c r="C138" s="82"/>
      <c r="D138" s="82"/>
      <c r="E138" s="82"/>
      <c r="F138" s="82"/>
      <c r="G138" s="222"/>
      <c r="H138" s="222"/>
      <c r="I138" s="222"/>
      <c r="J138" s="6"/>
      <c r="K138" s="6"/>
      <c r="L138" s="6"/>
      <c r="M138" s="6"/>
      <c r="N138" s="6"/>
      <c r="O138" s="6"/>
      <c r="P138" s="6"/>
      <c r="Q138" s="6"/>
      <c r="R138" s="6"/>
      <c r="S138" s="6"/>
      <c r="T138" s="6"/>
      <c r="U138" s="6"/>
    </row>
    <row r="139" spans="1:21">
      <c r="A139" s="82"/>
      <c r="B139" s="83"/>
      <c r="C139" s="82"/>
      <c r="D139" s="82"/>
      <c r="E139" s="82"/>
      <c r="F139" s="82"/>
      <c r="G139" s="222"/>
      <c r="H139" s="222"/>
      <c r="I139" s="222"/>
      <c r="J139" s="6"/>
      <c r="K139" s="6"/>
      <c r="L139" s="6"/>
      <c r="M139" s="6"/>
      <c r="N139" s="6"/>
      <c r="O139" s="6"/>
      <c r="P139" s="6"/>
      <c r="Q139" s="6"/>
      <c r="R139" s="6"/>
      <c r="S139" s="6"/>
      <c r="T139" s="6"/>
      <c r="U139" s="6"/>
    </row>
    <row r="140" spans="1:21">
      <c r="A140" s="82"/>
      <c r="B140" s="83"/>
      <c r="C140" s="82"/>
      <c r="D140" s="82"/>
      <c r="E140" s="82"/>
      <c r="F140" s="82"/>
      <c r="G140" s="222"/>
      <c r="H140" s="222"/>
      <c r="I140" s="222"/>
      <c r="J140" s="6"/>
      <c r="K140" s="6"/>
      <c r="L140" s="6"/>
      <c r="M140" s="6"/>
      <c r="N140" s="6"/>
      <c r="O140" s="6"/>
      <c r="P140" s="6"/>
      <c r="Q140" s="6"/>
      <c r="R140" s="6"/>
      <c r="S140" s="6"/>
      <c r="T140" s="6"/>
      <c r="U140" s="6"/>
    </row>
    <row r="141" spans="1:21">
      <c r="A141" s="82"/>
      <c r="B141" s="83"/>
      <c r="C141" s="82"/>
      <c r="D141" s="82"/>
      <c r="E141" s="82"/>
      <c r="F141" s="82"/>
      <c r="G141" s="222"/>
      <c r="H141" s="222"/>
      <c r="I141" s="222"/>
      <c r="J141" s="6"/>
      <c r="K141" s="6"/>
      <c r="L141" s="6"/>
      <c r="M141" s="6"/>
      <c r="N141" s="6"/>
      <c r="O141" s="6"/>
      <c r="P141" s="6"/>
      <c r="Q141" s="6"/>
      <c r="R141" s="6"/>
      <c r="S141" s="6"/>
      <c r="T141" s="6"/>
      <c r="U141" s="6"/>
    </row>
    <row r="142" spans="1:21">
      <c r="A142" s="82"/>
      <c r="B142" s="83"/>
      <c r="C142" s="82"/>
      <c r="D142" s="82"/>
      <c r="E142" s="82"/>
      <c r="F142" s="82"/>
      <c r="G142" s="222"/>
      <c r="H142" s="222"/>
      <c r="I142" s="222"/>
      <c r="J142" s="6"/>
      <c r="K142" s="6"/>
      <c r="L142" s="6"/>
      <c r="M142" s="6"/>
      <c r="N142" s="6"/>
      <c r="O142" s="6"/>
      <c r="P142" s="6"/>
      <c r="Q142" s="6"/>
      <c r="R142" s="6"/>
      <c r="S142" s="6"/>
      <c r="T142" s="6"/>
      <c r="U142" s="6"/>
    </row>
    <row r="143" spans="1:21">
      <c r="A143" s="82"/>
      <c r="B143" s="83"/>
      <c r="C143" s="82"/>
      <c r="D143" s="82"/>
      <c r="E143" s="82"/>
      <c r="F143" s="82"/>
      <c r="G143" s="222"/>
      <c r="H143" s="222"/>
      <c r="I143" s="222"/>
      <c r="J143" s="6"/>
      <c r="K143" s="6"/>
      <c r="L143" s="6"/>
      <c r="M143" s="6"/>
      <c r="N143" s="6"/>
      <c r="O143" s="6"/>
      <c r="P143" s="6"/>
      <c r="Q143" s="6"/>
      <c r="R143" s="6"/>
      <c r="S143" s="6"/>
      <c r="T143" s="6"/>
      <c r="U143" s="6"/>
    </row>
    <row r="144" spans="1:21">
      <c r="A144" s="82"/>
      <c r="B144" s="83"/>
      <c r="C144" s="82"/>
      <c r="D144" s="82"/>
      <c r="E144" s="82"/>
      <c r="F144" s="82"/>
      <c r="G144" s="222"/>
      <c r="H144" s="222"/>
      <c r="I144" s="222"/>
      <c r="J144" s="6"/>
      <c r="K144" s="6"/>
      <c r="L144" s="6"/>
      <c r="M144" s="6"/>
      <c r="N144" s="6"/>
      <c r="O144" s="6"/>
      <c r="P144" s="6"/>
      <c r="Q144" s="6"/>
      <c r="R144" s="6"/>
      <c r="S144" s="6"/>
      <c r="T144" s="6"/>
      <c r="U144" s="6"/>
    </row>
    <row r="145" spans="1:21">
      <c r="A145" s="82"/>
      <c r="B145" s="83"/>
      <c r="C145" s="82"/>
      <c r="D145" s="82"/>
      <c r="E145" s="82"/>
      <c r="F145" s="82"/>
      <c r="G145" s="222"/>
      <c r="H145" s="222"/>
      <c r="I145" s="222"/>
      <c r="J145" s="6"/>
      <c r="K145" s="6"/>
      <c r="L145" s="6"/>
      <c r="M145" s="6"/>
      <c r="N145" s="6"/>
      <c r="O145" s="6"/>
      <c r="P145" s="6"/>
      <c r="Q145" s="6"/>
      <c r="R145" s="6"/>
      <c r="S145" s="6"/>
      <c r="T145" s="6"/>
      <c r="U145" s="6"/>
    </row>
    <row r="146" spans="1:21">
      <c r="A146" s="82"/>
      <c r="B146" s="83"/>
      <c r="C146" s="82"/>
      <c r="D146" s="82"/>
      <c r="E146" s="82"/>
      <c r="F146" s="82"/>
      <c r="G146" s="222"/>
      <c r="H146" s="222"/>
      <c r="I146" s="222"/>
      <c r="J146" s="6"/>
      <c r="K146" s="6"/>
      <c r="L146" s="6"/>
      <c r="M146" s="6"/>
      <c r="N146" s="6"/>
      <c r="O146" s="6"/>
      <c r="P146" s="6"/>
      <c r="Q146" s="6"/>
      <c r="R146" s="6"/>
      <c r="S146" s="6"/>
      <c r="T146" s="6"/>
      <c r="U146" s="6"/>
    </row>
    <row r="147" spans="1:21">
      <c r="A147" s="82"/>
      <c r="B147" s="83"/>
      <c r="C147" s="82"/>
      <c r="D147" s="82"/>
      <c r="E147" s="82"/>
      <c r="F147" s="82"/>
      <c r="G147" s="222"/>
      <c r="H147" s="222"/>
      <c r="I147" s="222"/>
      <c r="J147" s="6"/>
      <c r="K147" s="6"/>
      <c r="L147" s="6"/>
      <c r="M147" s="6"/>
      <c r="N147" s="6"/>
      <c r="O147" s="6"/>
      <c r="P147" s="6"/>
      <c r="Q147" s="6"/>
      <c r="R147" s="6"/>
      <c r="S147" s="6"/>
      <c r="T147" s="6"/>
      <c r="U147" s="6"/>
    </row>
    <row r="148" spans="1:21">
      <c r="A148" s="82"/>
      <c r="B148" s="83"/>
      <c r="C148" s="82"/>
      <c r="D148" s="82"/>
      <c r="E148" s="82"/>
      <c r="F148" s="82"/>
      <c r="G148" s="222"/>
      <c r="H148" s="222"/>
      <c r="I148" s="222"/>
      <c r="J148" s="6"/>
      <c r="K148" s="6"/>
      <c r="L148" s="6"/>
      <c r="M148" s="6"/>
      <c r="N148" s="6"/>
      <c r="O148" s="6"/>
      <c r="P148" s="6"/>
      <c r="Q148" s="6"/>
      <c r="R148" s="6"/>
      <c r="S148" s="6"/>
      <c r="T148" s="6"/>
      <c r="U148" s="6"/>
    </row>
    <row r="149" spans="1:21">
      <c r="A149" s="82"/>
      <c r="B149" s="83"/>
      <c r="C149" s="82"/>
      <c r="D149" s="82"/>
      <c r="E149" s="82"/>
      <c r="F149" s="82"/>
      <c r="G149" s="222"/>
      <c r="H149" s="222"/>
      <c r="I149" s="222"/>
      <c r="J149" s="6"/>
      <c r="K149" s="6"/>
      <c r="L149" s="6"/>
      <c r="M149" s="6"/>
      <c r="N149" s="6"/>
      <c r="O149" s="6"/>
      <c r="P149" s="6"/>
      <c r="Q149" s="6"/>
      <c r="R149" s="6"/>
      <c r="S149" s="6"/>
      <c r="T149" s="6"/>
      <c r="U149" s="6"/>
    </row>
    <row r="150" spans="1:21">
      <c r="A150" s="82"/>
      <c r="B150" s="83"/>
      <c r="C150" s="82"/>
      <c r="D150" s="82"/>
      <c r="E150" s="82"/>
      <c r="F150" s="82"/>
      <c r="G150" s="222"/>
      <c r="H150" s="222"/>
      <c r="I150" s="222"/>
      <c r="J150" s="6"/>
      <c r="K150" s="6"/>
      <c r="L150" s="6"/>
      <c r="M150" s="6"/>
      <c r="N150" s="6"/>
      <c r="O150" s="6"/>
      <c r="P150" s="6"/>
      <c r="Q150" s="6"/>
      <c r="R150" s="6"/>
      <c r="S150" s="6"/>
      <c r="T150" s="6"/>
      <c r="U150" s="6"/>
    </row>
    <row r="151" spans="1:21">
      <c r="A151" s="82"/>
      <c r="B151" s="83"/>
      <c r="C151" s="82"/>
      <c r="D151" s="82"/>
      <c r="E151" s="82"/>
      <c r="F151" s="82"/>
      <c r="G151" s="222"/>
      <c r="H151" s="222"/>
      <c r="I151" s="222"/>
      <c r="J151" s="6"/>
      <c r="K151" s="6"/>
      <c r="L151" s="6"/>
      <c r="M151" s="6"/>
      <c r="N151" s="6"/>
      <c r="O151" s="6"/>
      <c r="P151" s="6"/>
      <c r="Q151" s="6"/>
      <c r="R151" s="6"/>
      <c r="S151" s="6"/>
      <c r="T151" s="6"/>
      <c r="U151" s="6"/>
    </row>
    <row r="152" spans="1:21">
      <c r="A152" s="82"/>
      <c r="B152" s="83"/>
      <c r="C152" s="82"/>
      <c r="D152" s="82"/>
      <c r="E152" s="82"/>
      <c r="F152" s="82"/>
      <c r="G152" s="222"/>
      <c r="H152" s="222"/>
      <c r="I152" s="222"/>
      <c r="J152" s="6"/>
      <c r="K152" s="6"/>
      <c r="L152" s="6"/>
      <c r="M152" s="6"/>
      <c r="N152" s="6"/>
      <c r="O152" s="6"/>
      <c r="P152" s="6"/>
      <c r="Q152" s="6"/>
      <c r="R152" s="6"/>
      <c r="S152" s="6"/>
      <c r="T152" s="6"/>
      <c r="U152" s="6"/>
    </row>
    <row r="153" spans="1:21">
      <c r="A153" s="82"/>
      <c r="B153" s="83"/>
      <c r="C153" s="82"/>
      <c r="D153" s="82"/>
      <c r="E153" s="82"/>
      <c r="F153" s="82"/>
      <c r="G153" s="222"/>
      <c r="H153" s="222"/>
      <c r="I153" s="222"/>
      <c r="J153" s="6"/>
      <c r="K153" s="6"/>
      <c r="L153" s="6"/>
      <c r="M153" s="6"/>
      <c r="N153" s="6"/>
      <c r="O153" s="6"/>
      <c r="P153" s="6"/>
      <c r="Q153" s="6"/>
      <c r="R153" s="6"/>
      <c r="S153" s="6"/>
      <c r="T153" s="6"/>
      <c r="U153" s="6"/>
    </row>
    <row r="154" spans="1:21">
      <c r="A154" s="82"/>
      <c r="B154" s="83"/>
      <c r="C154" s="82"/>
      <c r="D154" s="82"/>
      <c r="E154" s="82"/>
      <c r="F154" s="82"/>
      <c r="G154" s="222"/>
      <c r="H154" s="222"/>
      <c r="I154" s="222"/>
      <c r="J154" s="6"/>
      <c r="K154" s="6"/>
      <c r="L154" s="6"/>
      <c r="M154" s="6"/>
      <c r="N154" s="6"/>
      <c r="O154" s="6"/>
      <c r="P154" s="6"/>
      <c r="Q154" s="6"/>
      <c r="R154" s="6"/>
      <c r="S154" s="6"/>
      <c r="T154" s="6"/>
      <c r="U154" s="6"/>
    </row>
    <row r="155" spans="1:21">
      <c r="A155" s="82"/>
      <c r="B155" s="83"/>
      <c r="C155" s="82"/>
      <c r="D155" s="82"/>
      <c r="E155" s="82"/>
      <c r="F155" s="82"/>
      <c r="G155" s="222"/>
      <c r="H155" s="222"/>
      <c r="I155" s="222"/>
      <c r="J155" s="6"/>
      <c r="K155" s="6"/>
      <c r="L155" s="6"/>
      <c r="M155" s="6"/>
      <c r="N155" s="6"/>
      <c r="O155" s="6"/>
      <c r="P155" s="6"/>
      <c r="Q155" s="6"/>
      <c r="R155" s="6"/>
      <c r="S155" s="6"/>
      <c r="T155" s="6"/>
      <c r="U155" s="6"/>
    </row>
    <row r="156" spans="1:21">
      <c r="A156" s="82"/>
      <c r="B156" s="83"/>
      <c r="C156" s="82"/>
      <c r="D156" s="82"/>
      <c r="E156" s="82"/>
      <c r="F156" s="82"/>
      <c r="G156" s="222"/>
      <c r="H156" s="222"/>
      <c r="I156" s="222"/>
      <c r="J156" s="6"/>
      <c r="K156" s="6"/>
      <c r="L156" s="6"/>
      <c r="M156" s="6"/>
      <c r="N156" s="6"/>
      <c r="O156" s="6"/>
      <c r="P156" s="6"/>
      <c r="Q156" s="6"/>
      <c r="R156" s="6"/>
      <c r="S156" s="6"/>
      <c r="T156" s="6"/>
      <c r="U156" s="6"/>
    </row>
    <row r="157" spans="1:21">
      <c r="A157" s="82"/>
      <c r="B157" s="83"/>
      <c r="C157" s="82"/>
      <c r="D157" s="82"/>
      <c r="E157" s="82"/>
      <c r="F157" s="82"/>
      <c r="G157" s="222"/>
      <c r="H157" s="222"/>
      <c r="I157" s="222"/>
      <c r="J157" s="6"/>
      <c r="K157" s="6"/>
      <c r="L157" s="6"/>
      <c r="M157" s="6"/>
      <c r="N157" s="6"/>
      <c r="O157" s="6"/>
      <c r="P157" s="6"/>
      <c r="Q157" s="6"/>
      <c r="R157" s="6"/>
      <c r="S157" s="6"/>
      <c r="T157" s="6"/>
      <c r="U157" s="6"/>
    </row>
    <row r="158" spans="1:21">
      <c r="A158" s="82"/>
      <c r="B158" s="83"/>
      <c r="C158" s="82"/>
      <c r="D158" s="82"/>
      <c r="E158" s="82"/>
      <c r="F158" s="82"/>
      <c r="G158" s="222"/>
      <c r="H158" s="222"/>
      <c r="I158" s="222"/>
      <c r="J158" s="6"/>
      <c r="K158" s="6"/>
      <c r="L158" s="6"/>
      <c r="M158" s="6"/>
      <c r="N158" s="6"/>
      <c r="O158" s="6"/>
      <c r="P158" s="6"/>
      <c r="Q158" s="6"/>
      <c r="R158" s="6"/>
      <c r="S158" s="6"/>
      <c r="T158" s="6"/>
      <c r="U158" s="6"/>
    </row>
    <row r="159" spans="1:21">
      <c r="A159" s="82"/>
      <c r="B159" s="83"/>
      <c r="C159" s="82"/>
      <c r="D159" s="82"/>
      <c r="E159" s="82"/>
      <c r="F159" s="82"/>
      <c r="G159" s="222"/>
      <c r="H159" s="222"/>
      <c r="I159" s="222"/>
      <c r="J159" s="6"/>
      <c r="K159" s="6"/>
      <c r="L159" s="6"/>
      <c r="M159" s="6"/>
      <c r="N159" s="6"/>
      <c r="O159" s="6"/>
      <c r="P159" s="6"/>
      <c r="Q159" s="6"/>
      <c r="R159" s="6"/>
      <c r="S159" s="6"/>
      <c r="T159" s="6"/>
      <c r="U159" s="6"/>
    </row>
    <row r="160" spans="1:21">
      <c r="A160" s="82"/>
      <c r="B160" s="83"/>
      <c r="C160" s="82"/>
      <c r="D160" s="82"/>
      <c r="E160" s="82"/>
      <c r="F160" s="82"/>
      <c r="G160" s="222"/>
      <c r="H160" s="222"/>
      <c r="I160" s="222"/>
      <c r="J160" s="6"/>
      <c r="K160" s="6"/>
      <c r="L160" s="6"/>
      <c r="M160" s="6"/>
      <c r="N160" s="6"/>
      <c r="O160" s="6"/>
      <c r="P160" s="6"/>
      <c r="Q160" s="6"/>
      <c r="R160" s="6"/>
      <c r="S160" s="6"/>
      <c r="T160" s="6"/>
      <c r="U160" s="6"/>
    </row>
    <row r="161" spans="1:21">
      <c r="A161" s="82"/>
      <c r="B161" s="83"/>
      <c r="C161" s="82"/>
      <c r="D161" s="82"/>
      <c r="E161" s="82"/>
      <c r="F161" s="82"/>
      <c r="G161" s="222"/>
      <c r="H161" s="222"/>
      <c r="I161" s="222"/>
      <c r="J161" s="6"/>
      <c r="K161" s="6"/>
      <c r="L161" s="6"/>
      <c r="M161" s="6"/>
      <c r="N161" s="6"/>
      <c r="O161" s="6"/>
      <c r="P161" s="6"/>
      <c r="Q161" s="6"/>
      <c r="R161" s="6"/>
      <c r="S161" s="6"/>
      <c r="T161" s="6"/>
      <c r="U161" s="6"/>
    </row>
    <row r="162" spans="1:21">
      <c r="A162" s="82"/>
      <c r="B162" s="83"/>
      <c r="C162" s="82"/>
      <c r="D162" s="82"/>
      <c r="E162" s="82"/>
      <c r="F162" s="82"/>
      <c r="G162" s="222"/>
      <c r="H162" s="222"/>
      <c r="I162" s="222"/>
      <c r="J162" s="6"/>
      <c r="K162" s="6"/>
      <c r="L162" s="6"/>
      <c r="M162" s="6"/>
      <c r="N162" s="6"/>
      <c r="O162" s="6"/>
      <c r="P162" s="6"/>
      <c r="Q162" s="6"/>
      <c r="R162" s="6"/>
      <c r="S162" s="6"/>
      <c r="T162" s="6"/>
      <c r="U162" s="6"/>
    </row>
    <row r="163" spans="1:21">
      <c r="A163" s="82"/>
      <c r="B163" s="83"/>
      <c r="C163" s="82"/>
      <c r="D163" s="82"/>
      <c r="E163" s="82"/>
      <c r="F163" s="82"/>
      <c r="G163" s="222"/>
      <c r="H163" s="222"/>
      <c r="I163" s="222"/>
      <c r="J163" s="6"/>
      <c r="K163" s="6"/>
      <c r="L163" s="6"/>
      <c r="M163" s="6"/>
      <c r="N163" s="6"/>
      <c r="O163" s="6"/>
      <c r="P163" s="6"/>
      <c r="Q163" s="6"/>
      <c r="R163" s="6"/>
      <c r="S163" s="6"/>
      <c r="T163" s="6"/>
      <c r="U163" s="6"/>
    </row>
    <row r="164" spans="1:21">
      <c r="A164" s="82"/>
      <c r="B164" s="83"/>
      <c r="C164" s="82"/>
      <c r="D164" s="82"/>
      <c r="E164" s="82"/>
      <c r="F164" s="82"/>
      <c r="G164" s="222"/>
      <c r="H164" s="222"/>
      <c r="I164" s="222"/>
      <c r="J164" s="6"/>
      <c r="K164" s="6"/>
      <c r="L164" s="6"/>
      <c r="M164" s="6"/>
      <c r="N164" s="6"/>
      <c r="O164" s="6"/>
      <c r="P164" s="6"/>
      <c r="Q164" s="6"/>
      <c r="R164" s="6"/>
      <c r="S164" s="6"/>
      <c r="T164" s="6"/>
      <c r="U164" s="6"/>
    </row>
    <row r="165" spans="1:21">
      <c r="A165" s="82"/>
      <c r="B165" s="83"/>
      <c r="C165" s="82"/>
      <c r="D165" s="82"/>
      <c r="E165" s="82"/>
      <c r="F165" s="82"/>
      <c r="G165" s="222"/>
      <c r="H165" s="222"/>
      <c r="I165" s="222"/>
      <c r="J165" s="6"/>
      <c r="K165" s="6"/>
      <c r="L165" s="6"/>
      <c r="M165" s="6"/>
      <c r="N165" s="6"/>
      <c r="O165" s="6"/>
      <c r="P165" s="6"/>
      <c r="Q165" s="6"/>
      <c r="R165" s="6"/>
      <c r="S165" s="6"/>
      <c r="T165" s="6"/>
      <c r="U165" s="6"/>
    </row>
    <row r="166" spans="1:21">
      <c r="A166" s="82"/>
      <c r="B166" s="83"/>
      <c r="C166" s="82"/>
      <c r="D166" s="82"/>
      <c r="E166" s="82"/>
      <c r="F166" s="82"/>
      <c r="G166" s="222"/>
      <c r="H166" s="222"/>
      <c r="I166" s="222"/>
      <c r="J166" s="6"/>
      <c r="K166" s="6"/>
      <c r="L166" s="6"/>
      <c r="M166" s="6"/>
      <c r="N166" s="6"/>
      <c r="O166" s="6"/>
      <c r="P166" s="6"/>
      <c r="Q166" s="6"/>
      <c r="R166" s="6"/>
      <c r="S166" s="6"/>
      <c r="T166" s="6"/>
      <c r="U166" s="6"/>
    </row>
    <row r="167" spans="1:21">
      <c r="A167" s="82"/>
      <c r="B167" s="83"/>
      <c r="C167" s="82"/>
      <c r="D167" s="82"/>
      <c r="E167" s="82"/>
      <c r="F167" s="82"/>
      <c r="G167" s="222"/>
      <c r="H167" s="222"/>
      <c r="I167" s="222"/>
      <c r="J167" s="6"/>
      <c r="K167" s="6"/>
      <c r="L167" s="6"/>
      <c r="M167" s="6"/>
      <c r="N167" s="6"/>
      <c r="O167" s="6"/>
      <c r="P167" s="6"/>
      <c r="Q167" s="6"/>
      <c r="R167" s="6"/>
      <c r="S167" s="6"/>
      <c r="T167" s="6"/>
      <c r="U167" s="6"/>
    </row>
    <row r="168" spans="1:21">
      <c r="A168" s="82"/>
      <c r="B168" s="83"/>
      <c r="C168" s="82"/>
      <c r="D168" s="82"/>
      <c r="E168" s="82"/>
      <c r="F168" s="82"/>
      <c r="G168" s="222"/>
      <c r="H168" s="222"/>
      <c r="I168" s="222"/>
      <c r="J168" s="6"/>
      <c r="K168" s="6"/>
      <c r="L168" s="6"/>
      <c r="M168" s="6"/>
      <c r="N168" s="6"/>
      <c r="O168" s="6"/>
      <c r="P168" s="6"/>
      <c r="Q168" s="6"/>
      <c r="R168" s="6"/>
      <c r="S168" s="6"/>
      <c r="T168" s="6"/>
      <c r="U168" s="6"/>
    </row>
    <row r="169" spans="1:21">
      <c r="A169" s="82"/>
      <c r="B169" s="83"/>
      <c r="C169" s="82"/>
      <c r="D169" s="82"/>
      <c r="E169" s="82"/>
      <c r="F169" s="82"/>
      <c r="G169" s="222"/>
      <c r="H169" s="222"/>
      <c r="I169" s="222"/>
      <c r="J169" s="6"/>
      <c r="K169" s="6"/>
      <c r="L169" s="6"/>
      <c r="M169" s="6"/>
      <c r="N169" s="6"/>
      <c r="O169" s="6"/>
      <c r="P169" s="6"/>
      <c r="Q169" s="6"/>
      <c r="R169" s="6"/>
      <c r="S169" s="6"/>
      <c r="T169" s="6"/>
      <c r="U169" s="6"/>
    </row>
    <row r="170" spans="1:21">
      <c r="A170" s="82"/>
      <c r="B170" s="83"/>
      <c r="C170" s="82"/>
      <c r="D170" s="82"/>
      <c r="E170" s="82"/>
      <c r="F170" s="82"/>
      <c r="G170" s="222"/>
      <c r="H170" s="222"/>
      <c r="I170" s="222"/>
      <c r="J170" s="6"/>
      <c r="K170" s="6"/>
      <c r="L170" s="6"/>
      <c r="M170" s="6"/>
      <c r="N170" s="6"/>
      <c r="O170" s="6"/>
      <c r="P170" s="6"/>
      <c r="Q170" s="6"/>
      <c r="R170" s="6"/>
      <c r="S170" s="6"/>
      <c r="T170" s="6"/>
      <c r="U170" s="6"/>
    </row>
    <row r="171" spans="1:21">
      <c r="A171" s="82"/>
      <c r="B171" s="83"/>
      <c r="C171" s="82"/>
      <c r="D171" s="82"/>
      <c r="E171" s="82"/>
      <c r="F171" s="82"/>
      <c r="G171" s="222"/>
      <c r="H171" s="222"/>
      <c r="I171" s="222"/>
      <c r="J171" s="6"/>
      <c r="K171" s="6"/>
      <c r="L171" s="6"/>
      <c r="M171" s="6"/>
      <c r="N171" s="6"/>
      <c r="O171" s="6"/>
      <c r="P171" s="6"/>
      <c r="Q171" s="6"/>
      <c r="R171" s="6"/>
      <c r="S171" s="6"/>
      <c r="T171" s="6"/>
      <c r="U171" s="6"/>
    </row>
    <row r="172" spans="1:21">
      <c r="A172" s="82"/>
      <c r="B172" s="83"/>
      <c r="C172" s="82"/>
      <c r="D172" s="82"/>
      <c r="E172" s="82"/>
      <c r="F172" s="82"/>
      <c r="G172" s="222"/>
      <c r="H172" s="222"/>
      <c r="I172" s="222"/>
      <c r="J172" s="6"/>
      <c r="K172" s="6"/>
      <c r="L172" s="6"/>
      <c r="M172" s="6"/>
      <c r="N172" s="6"/>
      <c r="O172" s="6"/>
      <c r="P172" s="6"/>
      <c r="Q172" s="6"/>
      <c r="R172" s="6"/>
      <c r="S172" s="6"/>
      <c r="T172" s="6"/>
      <c r="U172" s="6"/>
    </row>
    <row r="173" spans="1:21">
      <c r="A173" s="82"/>
      <c r="B173" s="83"/>
      <c r="C173" s="82"/>
      <c r="D173" s="82"/>
      <c r="E173" s="82"/>
      <c r="F173" s="82"/>
      <c r="G173" s="222"/>
      <c r="H173" s="222"/>
      <c r="I173" s="222"/>
      <c r="J173" s="6"/>
      <c r="K173" s="6"/>
      <c r="L173" s="6"/>
      <c r="M173" s="6"/>
      <c r="N173" s="6"/>
      <c r="O173" s="6"/>
      <c r="P173" s="6"/>
      <c r="Q173" s="6"/>
      <c r="R173" s="6"/>
      <c r="S173" s="6"/>
      <c r="T173" s="6"/>
      <c r="U173" s="6"/>
    </row>
    <row r="174" spans="1:21">
      <c r="A174" s="82"/>
      <c r="B174" s="83"/>
      <c r="C174" s="82"/>
      <c r="D174" s="82"/>
      <c r="E174" s="82"/>
      <c r="F174" s="82"/>
      <c r="G174" s="222"/>
      <c r="H174" s="222"/>
      <c r="I174" s="222"/>
      <c r="J174" s="6"/>
      <c r="K174" s="6"/>
      <c r="L174" s="6"/>
      <c r="M174" s="6"/>
      <c r="N174" s="6"/>
      <c r="O174" s="6"/>
      <c r="P174" s="6"/>
      <c r="Q174" s="6"/>
      <c r="R174" s="6"/>
      <c r="S174" s="6"/>
      <c r="T174" s="6"/>
      <c r="U174" s="6"/>
    </row>
    <row r="175" spans="1:21">
      <c r="A175" s="82"/>
      <c r="B175" s="83"/>
      <c r="C175" s="82"/>
      <c r="D175" s="82"/>
      <c r="E175" s="82"/>
      <c r="F175" s="82"/>
      <c r="G175" s="222"/>
      <c r="H175" s="222"/>
      <c r="I175" s="222"/>
      <c r="J175" s="6"/>
      <c r="K175" s="6"/>
      <c r="L175" s="6"/>
      <c r="M175" s="6"/>
      <c r="N175" s="6"/>
      <c r="O175" s="6"/>
      <c r="P175" s="6"/>
      <c r="Q175" s="6"/>
      <c r="R175" s="6"/>
      <c r="S175" s="6"/>
      <c r="T175" s="6"/>
      <c r="U175" s="6"/>
    </row>
    <row r="176" spans="1:21">
      <c r="A176" s="82"/>
      <c r="B176" s="83"/>
      <c r="C176" s="82"/>
      <c r="D176" s="82"/>
      <c r="E176" s="82"/>
      <c r="F176" s="82"/>
      <c r="G176" s="222"/>
      <c r="H176" s="222"/>
      <c r="I176" s="222"/>
      <c r="J176" s="6"/>
      <c r="K176" s="6"/>
      <c r="L176" s="6"/>
      <c r="M176" s="6"/>
      <c r="N176" s="6"/>
      <c r="O176" s="6"/>
      <c r="P176" s="6"/>
      <c r="Q176" s="6"/>
      <c r="R176" s="6"/>
      <c r="S176" s="6"/>
      <c r="T176" s="6"/>
      <c r="U176" s="6"/>
    </row>
    <row r="177" spans="1:21">
      <c r="A177" s="82"/>
      <c r="B177" s="83"/>
      <c r="C177" s="82"/>
      <c r="D177" s="82"/>
      <c r="E177" s="82"/>
      <c r="F177" s="82"/>
      <c r="G177" s="222"/>
      <c r="H177" s="222"/>
      <c r="I177" s="222"/>
      <c r="J177" s="6"/>
      <c r="K177" s="6"/>
      <c r="L177" s="6"/>
      <c r="M177" s="6"/>
      <c r="N177" s="6"/>
      <c r="O177" s="6"/>
      <c r="P177" s="6"/>
      <c r="Q177" s="6"/>
      <c r="R177" s="6"/>
      <c r="S177" s="6"/>
      <c r="T177" s="6"/>
      <c r="U177" s="6"/>
    </row>
    <row r="178" spans="1:21">
      <c r="A178" s="82"/>
      <c r="B178" s="83"/>
      <c r="C178" s="82"/>
      <c r="D178" s="82"/>
      <c r="E178" s="82"/>
      <c r="F178" s="82"/>
      <c r="G178" s="222"/>
      <c r="H178" s="222"/>
      <c r="I178" s="222"/>
      <c r="J178" s="6"/>
      <c r="K178" s="6"/>
      <c r="L178" s="6"/>
      <c r="M178" s="6"/>
      <c r="N178" s="6"/>
      <c r="O178" s="6"/>
      <c r="P178" s="6"/>
      <c r="Q178" s="6"/>
      <c r="R178" s="6"/>
      <c r="S178" s="6"/>
      <c r="T178" s="6"/>
      <c r="U178" s="6"/>
    </row>
    <row r="179" spans="1:21">
      <c r="A179" s="82"/>
      <c r="B179" s="83"/>
      <c r="C179" s="82"/>
      <c r="D179" s="82"/>
      <c r="E179" s="82"/>
      <c r="F179" s="82"/>
      <c r="G179" s="222"/>
      <c r="H179" s="222"/>
      <c r="I179" s="222"/>
      <c r="J179" s="6"/>
      <c r="K179" s="6"/>
      <c r="L179" s="6"/>
      <c r="M179" s="6"/>
      <c r="N179" s="6"/>
      <c r="O179" s="6"/>
      <c r="P179" s="6"/>
      <c r="Q179" s="6"/>
      <c r="R179" s="6"/>
      <c r="S179" s="6"/>
      <c r="T179" s="6"/>
      <c r="U179" s="6"/>
    </row>
    <row r="180" spans="1:21">
      <c r="A180" s="82"/>
      <c r="B180" s="83"/>
      <c r="C180" s="82"/>
      <c r="D180" s="82"/>
      <c r="E180" s="82"/>
      <c r="F180" s="82"/>
      <c r="G180" s="222"/>
      <c r="H180" s="222"/>
      <c r="I180" s="222"/>
      <c r="J180" s="6"/>
      <c r="K180" s="6"/>
      <c r="L180" s="6"/>
      <c r="M180" s="6"/>
      <c r="N180" s="6"/>
      <c r="O180" s="6"/>
      <c r="P180" s="6"/>
      <c r="Q180" s="6"/>
      <c r="R180" s="6"/>
      <c r="S180" s="6"/>
      <c r="T180" s="6"/>
      <c r="U180" s="6"/>
    </row>
    <row r="181" spans="1:21">
      <c r="A181" s="82"/>
      <c r="B181" s="83"/>
      <c r="C181" s="82"/>
      <c r="D181" s="82"/>
      <c r="E181" s="82"/>
      <c r="F181" s="82"/>
      <c r="G181" s="222"/>
      <c r="H181" s="222"/>
      <c r="I181" s="222"/>
      <c r="J181" s="6"/>
      <c r="K181" s="6"/>
      <c r="L181" s="6"/>
      <c r="M181" s="6"/>
      <c r="N181" s="6"/>
      <c r="O181" s="6"/>
      <c r="P181" s="6"/>
      <c r="Q181" s="6"/>
      <c r="R181" s="6"/>
      <c r="S181" s="6"/>
      <c r="T181" s="6"/>
      <c r="U181" s="6"/>
    </row>
    <row r="182" spans="1:21">
      <c r="A182" s="82"/>
      <c r="B182" s="83"/>
      <c r="C182" s="82"/>
      <c r="D182" s="82"/>
      <c r="E182" s="82"/>
      <c r="F182" s="82"/>
      <c r="G182" s="222"/>
      <c r="H182" s="222"/>
      <c r="I182" s="222"/>
      <c r="J182" s="6"/>
      <c r="K182" s="6"/>
      <c r="L182" s="6"/>
      <c r="M182" s="6"/>
      <c r="N182" s="6"/>
      <c r="O182" s="6"/>
      <c r="P182" s="6"/>
      <c r="Q182" s="6"/>
      <c r="R182" s="6"/>
      <c r="S182" s="6"/>
      <c r="T182" s="6"/>
      <c r="U182" s="6"/>
    </row>
    <row r="183" spans="1:21">
      <c r="A183" s="82"/>
      <c r="B183" s="83"/>
      <c r="C183" s="82"/>
      <c r="D183" s="82"/>
      <c r="E183" s="82"/>
      <c r="F183" s="82"/>
      <c r="G183" s="222"/>
      <c r="H183" s="222"/>
      <c r="I183" s="222"/>
      <c r="J183" s="6"/>
      <c r="K183" s="6"/>
      <c r="L183" s="6"/>
      <c r="M183" s="6"/>
      <c r="N183" s="6"/>
      <c r="O183" s="6"/>
      <c r="P183" s="6"/>
      <c r="Q183" s="6"/>
      <c r="R183" s="6"/>
      <c r="S183" s="6"/>
      <c r="T183" s="6"/>
      <c r="U183" s="6"/>
    </row>
    <row r="184" spans="1:21">
      <c r="A184" s="82"/>
      <c r="B184" s="83"/>
      <c r="C184" s="82"/>
      <c r="D184" s="82"/>
      <c r="E184" s="82"/>
      <c r="F184" s="82"/>
      <c r="G184" s="222"/>
      <c r="H184" s="222"/>
      <c r="I184" s="222"/>
      <c r="J184" s="6"/>
      <c r="K184" s="6"/>
      <c r="L184" s="6"/>
      <c r="M184" s="6"/>
      <c r="N184" s="6"/>
      <c r="O184" s="6"/>
      <c r="P184" s="6"/>
      <c r="Q184" s="6"/>
      <c r="R184" s="6"/>
      <c r="S184" s="6"/>
      <c r="T184" s="6"/>
      <c r="U184" s="6"/>
    </row>
    <row r="185" spans="1:21">
      <c r="A185" s="82"/>
      <c r="B185" s="83"/>
      <c r="C185" s="82"/>
      <c r="D185" s="82"/>
      <c r="E185" s="82"/>
      <c r="F185" s="82"/>
      <c r="G185" s="222"/>
      <c r="H185" s="222"/>
      <c r="I185" s="222"/>
      <c r="J185" s="6"/>
      <c r="K185" s="6"/>
      <c r="L185" s="6"/>
      <c r="M185" s="6"/>
      <c r="N185" s="6"/>
      <c r="O185" s="6"/>
      <c r="P185" s="6"/>
      <c r="Q185" s="6"/>
      <c r="R185" s="6"/>
      <c r="S185" s="6"/>
      <c r="T185" s="6"/>
      <c r="U185" s="6"/>
    </row>
    <row r="186" spans="1:21">
      <c r="A186" s="82"/>
      <c r="B186" s="83"/>
      <c r="C186" s="82"/>
      <c r="D186" s="82"/>
      <c r="E186" s="82"/>
      <c r="F186" s="82"/>
      <c r="G186" s="222"/>
      <c r="H186" s="222"/>
      <c r="I186" s="222"/>
      <c r="J186" s="6"/>
      <c r="K186" s="6"/>
      <c r="L186" s="6"/>
      <c r="M186" s="6"/>
      <c r="N186" s="6"/>
      <c r="O186" s="6"/>
      <c r="P186" s="6"/>
      <c r="Q186" s="6"/>
      <c r="R186" s="6"/>
      <c r="S186" s="6"/>
      <c r="T186" s="6"/>
      <c r="U186" s="6"/>
    </row>
    <row r="187" spans="1:21">
      <c r="A187" s="82"/>
      <c r="B187" s="83"/>
      <c r="C187" s="82"/>
      <c r="D187" s="82"/>
      <c r="E187" s="82"/>
      <c r="F187" s="82"/>
      <c r="G187" s="222"/>
      <c r="H187" s="222"/>
      <c r="I187" s="222"/>
      <c r="J187" s="6"/>
      <c r="K187" s="6"/>
      <c r="L187" s="6"/>
      <c r="M187" s="6"/>
      <c r="N187" s="6"/>
      <c r="O187" s="6"/>
      <c r="P187" s="6"/>
      <c r="Q187" s="6"/>
      <c r="R187" s="6"/>
      <c r="S187" s="6"/>
      <c r="T187" s="6"/>
      <c r="U187" s="6"/>
    </row>
    <row r="188" spans="1:21">
      <c r="A188" s="82"/>
      <c r="B188" s="83"/>
      <c r="C188" s="82"/>
      <c r="D188" s="82"/>
      <c r="E188" s="82"/>
      <c r="F188" s="82"/>
      <c r="G188" s="222"/>
      <c r="H188" s="222"/>
      <c r="I188" s="222"/>
      <c r="J188" s="6"/>
      <c r="K188" s="6"/>
      <c r="L188" s="6"/>
      <c r="M188" s="6"/>
      <c r="N188" s="6"/>
      <c r="O188" s="6"/>
      <c r="P188" s="6"/>
      <c r="Q188" s="6"/>
      <c r="R188" s="6"/>
      <c r="S188" s="6"/>
      <c r="T188" s="6"/>
      <c r="U188" s="6"/>
    </row>
    <row r="189" spans="1:21">
      <c r="A189" s="82"/>
      <c r="B189" s="83"/>
      <c r="C189" s="82"/>
      <c r="D189" s="82"/>
      <c r="E189" s="82"/>
      <c r="F189" s="82"/>
      <c r="G189" s="222"/>
      <c r="H189" s="222"/>
      <c r="I189" s="222"/>
      <c r="J189" s="6"/>
      <c r="K189" s="6"/>
      <c r="L189" s="6"/>
      <c r="M189" s="6"/>
      <c r="N189" s="6"/>
      <c r="O189" s="6"/>
      <c r="P189" s="6"/>
      <c r="Q189" s="6"/>
      <c r="R189" s="6"/>
      <c r="S189" s="6"/>
      <c r="T189" s="6"/>
      <c r="U189" s="6"/>
    </row>
    <row r="190" spans="1:21">
      <c r="A190" s="82"/>
      <c r="B190" s="83"/>
      <c r="C190" s="82"/>
      <c r="D190" s="82"/>
      <c r="E190" s="82"/>
      <c r="F190" s="82"/>
      <c r="G190" s="222"/>
      <c r="H190" s="222"/>
      <c r="I190" s="222"/>
      <c r="J190" s="6"/>
      <c r="K190" s="6"/>
      <c r="L190" s="6"/>
      <c r="M190" s="6"/>
      <c r="N190" s="6"/>
      <c r="O190" s="6"/>
      <c r="P190" s="6"/>
      <c r="Q190" s="6"/>
      <c r="R190" s="6"/>
      <c r="S190" s="6"/>
      <c r="T190" s="6"/>
      <c r="U190" s="6"/>
    </row>
    <row r="191" spans="1:21">
      <c r="A191" s="82"/>
      <c r="B191" s="83"/>
      <c r="C191" s="82"/>
      <c r="D191" s="82"/>
      <c r="E191" s="82"/>
      <c r="F191" s="82"/>
      <c r="G191" s="222"/>
      <c r="H191" s="222"/>
      <c r="I191" s="222"/>
      <c r="J191" s="6"/>
      <c r="K191" s="6"/>
      <c r="L191" s="6"/>
      <c r="M191" s="6"/>
      <c r="N191" s="6"/>
      <c r="O191" s="6"/>
      <c r="P191" s="6"/>
      <c r="Q191" s="6"/>
      <c r="R191" s="6"/>
      <c r="S191" s="6"/>
      <c r="T191" s="6"/>
      <c r="U191" s="6"/>
    </row>
    <row r="192" spans="1:21">
      <c r="A192" s="82"/>
      <c r="B192" s="83"/>
      <c r="C192" s="82"/>
      <c r="D192" s="82"/>
      <c r="E192" s="82"/>
      <c r="F192" s="82"/>
      <c r="G192" s="222"/>
      <c r="H192" s="222"/>
      <c r="I192" s="222"/>
      <c r="J192" s="6"/>
      <c r="K192" s="6"/>
      <c r="L192" s="6"/>
      <c r="M192" s="6"/>
      <c r="N192" s="6"/>
      <c r="O192" s="6"/>
      <c r="P192" s="6"/>
      <c r="Q192" s="6"/>
      <c r="R192" s="6"/>
      <c r="S192" s="6"/>
      <c r="T192" s="6"/>
      <c r="U192" s="6"/>
    </row>
    <row r="193" spans="1:21">
      <c r="A193" s="82"/>
      <c r="B193" s="83"/>
      <c r="C193" s="82"/>
      <c r="D193" s="82"/>
      <c r="E193" s="82"/>
      <c r="F193" s="82"/>
      <c r="G193" s="222"/>
      <c r="H193" s="222"/>
      <c r="I193" s="222"/>
      <c r="J193" s="6"/>
      <c r="K193" s="6"/>
      <c r="L193" s="6"/>
      <c r="M193" s="6"/>
      <c r="N193" s="6"/>
      <c r="O193" s="6"/>
      <c r="P193" s="6"/>
      <c r="Q193" s="6"/>
      <c r="R193" s="6"/>
      <c r="S193" s="6"/>
      <c r="T193" s="6"/>
      <c r="U193" s="6"/>
    </row>
    <row r="194" spans="1:21">
      <c r="A194" s="82"/>
      <c r="B194" s="83"/>
      <c r="C194" s="82"/>
      <c r="D194" s="82"/>
      <c r="E194" s="82"/>
      <c r="F194" s="82"/>
      <c r="G194" s="222"/>
      <c r="H194" s="222"/>
      <c r="I194" s="222"/>
      <c r="J194" s="6"/>
      <c r="K194" s="6"/>
      <c r="L194" s="6"/>
      <c r="M194" s="6"/>
      <c r="N194" s="6"/>
      <c r="O194" s="6"/>
      <c r="P194" s="6"/>
      <c r="Q194" s="6"/>
      <c r="R194" s="6"/>
      <c r="S194" s="6"/>
      <c r="T194" s="6"/>
      <c r="U194" s="6"/>
    </row>
    <row r="195" spans="1:21">
      <c r="A195" s="82"/>
      <c r="B195" s="83"/>
      <c r="C195" s="82"/>
      <c r="D195" s="82"/>
      <c r="E195" s="82"/>
      <c r="F195" s="82"/>
      <c r="G195" s="222"/>
      <c r="H195" s="222"/>
      <c r="I195" s="222"/>
      <c r="J195" s="6"/>
      <c r="K195" s="6"/>
      <c r="L195" s="6"/>
      <c r="M195" s="6"/>
      <c r="N195" s="6"/>
      <c r="O195" s="6"/>
      <c r="P195" s="6"/>
      <c r="Q195" s="6"/>
      <c r="R195" s="6"/>
      <c r="S195" s="6"/>
      <c r="T195" s="6"/>
      <c r="U195" s="6"/>
    </row>
    <row r="196" spans="1:21">
      <c r="A196" s="82"/>
      <c r="B196" s="83"/>
      <c r="C196" s="82"/>
      <c r="D196" s="82"/>
      <c r="E196" s="82"/>
      <c r="F196" s="82"/>
      <c r="G196" s="222"/>
      <c r="H196" s="222"/>
      <c r="I196" s="222"/>
      <c r="J196" s="6"/>
      <c r="K196" s="6"/>
      <c r="L196" s="6"/>
      <c r="M196" s="6"/>
      <c r="N196" s="6"/>
      <c r="O196" s="6"/>
      <c r="P196" s="6"/>
      <c r="Q196" s="6"/>
      <c r="R196" s="6"/>
      <c r="S196" s="6"/>
      <c r="T196" s="6"/>
      <c r="U196" s="6"/>
    </row>
    <row r="197" spans="1:21">
      <c r="A197" s="82"/>
      <c r="B197" s="83"/>
      <c r="C197" s="82"/>
      <c r="D197" s="82"/>
      <c r="E197" s="82"/>
      <c r="F197" s="82"/>
      <c r="G197" s="222"/>
      <c r="H197" s="222"/>
      <c r="I197" s="222"/>
      <c r="J197" s="6"/>
      <c r="K197" s="6"/>
      <c r="L197" s="6"/>
      <c r="M197" s="6"/>
      <c r="N197" s="6"/>
      <c r="O197" s="6"/>
      <c r="P197" s="6"/>
      <c r="Q197" s="6"/>
      <c r="R197" s="6"/>
      <c r="S197" s="6"/>
      <c r="T197" s="6"/>
      <c r="U197" s="6"/>
    </row>
    <row r="198" spans="1:21">
      <c r="A198" s="82"/>
      <c r="B198" s="83"/>
      <c r="C198" s="82"/>
      <c r="D198" s="82"/>
      <c r="E198" s="82"/>
      <c r="F198" s="82"/>
      <c r="G198" s="222"/>
      <c r="H198" s="222"/>
      <c r="I198" s="222"/>
      <c r="J198" s="6"/>
      <c r="K198" s="6"/>
      <c r="L198" s="6"/>
      <c r="M198" s="6"/>
      <c r="N198" s="6"/>
      <c r="O198" s="6"/>
      <c r="P198" s="6"/>
      <c r="Q198" s="6"/>
      <c r="R198" s="6"/>
      <c r="S198" s="6"/>
      <c r="T198" s="6"/>
      <c r="U198" s="6"/>
    </row>
    <row r="199" spans="1:21">
      <c r="A199" s="82"/>
      <c r="B199" s="83"/>
      <c r="C199" s="82"/>
      <c r="D199" s="82"/>
      <c r="E199" s="82"/>
      <c r="F199" s="82"/>
      <c r="G199" s="222"/>
      <c r="H199" s="222"/>
      <c r="I199" s="222"/>
      <c r="J199" s="6"/>
      <c r="K199" s="6"/>
      <c r="L199" s="6"/>
      <c r="M199" s="6"/>
      <c r="N199" s="6"/>
      <c r="O199" s="6"/>
      <c r="P199" s="6"/>
      <c r="Q199" s="6"/>
      <c r="R199" s="6"/>
      <c r="S199" s="6"/>
      <c r="T199" s="6"/>
      <c r="U199" s="6"/>
    </row>
    <row r="200" spans="1:21">
      <c r="A200" s="82"/>
      <c r="B200" s="83"/>
      <c r="C200" s="82"/>
      <c r="D200" s="82"/>
      <c r="E200" s="82"/>
      <c r="F200" s="82"/>
      <c r="G200" s="222"/>
      <c r="H200" s="222"/>
      <c r="I200" s="222"/>
      <c r="J200" s="6"/>
      <c r="K200" s="6"/>
      <c r="L200" s="6"/>
      <c r="M200" s="6"/>
      <c r="N200" s="6"/>
      <c r="O200" s="6"/>
      <c r="P200" s="6"/>
      <c r="Q200" s="6"/>
      <c r="R200" s="6"/>
      <c r="S200" s="6"/>
      <c r="T200" s="6"/>
      <c r="U200" s="6"/>
    </row>
    <row r="201" spans="1:21">
      <c r="A201" s="82"/>
      <c r="B201" s="83"/>
      <c r="C201" s="82"/>
      <c r="D201" s="82"/>
      <c r="E201" s="82"/>
      <c r="F201" s="82"/>
      <c r="G201" s="222"/>
      <c r="H201" s="222"/>
      <c r="I201" s="222"/>
      <c r="J201" s="6"/>
      <c r="K201" s="6"/>
      <c r="L201" s="6"/>
      <c r="M201" s="6"/>
      <c r="N201" s="6"/>
      <c r="O201" s="6"/>
      <c r="P201" s="6"/>
      <c r="Q201" s="6"/>
      <c r="R201" s="6"/>
      <c r="S201" s="6"/>
      <c r="T201" s="6"/>
      <c r="U201" s="6"/>
    </row>
    <row r="202" spans="1:21">
      <c r="A202" s="82"/>
      <c r="B202" s="83"/>
      <c r="C202" s="82"/>
      <c r="D202" s="82"/>
      <c r="E202" s="82"/>
      <c r="F202" s="82"/>
      <c r="G202" s="222"/>
      <c r="H202" s="222"/>
      <c r="I202" s="222"/>
      <c r="J202" s="6"/>
      <c r="K202" s="6"/>
      <c r="L202" s="6"/>
      <c r="M202" s="6"/>
      <c r="N202" s="6"/>
      <c r="O202" s="6"/>
      <c r="P202" s="6"/>
      <c r="Q202" s="6"/>
      <c r="R202" s="6"/>
      <c r="S202" s="6"/>
      <c r="T202" s="6"/>
      <c r="U202" s="6"/>
    </row>
    <row r="203" spans="1:21">
      <c r="A203" s="82"/>
      <c r="B203" s="83"/>
      <c r="C203" s="82"/>
      <c r="D203" s="82"/>
      <c r="E203" s="82"/>
      <c r="F203" s="82"/>
      <c r="G203" s="222"/>
      <c r="H203" s="222"/>
      <c r="I203" s="222"/>
      <c r="J203" s="6"/>
      <c r="K203" s="6"/>
      <c r="L203" s="6"/>
      <c r="M203" s="6"/>
      <c r="N203" s="6"/>
      <c r="O203" s="6"/>
      <c r="P203" s="6"/>
      <c r="Q203" s="6"/>
      <c r="R203" s="6"/>
      <c r="S203" s="6"/>
      <c r="T203" s="6"/>
      <c r="U203" s="6"/>
    </row>
    <row r="204" spans="1:21">
      <c r="A204" s="82"/>
      <c r="B204" s="83"/>
      <c r="C204" s="82"/>
      <c r="D204" s="82"/>
      <c r="E204" s="82"/>
      <c r="F204" s="82"/>
      <c r="G204" s="222"/>
      <c r="H204" s="222"/>
      <c r="I204" s="222"/>
      <c r="J204" s="6"/>
      <c r="K204" s="6"/>
      <c r="L204" s="6"/>
      <c r="M204" s="6"/>
      <c r="N204" s="6"/>
      <c r="O204" s="6"/>
      <c r="P204" s="6"/>
      <c r="Q204" s="6"/>
      <c r="R204" s="6"/>
      <c r="S204" s="6"/>
      <c r="T204" s="6"/>
      <c r="U204" s="6"/>
    </row>
    <row r="205" spans="1:21">
      <c r="A205" s="82"/>
      <c r="B205" s="83"/>
      <c r="C205" s="82"/>
      <c r="D205" s="82"/>
      <c r="E205" s="82"/>
      <c r="F205" s="82"/>
      <c r="G205" s="222"/>
      <c r="H205" s="222"/>
      <c r="I205" s="222"/>
      <c r="J205" s="6"/>
      <c r="K205" s="6"/>
      <c r="L205" s="6"/>
      <c r="M205" s="6"/>
      <c r="N205" s="6"/>
      <c r="O205" s="6"/>
      <c r="P205" s="6"/>
      <c r="Q205" s="6"/>
      <c r="R205" s="6"/>
      <c r="S205" s="6"/>
      <c r="T205" s="6"/>
      <c r="U205" s="6"/>
    </row>
    <row r="206" spans="1:21">
      <c r="A206" s="82"/>
      <c r="B206" s="83"/>
      <c r="C206" s="82"/>
      <c r="D206" s="82"/>
      <c r="E206" s="82"/>
      <c r="F206" s="82"/>
      <c r="G206" s="222"/>
      <c r="H206" s="222"/>
      <c r="I206" s="222"/>
      <c r="J206" s="6"/>
      <c r="K206" s="6"/>
      <c r="L206" s="6"/>
      <c r="M206" s="6"/>
      <c r="N206" s="6"/>
      <c r="O206" s="6"/>
      <c r="P206" s="6"/>
      <c r="Q206" s="6"/>
      <c r="R206" s="6"/>
      <c r="S206" s="6"/>
      <c r="T206" s="6"/>
      <c r="U206" s="6"/>
    </row>
    <row r="207" spans="1:21">
      <c r="A207" s="82"/>
      <c r="B207" s="83"/>
      <c r="C207" s="82"/>
      <c r="D207" s="82"/>
      <c r="E207" s="82"/>
      <c r="F207" s="82"/>
      <c r="G207" s="222"/>
      <c r="H207" s="222"/>
      <c r="I207" s="222"/>
      <c r="J207" s="6"/>
      <c r="K207" s="6"/>
      <c r="L207" s="6"/>
      <c r="M207" s="6"/>
      <c r="N207" s="6"/>
      <c r="O207" s="6"/>
      <c r="P207" s="6"/>
      <c r="Q207" s="6"/>
      <c r="R207" s="6"/>
      <c r="S207" s="6"/>
      <c r="T207" s="6"/>
      <c r="U207" s="6"/>
    </row>
    <row r="208" spans="1:21">
      <c r="A208" s="82"/>
      <c r="B208" s="83"/>
      <c r="C208" s="82"/>
      <c r="D208" s="82"/>
      <c r="E208" s="82"/>
      <c r="F208" s="82"/>
      <c r="G208" s="222"/>
      <c r="H208" s="222"/>
      <c r="I208" s="222"/>
      <c r="J208" s="6"/>
      <c r="K208" s="6"/>
      <c r="L208" s="6"/>
      <c r="M208" s="6"/>
      <c r="N208" s="6"/>
      <c r="O208" s="6"/>
      <c r="P208" s="6"/>
      <c r="Q208" s="6"/>
      <c r="R208" s="6"/>
      <c r="S208" s="6"/>
      <c r="T208" s="6"/>
      <c r="U208" s="6"/>
    </row>
    <row r="209" spans="1:21">
      <c r="A209" s="82"/>
      <c r="B209" s="83"/>
      <c r="C209" s="82"/>
      <c r="D209" s="82"/>
      <c r="E209" s="82"/>
      <c r="F209" s="82"/>
      <c r="G209" s="222"/>
      <c r="H209" s="222"/>
      <c r="I209" s="222"/>
      <c r="J209" s="6"/>
      <c r="K209" s="6"/>
      <c r="L209" s="6"/>
      <c r="M209" s="6"/>
      <c r="N209" s="6"/>
      <c r="O209" s="6"/>
      <c r="P209" s="6"/>
      <c r="Q209" s="6"/>
      <c r="R209" s="6"/>
      <c r="S209" s="6"/>
      <c r="T209" s="6"/>
      <c r="U209" s="6"/>
    </row>
    <row r="210" spans="1:21">
      <c r="A210" s="82"/>
      <c r="B210" s="83"/>
      <c r="C210" s="82"/>
      <c r="D210" s="82"/>
      <c r="E210" s="82"/>
      <c r="F210" s="82"/>
      <c r="G210" s="222"/>
      <c r="H210" s="222"/>
      <c r="I210" s="222"/>
      <c r="J210" s="6"/>
      <c r="K210" s="6"/>
      <c r="L210" s="6"/>
      <c r="M210" s="6"/>
      <c r="N210" s="6"/>
      <c r="O210" s="6"/>
      <c r="P210" s="6"/>
      <c r="Q210" s="6"/>
      <c r="R210" s="6"/>
      <c r="S210" s="6"/>
      <c r="T210" s="6"/>
      <c r="U210" s="6"/>
    </row>
    <row r="211" spans="1:21">
      <c r="A211" s="82"/>
      <c r="B211" s="83"/>
      <c r="C211" s="82"/>
      <c r="D211" s="82"/>
      <c r="E211" s="82"/>
      <c r="F211" s="82"/>
      <c r="G211" s="222"/>
      <c r="H211" s="222"/>
      <c r="I211" s="222"/>
      <c r="J211" s="6"/>
      <c r="K211" s="6"/>
      <c r="L211" s="6"/>
      <c r="M211" s="6"/>
      <c r="N211" s="6"/>
      <c r="O211" s="6"/>
      <c r="P211" s="6"/>
      <c r="Q211" s="6"/>
      <c r="R211" s="6"/>
      <c r="S211" s="6"/>
      <c r="T211" s="6"/>
      <c r="U211" s="6"/>
    </row>
    <row r="212" spans="1:21">
      <c r="A212" s="82"/>
      <c r="B212" s="83"/>
      <c r="C212" s="82"/>
      <c r="D212" s="82"/>
      <c r="E212" s="82"/>
      <c r="F212" s="82"/>
      <c r="G212" s="222"/>
      <c r="H212" s="222"/>
      <c r="I212" s="222"/>
      <c r="J212" s="6"/>
      <c r="K212" s="6"/>
      <c r="L212" s="6"/>
      <c r="M212" s="6"/>
      <c r="N212" s="6"/>
      <c r="O212" s="6"/>
      <c r="P212" s="6"/>
      <c r="Q212" s="6"/>
      <c r="R212" s="6"/>
      <c r="S212" s="6"/>
      <c r="T212" s="6"/>
      <c r="U212" s="6"/>
    </row>
    <row r="213" spans="1:21">
      <c r="A213" s="82"/>
      <c r="B213" s="83"/>
      <c r="C213" s="82"/>
      <c r="D213" s="82"/>
      <c r="E213" s="82"/>
      <c r="F213" s="82"/>
      <c r="G213" s="222"/>
      <c r="H213" s="222"/>
      <c r="I213" s="222"/>
      <c r="J213" s="6"/>
      <c r="K213" s="6"/>
      <c r="L213" s="6"/>
      <c r="M213" s="6"/>
      <c r="N213" s="6"/>
      <c r="O213" s="6"/>
      <c r="P213" s="6"/>
      <c r="Q213" s="6"/>
      <c r="R213" s="6"/>
      <c r="S213" s="6"/>
      <c r="T213" s="6"/>
      <c r="U213" s="6"/>
    </row>
    <row r="214" spans="1:21">
      <c r="A214" s="82"/>
      <c r="B214" s="83"/>
      <c r="C214" s="82"/>
      <c r="D214" s="82"/>
      <c r="E214" s="82"/>
      <c r="F214" s="82"/>
      <c r="G214" s="222"/>
      <c r="H214" s="222"/>
      <c r="I214" s="222"/>
      <c r="J214" s="6"/>
      <c r="K214" s="6"/>
      <c r="L214" s="6"/>
      <c r="M214" s="6"/>
      <c r="N214" s="6"/>
      <c r="O214" s="6"/>
      <c r="P214" s="6"/>
      <c r="Q214" s="6"/>
      <c r="R214" s="6"/>
      <c r="S214" s="6"/>
      <c r="T214" s="6"/>
      <c r="U214" s="6"/>
    </row>
    <row r="215" spans="1:21">
      <c r="A215" s="82"/>
      <c r="B215" s="83"/>
      <c r="C215" s="82"/>
      <c r="D215" s="82"/>
      <c r="E215" s="82"/>
      <c r="F215" s="82"/>
      <c r="G215" s="222"/>
      <c r="H215" s="222"/>
      <c r="I215" s="222"/>
      <c r="J215" s="6"/>
      <c r="K215" s="6"/>
      <c r="L215" s="6"/>
      <c r="M215" s="6"/>
      <c r="N215" s="6"/>
      <c r="O215" s="6"/>
      <c r="P215" s="6"/>
      <c r="Q215" s="6"/>
      <c r="R215" s="6"/>
      <c r="S215" s="6"/>
      <c r="T215" s="6"/>
      <c r="U215" s="6"/>
    </row>
    <row r="216" spans="1:21">
      <c r="A216" s="82"/>
      <c r="B216" s="83"/>
      <c r="C216" s="82"/>
      <c r="D216" s="82"/>
      <c r="E216" s="82"/>
      <c r="F216" s="82"/>
      <c r="G216" s="222"/>
      <c r="H216" s="222"/>
      <c r="I216" s="222"/>
      <c r="J216" s="6"/>
      <c r="K216" s="6"/>
      <c r="L216" s="6"/>
      <c r="M216" s="6"/>
      <c r="N216" s="6"/>
      <c r="O216" s="6"/>
      <c r="P216" s="6"/>
      <c r="Q216" s="6"/>
      <c r="R216" s="6"/>
      <c r="S216" s="6"/>
      <c r="T216" s="6"/>
      <c r="U216" s="6"/>
    </row>
    <row r="217" spans="1:21">
      <c r="A217" s="82"/>
      <c r="B217" s="83"/>
      <c r="C217" s="82"/>
      <c r="D217" s="82"/>
      <c r="E217" s="82"/>
      <c r="F217" s="82"/>
      <c r="G217" s="222"/>
      <c r="H217" s="222"/>
      <c r="I217" s="222"/>
      <c r="J217" s="6"/>
      <c r="K217" s="6"/>
      <c r="L217" s="6"/>
      <c r="M217" s="6"/>
      <c r="N217" s="6"/>
      <c r="O217" s="6"/>
      <c r="P217" s="6"/>
      <c r="Q217" s="6"/>
      <c r="R217" s="6"/>
      <c r="S217" s="6"/>
      <c r="T217" s="6"/>
      <c r="U217" s="6"/>
    </row>
    <row r="218" spans="1:21">
      <c r="A218" s="82"/>
      <c r="B218" s="83"/>
      <c r="C218" s="82"/>
      <c r="D218" s="82"/>
      <c r="E218" s="82"/>
      <c r="F218" s="82"/>
      <c r="G218" s="222"/>
      <c r="H218" s="222"/>
      <c r="I218" s="222"/>
      <c r="J218" s="6"/>
      <c r="K218" s="6"/>
      <c r="L218" s="6"/>
      <c r="M218" s="6"/>
      <c r="N218" s="6"/>
      <c r="O218" s="6"/>
      <c r="P218" s="6"/>
      <c r="Q218" s="6"/>
      <c r="R218" s="6"/>
      <c r="S218" s="6"/>
      <c r="T218" s="6"/>
      <c r="U218" s="6"/>
    </row>
    <row r="219" spans="1:21">
      <c r="A219" s="82"/>
      <c r="B219" s="83"/>
      <c r="C219" s="82"/>
      <c r="D219" s="82"/>
      <c r="E219" s="82"/>
      <c r="F219" s="82"/>
      <c r="G219" s="222"/>
      <c r="H219" s="222"/>
      <c r="I219" s="222"/>
      <c r="J219" s="6"/>
      <c r="K219" s="6"/>
      <c r="L219" s="6"/>
      <c r="M219" s="6"/>
      <c r="N219" s="6"/>
      <c r="O219" s="6"/>
      <c r="P219" s="6"/>
      <c r="Q219" s="6"/>
      <c r="R219" s="6"/>
      <c r="S219" s="6"/>
      <c r="T219" s="6"/>
      <c r="U219" s="6"/>
    </row>
    <row r="220" spans="1:21">
      <c r="A220" s="82"/>
      <c r="B220" s="83"/>
      <c r="C220" s="82"/>
      <c r="D220" s="82"/>
      <c r="E220" s="82"/>
      <c r="F220" s="82"/>
      <c r="G220" s="222"/>
      <c r="H220" s="222"/>
      <c r="I220" s="222"/>
      <c r="J220" s="6"/>
      <c r="K220" s="6"/>
      <c r="L220" s="6"/>
      <c r="M220" s="6"/>
      <c r="N220" s="6"/>
      <c r="O220" s="6"/>
      <c r="P220" s="6"/>
      <c r="Q220" s="6"/>
      <c r="R220" s="6"/>
      <c r="S220" s="6"/>
      <c r="T220" s="6"/>
      <c r="U220" s="6"/>
    </row>
    <row r="221" spans="1:21">
      <c r="A221" s="82"/>
      <c r="B221" s="83"/>
      <c r="C221" s="82"/>
      <c r="D221" s="82"/>
      <c r="E221" s="82"/>
      <c r="F221" s="82"/>
      <c r="G221" s="222"/>
      <c r="H221" s="222"/>
      <c r="I221" s="222"/>
      <c r="J221" s="6"/>
      <c r="K221" s="6"/>
      <c r="L221" s="6"/>
      <c r="M221" s="6"/>
      <c r="N221" s="6"/>
      <c r="O221" s="6"/>
      <c r="P221" s="6"/>
      <c r="Q221" s="6"/>
      <c r="R221" s="6"/>
      <c r="S221" s="6"/>
      <c r="T221" s="6"/>
      <c r="U221" s="6"/>
    </row>
    <row r="222" spans="1:21">
      <c r="A222" s="82"/>
      <c r="B222" s="83"/>
      <c r="C222" s="82"/>
      <c r="D222" s="82"/>
      <c r="E222" s="82"/>
      <c r="F222" s="82"/>
      <c r="G222" s="222"/>
      <c r="H222" s="222"/>
      <c r="I222" s="222"/>
      <c r="J222" s="6"/>
      <c r="K222" s="6"/>
      <c r="L222" s="6"/>
      <c r="M222" s="6"/>
      <c r="N222" s="6"/>
      <c r="O222" s="6"/>
      <c r="P222" s="6"/>
      <c r="Q222" s="6"/>
      <c r="R222" s="6"/>
      <c r="S222" s="6"/>
      <c r="T222" s="6"/>
      <c r="U222" s="6"/>
    </row>
    <row r="223" spans="1:21">
      <c r="A223" s="82"/>
      <c r="B223" s="83"/>
      <c r="C223" s="82"/>
      <c r="D223" s="82"/>
      <c r="E223" s="82"/>
      <c r="F223" s="82"/>
      <c r="G223" s="222"/>
      <c r="H223" s="222"/>
      <c r="I223" s="222"/>
      <c r="J223" s="6"/>
      <c r="K223" s="6"/>
      <c r="L223" s="6"/>
      <c r="M223" s="6"/>
      <c r="N223" s="6"/>
      <c r="O223" s="6"/>
      <c r="P223" s="6"/>
      <c r="Q223" s="6"/>
      <c r="R223" s="6"/>
      <c r="S223" s="6"/>
      <c r="T223" s="6"/>
      <c r="U223" s="6"/>
    </row>
    <row r="224" spans="1:21">
      <c r="A224" s="82"/>
      <c r="B224" s="83"/>
      <c r="C224" s="82"/>
      <c r="D224" s="82"/>
      <c r="E224" s="82"/>
      <c r="F224" s="82"/>
      <c r="G224" s="222"/>
      <c r="H224" s="222"/>
      <c r="I224" s="222"/>
      <c r="J224" s="6"/>
      <c r="K224" s="6"/>
      <c r="L224" s="6"/>
      <c r="M224" s="6"/>
      <c r="N224" s="6"/>
      <c r="O224" s="6"/>
      <c r="P224" s="6"/>
      <c r="Q224" s="6"/>
      <c r="R224" s="6"/>
      <c r="S224" s="6"/>
      <c r="T224" s="6"/>
      <c r="U224" s="6"/>
    </row>
    <row r="225" spans="1:21">
      <c r="A225" s="82"/>
      <c r="B225" s="83"/>
      <c r="C225" s="82"/>
      <c r="D225" s="82"/>
      <c r="E225" s="82"/>
      <c r="F225" s="82"/>
      <c r="G225" s="222"/>
      <c r="H225" s="222"/>
      <c r="I225" s="222"/>
      <c r="J225" s="6"/>
      <c r="K225" s="6"/>
      <c r="L225" s="6"/>
      <c r="M225" s="6"/>
      <c r="N225" s="6"/>
      <c r="O225" s="6"/>
      <c r="P225" s="6"/>
      <c r="Q225" s="6"/>
      <c r="R225" s="6"/>
      <c r="S225" s="6"/>
      <c r="T225" s="6"/>
      <c r="U225" s="6"/>
    </row>
    <row r="226" spans="1:21">
      <c r="A226" s="82"/>
      <c r="B226" s="83"/>
      <c r="C226" s="82"/>
      <c r="D226" s="82"/>
      <c r="E226" s="82"/>
      <c r="F226" s="82"/>
      <c r="G226" s="222"/>
      <c r="H226" s="222"/>
      <c r="I226" s="222"/>
      <c r="J226" s="6"/>
      <c r="K226" s="6"/>
      <c r="L226" s="6"/>
      <c r="M226" s="6"/>
      <c r="N226" s="6"/>
      <c r="O226" s="6"/>
      <c r="P226" s="6"/>
      <c r="Q226" s="6"/>
      <c r="R226" s="6"/>
      <c r="S226" s="6"/>
      <c r="T226" s="6"/>
      <c r="U226" s="6"/>
    </row>
    <row r="227" spans="1:21">
      <c r="A227" s="82"/>
      <c r="B227" s="83"/>
      <c r="C227" s="82"/>
      <c r="D227" s="82"/>
      <c r="E227" s="82"/>
      <c r="F227" s="82"/>
      <c r="G227" s="222"/>
      <c r="H227" s="222"/>
      <c r="I227" s="222"/>
      <c r="J227" s="6"/>
      <c r="K227" s="6"/>
      <c r="L227" s="6"/>
      <c r="M227" s="6"/>
      <c r="N227" s="6"/>
      <c r="O227" s="6"/>
      <c r="P227" s="6"/>
      <c r="Q227" s="6"/>
      <c r="R227" s="6"/>
      <c r="S227" s="6"/>
      <c r="T227" s="6"/>
      <c r="U227" s="6"/>
    </row>
    <row r="228" spans="1:21">
      <c r="A228" s="82"/>
      <c r="B228" s="83"/>
      <c r="C228" s="82"/>
      <c r="D228" s="82"/>
      <c r="E228" s="82"/>
      <c r="F228" s="82"/>
      <c r="G228" s="222"/>
      <c r="H228" s="222"/>
      <c r="I228" s="222"/>
      <c r="J228" s="6"/>
      <c r="K228" s="6"/>
      <c r="L228" s="6"/>
      <c r="M228" s="6"/>
      <c r="N228" s="6"/>
      <c r="O228" s="6"/>
      <c r="P228" s="6"/>
      <c r="Q228" s="6"/>
      <c r="R228" s="6"/>
      <c r="S228" s="6"/>
      <c r="T228" s="6"/>
      <c r="U228" s="6"/>
    </row>
    <row r="229" spans="1:21">
      <c r="A229" s="82"/>
      <c r="B229" s="83"/>
      <c r="C229" s="82"/>
      <c r="D229" s="82"/>
      <c r="E229" s="82"/>
      <c r="F229" s="82"/>
      <c r="G229" s="222"/>
      <c r="H229" s="222"/>
      <c r="I229" s="222"/>
      <c r="J229" s="6"/>
      <c r="K229" s="6"/>
      <c r="L229" s="6"/>
      <c r="M229" s="6"/>
      <c r="N229" s="6"/>
      <c r="O229" s="6"/>
      <c r="P229" s="6"/>
      <c r="Q229" s="6"/>
      <c r="R229" s="6"/>
      <c r="S229" s="6"/>
      <c r="T229" s="6"/>
      <c r="U229" s="6"/>
    </row>
    <row r="230" spans="1:21">
      <c r="A230" s="82"/>
      <c r="B230" s="83"/>
      <c r="C230" s="82"/>
      <c r="D230" s="82"/>
      <c r="E230" s="82"/>
      <c r="F230" s="82"/>
      <c r="G230" s="222"/>
      <c r="H230" s="222"/>
      <c r="I230" s="222"/>
      <c r="J230" s="6"/>
      <c r="K230" s="6"/>
      <c r="L230" s="6"/>
      <c r="M230" s="6"/>
      <c r="N230" s="6"/>
      <c r="O230" s="6"/>
      <c r="P230" s="6"/>
      <c r="Q230" s="6"/>
      <c r="R230" s="6"/>
      <c r="S230" s="6"/>
      <c r="T230" s="6"/>
      <c r="U230" s="6"/>
    </row>
    <row r="231" spans="1:21">
      <c r="A231" s="82"/>
      <c r="B231" s="83"/>
      <c r="C231" s="82"/>
      <c r="D231" s="82"/>
      <c r="E231" s="82"/>
      <c r="F231" s="82"/>
      <c r="G231" s="222"/>
      <c r="H231" s="222"/>
      <c r="I231" s="222"/>
      <c r="J231" s="6"/>
      <c r="K231" s="6"/>
      <c r="L231" s="6"/>
      <c r="M231" s="6"/>
      <c r="N231" s="6"/>
      <c r="O231" s="6"/>
      <c r="P231" s="6"/>
      <c r="Q231" s="6"/>
      <c r="R231" s="6"/>
      <c r="S231" s="6"/>
      <c r="T231" s="6"/>
      <c r="U231" s="6"/>
    </row>
    <row r="232" spans="1:21">
      <c r="A232" s="82"/>
      <c r="B232" s="83"/>
      <c r="C232" s="82"/>
      <c r="D232" s="82"/>
      <c r="E232" s="82"/>
      <c r="F232" s="82"/>
      <c r="G232" s="222"/>
      <c r="H232" s="222"/>
      <c r="I232" s="222"/>
      <c r="J232" s="6"/>
      <c r="K232" s="6"/>
      <c r="L232" s="6"/>
      <c r="M232" s="6"/>
      <c r="N232" s="6"/>
      <c r="O232" s="6"/>
      <c r="P232" s="6"/>
      <c r="Q232" s="6"/>
      <c r="R232" s="6"/>
      <c r="S232" s="6"/>
      <c r="T232" s="6"/>
      <c r="U232" s="6"/>
    </row>
    <row r="233" spans="1:21">
      <c r="A233" s="82"/>
      <c r="B233" s="83"/>
      <c r="C233" s="82"/>
      <c r="D233" s="82"/>
      <c r="E233" s="82"/>
      <c r="F233" s="82"/>
      <c r="G233" s="222"/>
      <c r="H233" s="222"/>
      <c r="I233" s="222"/>
      <c r="J233" s="6"/>
      <c r="K233" s="6"/>
      <c r="L233" s="6"/>
      <c r="M233" s="6"/>
      <c r="N233" s="6"/>
      <c r="O233" s="6"/>
      <c r="P233" s="6"/>
      <c r="Q233" s="6"/>
      <c r="R233" s="6"/>
      <c r="S233" s="6"/>
      <c r="T233" s="6"/>
      <c r="U233" s="6"/>
    </row>
    <row r="234" spans="1:21">
      <c r="A234" s="82"/>
      <c r="B234" s="83"/>
      <c r="C234" s="82"/>
      <c r="D234" s="82"/>
      <c r="E234" s="82"/>
      <c r="F234" s="82"/>
      <c r="G234" s="222"/>
      <c r="H234" s="222"/>
      <c r="I234" s="222"/>
      <c r="J234" s="6"/>
      <c r="K234" s="6"/>
      <c r="L234" s="6"/>
      <c r="M234" s="6"/>
      <c r="N234" s="6"/>
      <c r="O234" s="6"/>
      <c r="P234" s="6"/>
      <c r="Q234" s="6"/>
      <c r="R234" s="6"/>
      <c r="S234" s="6"/>
      <c r="T234" s="6"/>
      <c r="U234" s="6"/>
    </row>
    <row r="235" spans="1:21">
      <c r="A235" s="82"/>
      <c r="B235" s="83"/>
      <c r="C235" s="82"/>
      <c r="D235" s="82"/>
      <c r="E235" s="82"/>
      <c r="F235" s="82"/>
      <c r="G235" s="222"/>
      <c r="H235" s="222"/>
      <c r="I235" s="222"/>
      <c r="J235" s="6"/>
      <c r="K235" s="6"/>
      <c r="L235" s="6"/>
      <c r="M235" s="6"/>
      <c r="N235" s="6"/>
      <c r="O235" s="6"/>
      <c r="P235" s="6"/>
      <c r="Q235" s="6"/>
      <c r="R235" s="6"/>
      <c r="S235" s="6"/>
      <c r="T235" s="6"/>
      <c r="U235" s="6"/>
    </row>
    <row r="236" spans="1:21">
      <c r="A236" s="82"/>
      <c r="B236" s="83"/>
      <c r="C236" s="82"/>
      <c r="D236" s="82"/>
      <c r="E236" s="82"/>
      <c r="F236" s="82"/>
      <c r="G236" s="222"/>
      <c r="H236" s="222"/>
      <c r="I236" s="222"/>
      <c r="J236" s="6"/>
      <c r="K236" s="6"/>
      <c r="L236" s="6"/>
      <c r="M236" s="6"/>
      <c r="N236" s="6"/>
      <c r="O236" s="6"/>
      <c r="P236" s="6"/>
      <c r="Q236" s="6"/>
      <c r="R236" s="6"/>
      <c r="S236" s="6"/>
      <c r="T236" s="6"/>
      <c r="U236" s="6"/>
    </row>
    <row r="237" spans="1:21">
      <c r="A237" s="82"/>
      <c r="B237" s="83"/>
      <c r="C237" s="82"/>
      <c r="D237" s="82"/>
      <c r="E237" s="82"/>
      <c r="F237" s="82"/>
      <c r="G237" s="222"/>
      <c r="H237" s="222"/>
      <c r="I237" s="222"/>
      <c r="J237" s="6"/>
      <c r="K237" s="6"/>
      <c r="L237" s="6"/>
      <c r="M237" s="6"/>
      <c r="N237" s="6"/>
      <c r="O237" s="6"/>
      <c r="P237" s="6"/>
      <c r="Q237" s="6"/>
      <c r="R237" s="6"/>
      <c r="S237" s="6"/>
      <c r="T237" s="6"/>
      <c r="U237" s="6"/>
    </row>
    <row r="238" spans="1:21">
      <c r="A238" s="82"/>
      <c r="B238" s="83"/>
      <c r="C238" s="82"/>
      <c r="D238" s="82"/>
      <c r="E238" s="82"/>
      <c r="F238" s="82"/>
      <c r="G238" s="222"/>
      <c r="H238" s="222"/>
      <c r="I238" s="222"/>
      <c r="J238" s="6"/>
      <c r="K238" s="6"/>
      <c r="L238" s="6"/>
      <c r="M238" s="6"/>
      <c r="N238" s="6"/>
      <c r="O238" s="6"/>
      <c r="P238" s="6"/>
      <c r="Q238" s="6"/>
      <c r="R238" s="6"/>
      <c r="S238" s="6"/>
      <c r="T238" s="6"/>
      <c r="U238" s="6"/>
    </row>
    <row r="239" spans="1:21">
      <c r="A239" s="82"/>
      <c r="B239" s="83"/>
      <c r="C239" s="82"/>
      <c r="D239" s="82"/>
      <c r="E239" s="82"/>
      <c r="F239" s="82"/>
      <c r="G239" s="222"/>
      <c r="H239" s="222"/>
      <c r="I239" s="222"/>
      <c r="J239" s="6"/>
      <c r="K239" s="6"/>
      <c r="L239" s="6"/>
      <c r="M239" s="6"/>
      <c r="N239" s="6"/>
      <c r="O239" s="6"/>
      <c r="P239" s="6"/>
      <c r="Q239" s="6"/>
      <c r="R239" s="6"/>
      <c r="S239" s="6"/>
      <c r="T239" s="6"/>
      <c r="U239" s="6"/>
    </row>
    <row r="240" spans="1:21">
      <c r="A240" s="82"/>
      <c r="B240" s="83"/>
      <c r="C240" s="82"/>
      <c r="D240" s="82"/>
      <c r="E240" s="82"/>
      <c r="F240" s="82"/>
      <c r="G240" s="222"/>
      <c r="H240" s="222"/>
      <c r="I240" s="222"/>
      <c r="J240" s="6"/>
      <c r="K240" s="6"/>
      <c r="L240" s="6"/>
      <c r="M240" s="6"/>
      <c r="N240" s="6"/>
      <c r="O240" s="6"/>
      <c r="P240" s="6"/>
      <c r="Q240" s="6"/>
      <c r="R240" s="6"/>
      <c r="S240" s="6"/>
      <c r="T240" s="6"/>
      <c r="U240" s="6"/>
    </row>
    <row r="241" spans="1:21">
      <c r="A241" s="82"/>
      <c r="B241" s="83"/>
      <c r="C241" s="82"/>
      <c r="D241" s="82"/>
      <c r="E241" s="82"/>
      <c r="F241" s="82"/>
      <c r="G241" s="222"/>
      <c r="H241" s="222"/>
      <c r="I241" s="222"/>
      <c r="J241" s="6"/>
      <c r="K241" s="6"/>
      <c r="L241" s="6"/>
      <c r="M241" s="6"/>
      <c r="N241" s="6"/>
      <c r="O241" s="6"/>
      <c r="P241" s="6"/>
      <c r="Q241" s="6"/>
      <c r="R241" s="6"/>
      <c r="S241" s="6"/>
      <c r="T241" s="6"/>
      <c r="U241" s="6"/>
    </row>
    <row r="242" spans="1:21">
      <c r="A242" s="82"/>
      <c r="B242" s="83"/>
      <c r="C242" s="82"/>
      <c r="D242" s="82"/>
      <c r="E242" s="82"/>
      <c r="F242" s="82"/>
      <c r="G242" s="222"/>
      <c r="H242" s="222"/>
      <c r="I242" s="222"/>
      <c r="J242" s="6"/>
      <c r="K242" s="6"/>
      <c r="L242" s="6"/>
      <c r="M242" s="6"/>
      <c r="N242" s="6"/>
      <c r="O242" s="6"/>
      <c r="P242" s="6"/>
      <c r="Q242" s="6"/>
      <c r="R242" s="6"/>
      <c r="S242" s="6"/>
      <c r="T242" s="6"/>
      <c r="U242" s="6"/>
    </row>
    <row r="243" spans="1:21">
      <c r="A243" s="82"/>
      <c r="B243" s="83"/>
      <c r="C243" s="82"/>
      <c r="D243" s="82"/>
      <c r="E243" s="82"/>
      <c r="F243" s="82"/>
      <c r="G243" s="222"/>
      <c r="H243" s="222"/>
      <c r="I243" s="222"/>
      <c r="J243" s="6"/>
      <c r="K243" s="6"/>
      <c r="L243" s="6"/>
      <c r="M243" s="6"/>
      <c r="N243" s="6"/>
      <c r="O243" s="6"/>
      <c r="P243" s="6"/>
      <c r="Q243" s="6"/>
      <c r="R243" s="6"/>
      <c r="S243" s="6"/>
      <c r="T243" s="6"/>
      <c r="U243" s="6"/>
    </row>
    <row r="244" spans="1:21">
      <c r="A244" s="82"/>
      <c r="B244" s="83"/>
      <c r="C244" s="82"/>
      <c r="D244" s="82"/>
      <c r="E244" s="82"/>
      <c r="F244" s="82"/>
      <c r="G244" s="222"/>
      <c r="H244" s="222"/>
      <c r="I244" s="222"/>
      <c r="J244" s="6"/>
      <c r="K244" s="6"/>
      <c r="L244" s="6"/>
      <c r="M244" s="6"/>
      <c r="N244" s="6"/>
      <c r="O244" s="6"/>
      <c r="P244" s="6"/>
      <c r="Q244" s="6"/>
      <c r="R244" s="6"/>
      <c r="S244" s="6"/>
      <c r="T244" s="6"/>
      <c r="U244" s="6"/>
    </row>
    <row r="245" spans="1:21">
      <c r="A245" s="82"/>
      <c r="B245" s="83"/>
      <c r="C245" s="82"/>
      <c r="D245" s="82"/>
      <c r="E245" s="82"/>
      <c r="F245" s="82"/>
      <c r="G245" s="222"/>
      <c r="H245" s="222"/>
      <c r="I245" s="222"/>
      <c r="J245" s="6"/>
      <c r="K245" s="6"/>
      <c r="L245" s="6"/>
      <c r="M245" s="6"/>
      <c r="N245" s="6"/>
      <c r="O245" s="6"/>
      <c r="P245" s="6"/>
      <c r="Q245" s="6"/>
      <c r="R245" s="6"/>
      <c r="S245" s="6"/>
      <c r="T245" s="6"/>
      <c r="U245" s="6"/>
    </row>
    <row r="246" spans="1:21">
      <c r="A246" s="82"/>
      <c r="B246" s="83"/>
      <c r="C246" s="82"/>
      <c r="D246" s="82"/>
      <c r="E246" s="82"/>
      <c r="F246" s="82"/>
      <c r="G246" s="222"/>
      <c r="H246" s="222"/>
      <c r="I246" s="222"/>
      <c r="J246" s="6"/>
      <c r="K246" s="6"/>
      <c r="L246" s="6"/>
      <c r="M246" s="6"/>
      <c r="N246" s="6"/>
      <c r="O246" s="6"/>
      <c r="P246" s="6"/>
      <c r="Q246" s="6"/>
      <c r="R246" s="6"/>
      <c r="S246" s="6"/>
      <c r="T246" s="6"/>
      <c r="U246" s="6"/>
    </row>
    <row r="247" spans="1:21">
      <c r="A247" s="82"/>
      <c r="B247" s="83"/>
      <c r="C247" s="82"/>
      <c r="D247" s="82"/>
      <c r="E247" s="82"/>
      <c r="F247" s="82"/>
      <c r="G247" s="222"/>
      <c r="H247" s="222"/>
      <c r="I247" s="222"/>
      <c r="J247" s="6"/>
      <c r="K247" s="6"/>
      <c r="L247" s="6"/>
      <c r="M247" s="6"/>
      <c r="N247" s="6"/>
      <c r="O247" s="6"/>
      <c r="P247" s="6"/>
      <c r="Q247" s="6"/>
      <c r="R247" s="6"/>
      <c r="S247" s="6"/>
      <c r="T247" s="6"/>
      <c r="U247" s="6"/>
    </row>
    <row r="248" spans="1:21">
      <c r="A248" s="82"/>
      <c r="B248" s="83"/>
      <c r="C248" s="82"/>
      <c r="D248" s="82"/>
      <c r="E248" s="82"/>
      <c r="F248" s="82"/>
      <c r="G248" s="222"/>
      <c r="H248" s="222"/>
      <c r="I248" s="222"/>
      <c r="J248" s="6"/>
      <c r="K248" s="6"/>
      <c r="L248" s="6"/>
      <c r="M248" s="6"/>
      <c r="N248" s="6"/>
      <c r="O248" s="6"/>
      <c r="P248" s="6"/>
      <c r="Q248" s="6"/>
      <c r="R248" s="6"/>
      <c r="S248" s="6"/>
      <c r="T248" s="6"/>
      <c r="U248" s="6"/>
    </row>
    <row r="249" spans="1:21">
      <c r="A249" s="82"/>
      <c r="B249" s="83"/>
      <c r="C249" s="82"/>
      <c r="D249" s="82"/>
      <c r="E249" s="82"/>
      <c r="F249" s="82"/>
      <c r="G249" s="222"/>
      <c r="H249" s="222"/>
      <c r="I249" s="222"/>
      <c r="J249" s="6"/>
      <c r="K249" s="6"/>
      <c r="L249" s="6"/>
      <c r="M249" s="6"/>
      <c r="N249" s="6"/>
      <c r="O249" s="6"/>
      <c r="P249" s="6"/>
      <c r="Q249" s="6"/>
      <c r="R249" s="6"/>
      <c r="S249" s="6"/>
      <c r="T249" s="6"/>
      <c r="U249" s="6"/>
    </row>
    <row r="250" spans="1:21">
      <c r="A250" s="82"/>
      <c r="B250" s="83"/>
      <c r="C250" s="82"/>
      <c r="D250" s="82"/>
      <c r="E250" s="82"/>
      <c r="F250" s="82"/>
      <c r="G250" s="222"/>
      <c r="H250" s="222"/>
      <c r="I250" s="222"/>
      <c r="J250" s="6"/>
      <c r="K250" s="6"/>
      <c r="L250" s="6"/>
      <c r="M250" s="6"/>
      <c r="N250" s="6"/>
      <c r="O250" s="6"/>
      <c r="P250" s="6"/>
      <c r="Q250" s="6"/>
      <c r="R250" s="6"/>
      <c r="S250" s="6"/>
      <c r="T250" s="6"/>
      <c r="U250" s="6"/>
    </row>
    <row r="251" spans="1:21">
      <c r="A251" s="82"/>
      <c r="B251" s="83"/>
      <c r="C251" s="82"/>
      <c r="D251" s="82"/>
      <c r="E251" s="82"/>
      <c r="F251" s="82"/>
      <c r="G251" s="222"/>
      <c r="H251" s="222"/>
      <c r="I251" s="222"/>
      <c r="J251" s="6"/>
      <c r="K251" s="6"/>
      <c r="L251" s="6"/>
      <c r="M251" s="6"/>
      <c r="N251" s="6"/>
      <c r="O251" s="6"/>
      <c r="P251" s="6"/>
      <c r="Q251" s="6"/>
      <c r="R251" s="6"/>
      <c r="S251" s="6"/>
      <c r="T251" s="6"/>
      <c r="U251" s="6"/>
    </row>
    <row r="252" spans="1:21">
      <c r="A252" s="82"/>
      <c r="B252" s="83"/>
      <c r="C252" s="82"/>
      <c r="D252" s="82"/>
      <c r="E252" s="82"/>
      <c r="F252" s="82"/>
      <c r="G252" s="222"/>
      <c r="H252" s="222"/>
      <c r="I252" s="222"/>
      <c r="J252" s="6"/>
      <c r="K252" s="6"/>
      <c r="L252" s="6"/>
      <c r="M252" s="6"/>
      <c r="N252" s="6"/>
      <c r="O252" s="6"/>
      <c r="P252" s="6"/>
      <c r="Q252" s="6"/>
      <c r="R252" s="6"/>
      <c r="S252" s="6"/>
      <c r="T252" s="6"/>
      <c r="U252" s="6"/>
    </row>
    <row r="253" spans="1:21">
      <c r="A253" s="82"/>
      <c r="B253" s="83"/>
      <c r="C253" s="82"/>
      <c r="D253" s="82"/>
      <c r="E253" s="82"/>
      <c r="F253" s="82"/>
      <c r="G253" s="222"/>
      <c r="H253" s="222"/>
      <c r="I253" s="222"/>
      <c r="J253" s="6"/>
      <c r="K253" s="6"/>
      <c r="L253" s="6"/>
      <c r="M253" s="6"/>
      <c r="N253" s="6"/>
      <c r="O253" s="6"/>
      <c r="P253" s="6"/>
      <c r="Q253" s="6"/>
      <c r="R253" s="6"/>
      <c r="S253" s="6"/>
      <c r="T253" s="6"/>
      <c r="U253" s="6"/>
    </row>
    <row r="254" spans="1:21">
      <c r="A254" s="82"/>
      <c r="B254" s="83"/>
      <c r="C254" s="82"/>
      <c r="D254" s="82"/>
      <c r="E254" s="82"/>
      <c r="F254" s="82"/>
      <c r="G254" s="222"/>
      <c r="H254" s="222"/>
      <c r="I254" s="222"/>
      <c r="J254" s="6"/>
      <c r="K254" s="6"/>
      <c r="L254" s="6"/>
      <c r="M254" s="6"/>
      <c r="N254" s="6"/>
      <c r="O254" s="6"/>
      <c r="P254" s="6"/>
      <c r="Q254" s="6"/>
      <c r="R254" s="6"/>
      <c r="S254" s="6"/>
      <c r="T254" s="6"/>
      <c r="U254" s="6"/>
    </row>
    <row r="255" spans="1:21">
      <c r="A255" s="82"/>
      <c r="B255" s="83"/>
      <c r="C255" s="82"/>
      <c r="D255" s="82"/>
      <c r="E255" s="82"/>
      <c r="F255" s="82"/>
      <c r="G255" s="222"/>
      <c r="H255" s="222"/>
      <c r="I255" s="222"/>
      <c r="J255" s="6"/>
      <c r="K255" s="6"/>
      <c r="L255" s="6"/>
      <c r="M255" s="6"/>
      <c r="N255" s="6"/>
      <c r="O255" s="6"/>
      <c r="P255" s="6"/>
      <c r="Q255" s="6"/>
      <c r="R255" s="6"/>
      <c r="S255" s="6"/>
      <c r="T255" s="6"/>
      <c r="U255" s="6"/>
    </row>
    <row r="256" spans="1:21">
      <c r="A256" s="82"/>
      <c r="B256" s="83"/>
      <c r="C256" s="82"/>
      <c r="D256" s="82"/>
      <c r="E256" s="82"/>
      <c r="F256" s="82"/>
      <c r="G256" s="222"/>
      <c r="H256" s="222"/>
      <c r="I256" s="222"/>
      <c r="J256" s="6"/>
      <c r="K256" s="6"/>
      <c r="L256" s="6"/>
      <c r="M256" s="6"/>
      <c r="N256" s="6"/>
      <c r="O256" s="6"/>
      <c r="P256" s="6"/>
      <c r="Q256" s="6"/>
      <c r="R256" s="6"/>
      <c r="S256" s="6"/>
      <c r="T256" s="6"/>
      <c r="U256" s="6"/>
    </row>
    <row r="257" spans="1:21">
      <c r="A257" s="82"/>
      <c r="B257" s="83"/>
      <c r="C257" s="82"/>
      <c r="D257" s="82"/>
      <c r="E257" s="82"/>
      <c r="F257" s="82"/>
      <c r="G257" s="222"/>
      <c r="H257" s="222"/>
      <c r="I257" s="222"/>
      <c r="J257" s="6"/>
      <c r="K257" s="6"/>
      <c r="L257" s="6"/>
      <c r="M257" s="6"/>
      <c r="N257" s="6"/>
      <c r="O257" s="6"/>
      <c r="P257" s="6"/>
      <c r="Q257" s="6"/>
      <c r="R257" s="6"/>
      <c r="S257" s="6"/>
      <c r="T257" s="6"/>
      <c r="U257" s="6"/>
    </row>
    <row r="258" spans="1:21">
      <c r="A258" s="82"/>
      <c r="B258" s="83"/>
      <c r="C258" s="82"/>
      <c r="D258" s="82"/>
      <c r="E258" s="82"/>
      <c r="F258" s="82"/>
      <c r="G258" s="222"/>
      <c r="H258" s="222"/>
      <c r="I258" s="222"/>
      <c r="J258" s="6"/>
      <c r="K258" s="6"/>
      <c r="L258" s="6"/>
      <c r="M258" s="6"/>
      <c r="N258" s="6"/>
      <c r="O258" s="6"/>
      <c r="P258" s="6"/>
      <c r="Q258" s="6"/>
      <c r="R258" s="6"/>
      <c r="S258" s="6"/>
      <c r="T258" s="6"/>
      <c r="U258" s="6"/>
    </row>
    <row r="259" spans="1:21">
      <c r="A259" s="82"/>
      <c r="B259" s="83"/>
      <c r="C259" s="82"/>
      <c r="D259" s="82"/>
      <c r="E259" s="82"/>
      <c r="F259" s="82"/>
      <c r="G259" s="222"/>
      <c r="H259" s="222"/>
      <c r="I259" s="222"/>
      <c r="J259" s="6"/>
      <c r="K259" s="6"/>
      <c r="L259" s="6"/>
      <c r="M259" s="6"/>
      <c r="N259" s="6"/>
      <c r="O259" s="6"/>
      <c r="P259" s="6"/>
      <c r="Q259" s="6"/>
      <c r="R259" s="6"/>
      <c r="S259" s="6"/>
      <c r="T259" s="6"/>
      <c r="U259" s="6"/>
    </row>
    <row r="260" spans="1:21">
      <c r="A260" s="82"/>
      <c r="B260" s="83"/>
      <c r="C260" s="82"/>
      <c r="D260" s="82"/>
      <c r="E260" s="82"/>
      <c r="F260" s="82"/>
      <c r="G260" s="222"/>
      <c r="H260" s="222"/>
      <c r="I260" s="222"/>
      <c r="J260" s="6"/>
      <c r="K260" s="6"/>
      <c r="L260" s="6"/>
      <c r="M260" s="6"/>
      <c r="N260" s="6"/>
      <c r="O260" s="6"/>
      <c r="P260" s="6"/>
      <c r="Q260" s="6"/>
      <c r="R260" s="6"/>
      <c r="S260" s="6"/>
      <c r="T260" s="6"/>
      <c r="U260" s="6"/>
    </row>
    <row r="261" spans="1:21">
      <c r="A261" s="82"/>
      <c r="B261" s="83"/>
      <c r="C261" s="82"/>
      <c r="D261" s="82"/>
      <c r="E261" s="82"/>
      <c r="F261" s="82"/>
      <c r="G261" s="222"/>
      <c r="H261" s="222"/>
      <c r="I261" s="222"/>
      <c r="J261" s="6"/>
      <c r="K261" s="6"/>
      <c r="L261" s="6"/>
      <c r="M261" s="6"/>
      <c r="N261" s="6"/>
      <c r="O261" s="6"/>
      <c r="P261" s="6"/>
      <c r="Q261" s="6"/>
      <c r="R261" s="6"/>
      <c r="S261" s="6"/>
      <c r="T261" s="6"/>
      <c r="U261" s="6"/>
    </row>
    <row r="262" spans="1:21">
      <c r="A262" s="82"/>
      <c r="B262" s="83"/>
      <c r="C262" s="82"/>
      <c r="D262" s="82"/>
      <c r="E262" s="82"/>
      <c r="F262" s="82"/>
      <c r="G262" s="222"/>
      <c r="H262" s="222"/>
      <c r="I262" s="222"/>
      <c r="J262" s="6"/>
      <c r="K262" s="6"/>
      <c r="L262" s="6"/>
      <c r="M262" s="6"/>
      <c r="N262" s="6"/>
      <c r="O262" s="6"/>
      <c r="P262" s="6"/>
      <c r="Q262" s="6"/>
      <c r="R262" s="6"/>
      <c r="S262" s="6"/>
      <c r="T262" s="6"/>
      <c r="U262" s="6"/>
    </row>
    <row r="263" spans="1:21">
      <c r="A263" s="82"/>
      <c r="B263" s="83"/>
      <c r="C263" s="82"/>
      <c r="D263" s="82"/>
      <c r="E263" s="82"/>
      <c r="F263" s="82"/>
      <c r="G263" s="222"/>
      <c r="H263" s="222"/>
      <c r="I263" s="222"/>
      <c r="J263" s="6"/>
      <c r="K263" s="6"/>
      <c r="L263" s="6"/>
      <c r="M263" s="6"/>
      <c r="N263" s="6"/>
      <c r="O263" s="6"/>
      <c r="P263" s="6"/>
      <c r="Q263" s="6"/>
      <c r="R263" s="6"/>
      <c r="S263" s="6"/>
      <c r="T263" s="6"/>
      <c r="U263" s="6"/>
    </row>
    <row r="264" spans="1:21">
      <c r="A264" s="82"/>
      <c r="B264" s="83"/>
      <c r="C264" s="82"/>
      <c r="D264" s="82"/>
      <c r="E264" s="82"/>
      <c r="F264" s="82"/>
      <c r="G264" s="222"/>
      <c r="H264" s="222"/>
      <c r="I264" s="222"/>
      <c r="J264" s="6"/>
      <c r="K264" s="6"/>
      <c r="L264" s="6"/>
      <c r="M264" s="6"/>
      <c r="N264" s="6"/>
      <c r="O264" s="6"/>
      <c r="P264" s="6"/>
      <c r="Q264" s="6"/>
      <c r="R264" s="6"/>
      <c r="S264" s="6"/>
      <c r="T264" s="6"/>
      <c r="U264" s="6"/>
    </row>
    <row r="265" spans="1:21">
      <c r="A265" s="82"/>
      <c r="B265" s="83"/>
      <c r="C265" s="82"/>
      <c r="D265" s="82"/>
      <c r="E265" s="82"/>
      <c r="F265" s="82"/>
      <c r="G265" s="222"/>
      <c r="H265" s="222"/>
      <c r="I265" s="222"/>
      <c r="J265" s="6"/>
      <c r="K265" s="6"/>
      <c r="L265" s="6"/>
      <c r="M265" s="6"/>
      <c r="N265" s="6"/>
      <c r="O265" s="6"/>
      <c r="P265" s="6"/>
      <c r="Q265" s="6"/>
      <c r="R265" s="6"/>
      <c r="S265" s="6"/>
      <c r="T265" s="6"/>
      <c r="U265" s="6"/>
    </row>
    <row r="266" spans="1:21">
      <c r="A266" s="82"/>
      <c r="B266" s="83"/>
      <c r="C266" s="82"/>
      <c r="D266" s="82"/>
      <c r="E266" s="82"/>
      <c r="F266" s="82"/>
      <c r="G266" s="222"/>
      <c r="H266" s="222"/>
      <c r="I266" s="222"/>
      <c r="J266" s="6"/>
      <c r="K266" s="6"/>
      <c r="L266" s="6"/>
      <c r="M266" s="6"/>
      <c r="N266" s="6"/>
      <c r="O266" s="6"/>
      <c r="P266" s="6"/>
      <c r="Q266" s="6"/>
      <c r="R266" s="6"/>
      <c r="S266" s="6"/>
      <c r="T266" s="6"/>
      <c r="U266" s="6"/>
    </row>
    <row r="267" spans="1:21">
      <c r="A267" s="82"/>
      <c r="B267" s="83"/>
      <c r="C267" s="82"/>
      <c r="D267" s="82"/>
      <c r="E267" s="82"/>
      <c r="F267" s="82"/>
      <c r="G267" s="222"/>
      <c r="H267" s="222"/>
      <c r="I267" s="222"/>
      <c r="J267" s="6"/>
      <c r="K267" s="6"/>
      <c r="L267" s="6"/>
      <c r="M267" s="6"/>
      <c r="N267" s="6"/>
      <c r="O267" s="6"/>
      <c r="P267" s="6"/>
      <c r="Q267" s="6"/>
      <c r="R267" s="6"/>
      <c r="S267" s="6"/>
      <c r="T267" s="6"/>
      <c r="U267" s="6"/>
    </row>
    <row r="268" spans="1:21">
      <c r="A268" s="82"/>
      <c r="B268" s="83"/>
      <c r="C268" s="82"/>
      <c r="D268" s="82"/>
      <c r="E268" s="82"/>
      <c r="F268" s="82"/>
      <c r="G268" s="222"/>
      <c r="H268" s="222"/>
      <c r="I268" s="222"/>
      <c r="J268" s="6"/>
      <c r="K268" s="6"/>
      <c r="L268" s="6"/>
      <c r="M268" s="6"/>
      <c r="N268" s="6"/>
      <c r="O268" s="6"/>
      <c r="P268" s="6"/>
      <c r="Q268" s="6"/>
      <c r="R268" s="6"/>
      <c r="S268" s="6"/>
      <c r="T268" s="6"/>
      <c r="U268" s="6"/>
    </row>
    <row r="269" spans="1:21">
      <c r="A269" s="82"/>
      <c r="B269" s="83"/>
      <c r="C269" s="82"/>
      <c r="D269" s="82"/>
      <c r="E269" s="82"/>
      <c r="F269" s="82"/>
      <c r="G269" s="222"/>
      <c r="H269" s="222"/>
      <c r="I269" s="222"/>
      <c r="J269" s="6"/>
      <c r="K269" s="6"/>
      <c r="L269" s="6"/>
      <c r="M269" s="6"/>
      <c r="N269" s="6"/>
      <c r="O269" s="6"/>
      <c r="P269" s="6"/>
      <c r="Q269" s="6"/>
      <c r="R269" s="6"/>
      <c r="S269" s="6"/>
      <c r="T269" s="6"/>
      <c r="U269" s="6"/>
    </row>
    <row r="270" spans="1:21">
      <c r="A270" s="82"/>
      <c r="B270" s="83"/>
      <c r="C270" s="82"/>
      <c r="D270" s="82"/>
      <c r="E270" s="82"/>
      <c r="F270" s="82"/>
      <c r="G270" s="222"/>
      <c r="H270" s="222"/>
      <c r="I270" s="222"/>
      <c r="J270" s="6"/>
      <c r="K270" s="6"/>
      <c r="L270" s="6"/>
      <c r="M270" s="6"/>
      <c r="N270" s="6"/>
      <c r="O270" s="6"/>
      <c r="P270" s="6"/>
      <c r="Q270" s="6"/>
      <c r="R270" s="6"/>
      <c r="S270" s="6"/>
      <c r="T270" s="6"/>
      <c r="U270" s="6"/>
    </row>
    <row r="271" spans="1:21">
      <c r="A271" s="82"/>
      <c r="B271" s="83"/>
      <c r="C271" s="82"/>
      <c r="D271" s="82"/>
      <c r="E271" s="82"/>
      <c r="F271" s="82"/>
      <c r="G271" s="222"/>
      <c r="H271" s="222"/>
      <c r="I271" s="222"/>
      <c r="J271" s="6"/>
      <c r="K271" s="6"/>
      <c r="L271" s="6"/>
      <c r="M271" s="6"/>
      <c r="N271" s="6"/>
      <c r="O271" s="6"/>
      <c r="P271" s="6"/>
      <c r="Q271" s="6"/>
      <c r="R271" s="6"/>
      <c r="S271" s="6"/>
      <c r="T271" s="6"/>
      <c r="U271" s="6"/>
    </row>
    <row r="272" spans="1:21">
      <c r="A272" s="82"/>
      <c r="B272" s="83"/>
      <c r="C272" s="82"/>
      <c r="D272" s="82"/>
      <c r="E272" s="82"/>
      <c r="F272" s="82"/>
      <c r="G272" s="222"/>
      <c r="H272" s="222"/>
      <c r="I272" s="222"/>
      <c r="J272" s="6"/>
      <c r="K272" s="6"/>
      <c r="L272" s="6"/>
      <c r="M272" s="6"/>
      <c r="N272" s="6"/>
      <c r="O272" s="6"/>
      <c r="P272" s="6"/>
      <c r="Q272" s="6"/>
      <c r="R272" s="6"/>
      <c r="S272" s="6"/>
      <c r="T272" s="6"/>
      <c r="U272" s="6"/>
    </row>
    <row r="273" spans="1:21">
      <c r="A273" s="82"/>
      <c r="B273" s="83"/>
      <c r="C273" s="82"/>
      <c r="D273" s="82"/>
      <c r="E273" s="82"/>
      <c r="F273" s="82"/>
      <c r="G273" s="222"/>
      <c r="H273" s="222"/>
      <c r="I273" s="222"/>
      <c r="J273" s="6"/>
      <c r="K273" s="6"/>
      <c r="L273" s="6"/>
      <c r="M273" s="6"/>
      <c r="N273" s="6"/>
      <c r="O273" s="6"/>
      <c r="P273" s="6"/>
      <c r="Q273" s="6"/>
      <c r="R273" s="6"/>
      <c r="S273" s="6"/>
      <c r="T273" s="6"/>
      <c r="U273" s="6"/>
    </row>
    <row r="274" spans="1:21">
      <c r="A274" s="82"/>
      <c r="B274" s="83"/>
      <c r="C274" s="82"/>
      <c r="D274" s="82"/>
      <c r="E274" s="82"/>
      <c r="F274" s="82"/>
      <c r="G274" s="222"/>
      <c r="H274" s="222"/>
      <c r="I274" s="222"/>
      <c r="J274" s="6"/>
      <c r="K274" s="6"/>
      <c r="L274" s="6"/>
      <c r="M274" s="6"/>
      <c r="N274" s="6"/>
      <c r="O274" s="6"/>
      <c r="P274" s="6"/>
      <c r="Q274" s="6"/>
      <c r="R274" s="6"/>
      <c r="S274" s="6"/>
      <c r="T274" s="6"/>
      <c r="U274" s="6"/>
    </row>
    <row r="275" spans="1:21">
      <c r="A275" s="82"/>
      <c r="B275" s="83"/>
      <c r="C275" s="82"/>
      <c r="D275" s="82"/>
      <c r="E275" s="82"/>
      <c r="F275" s="82"/>
      <c r="G275" s="222"/>
      <c r="H275" s="222"/>
      <c r="I275" s="222"/>
      <c r="J275" s="6"/>
      <c r="K275" s="6"/>
      <c r="L275" s="6"/>
      <c r="M275" s="6"/>
      <c r="N275" s="6"/>
      <c r="O275" s="6"/>
      <c r="P275" s="6"/>
      <c r="Q275" s="6"/>
      <c r="R275" s="6"/>
      <c r="S275" s="6"/>
      <c r="T275" s="6"/>
      <c r="U275" s="6"/>
    </row>
    <row r="276" spans="1:21">
      <c r="A276" s="82"/>
      <c r="B276" s="83"/>
      <c r="C276" s="82"/>
      <c r="D276" s="82"/>
      <c r="E276" s="82"/>
      <c r="F276" s="82"/>
      <c r="G276" s="222"/>
      <c r="H276" s="222"/>
      <c r="I276" s="222"/>
      <c r="J276" s="6"/>
      <c r="K276" s="6"/>
      <c r="L276" s="6"/>
      <c r="M276" s="6"/>
      <c r="N276" s="6"/>
      <c r="O276" s="6"/>
      <c r="P276" s="6"/>
      <c r="Q276" s="6"/>
      <c r="R276" s="6"/>
      <c r="S276" s="6"/>
      <c r="T276" s="6"/>
      <c r="U276" s="6"/>
    </row>
    <row r="277" spans="1:21">
      <c r="A277" s="82"/>
      <c r="B277" s="83"/>
      <c r="C277" s="82"/>
      <c r="D277" s="82"/>
      <c r="E277" s="82"/>
      <c r="F277" s="82"/>
      <c r="G277" s="222"/>
      <c r="H277" s="222"/>
      <c r="I277" s="222"/>
      <c r="J277" s="6"/>
      <c r="K277" s="6"/>
      <c r="L277" s="6"/>
      <c r="M277" s="6"/>
      <c r="N277" s="6"/>
      <c r="O277" s="6"/>
      <c r="P277" s="6"/>
      <c r="Q277" s="6"/>
      <c r="R277" s="6"/>
      <c r="S277" s="6"/>
      <c r="T277" s="6"/>
      <c r="U277" s="6"/>
    </row>
    <row r="278" spans="1:21">
      <c r="A278" s="82"/>
      <c r="B278" s="83"/>
      <c r="C278" s="82"/>
      <c r="D278" s="82"/>
      <c r="E278" s="82"/>
      <c r="F278" s="82"/>
      <c r="G278" s="222"/>
      <c r="H278" s="222"/>
      <c r="I278" s="222"/>
      <c r="J278" s="6"/>
      <c r="K278" s="6"/>
      <c r="L278" s="6"/>
      <c r="M278" s="6"/>
      <c r="N278" s="6"/>
      <c r="O278" s="6"/>
      <c r="P278" s="6"/>
      <c r="Q278" s="6"/>
      <c r="R278" s="6"/>
      <c r="S278" s="6"/>
      <c r="T278" s="6"/>
      <c r="U278" s="6"/>
    </row>
    <row r="279" spans="1:21">
      <c r="A279" s="82"/>
      <c r="B279" s="83"/>
      <c r="C279" s="82"/>
      <c r="D279" s="82"/>
      <c r="E279" s="82"/>
      <c r="F279" s="82"/>
      <c r="G279" s="222"/>
      <c r="H279" s="222"/>
      <c r="I279" s="222"/>
      <c r="J279" s="6"/>
      <c r="K279" s="6"/>
      <c r="L279" s="6"/>
      <c r="M279" s="6"/>
      <c r="N279" s="6"/>
      <c r="O279" s="6"/>
      <c r="P279" s="6"/>
      <c r="Q279" s="6"/>
      <c r="R279" s="6"/>
      <c r="S279" s="6"/>
      <c r="T279" s="6"/>
      <c r="U279" s="6"/>
    </row>
    <row r="280" spans="1:21">
      <c r="A280" s="82"/>
      <c r="B280" s="83"/>
      <c r="C280" s="82"/>
      <c r="D280" s="82"/>
      <c r="E280" s="82"/>
      <c r="F280" s="82"/>
      <c r="G280" s="222"/>
      <c r="H280" s="222"/>
      <c r="I280" s="222"/>
      <c r="J280" s="6"/>
      <c r="K280" s="6"/>
      <c r="L280" s="6"/>
      <c r="M280" s="6"/>
      <c r="N280" s="6"/>
      <c r="O280" s="6"/>
      <c r="P280" s="6"/>
      <c r="Q280" s="6"/>
      <c r="R280" s="6"/>
      <c r="S280" s="6"/>
      <c r="T280" s="6"/>
      <c r="U280" s="6"/>
    </row>
    <row r="281" spans="1:21">
      <c r="A281" s="82"/>
      <c r="B281" s="83"/>
      <c r="C281" s="82"/>
      <c r="D281" s="82"/>
      <c r="E281" s="82"/>
      <c r="F281" s="82"/>
      <c r="G281" s="222"/>
      <c r="H281" s="222"/>
      <c r="I281" s="222"/>
      <c r="J281" s="6"/>
      <c r="K281" s="6"/>
      <c r="L281" s="6"/>
      <c r="M281" s="6"/>
      <c r="N281" s="6"/>
      <c r="O281" s="6"/>
      <c r="P281" s="6"/>
      <c r="Q281" s="6"/>
      <c r="R281" s="6"/>
      <c r="S281" s="6"/>
      <c r="T281" s="6"/>
      <c r="U281" s="6"/>
    </row>
    <row r="282" spans="1:21">
      <c r="A282" s="82"/>
      <c r="B282" s="83"/>
      <c r="C282" s="82"/>
      <c r="D282" s="82"/>
      <c r="E282" s="82"/>
      <c r="F282" s="82"/>
      <c r="G282" s="222"/>
      <c r="H282" s="222"/>
      <c r="I282" s="222"/>
      <c r="J282" s="6"/>
      <c r="K282" s="6"/>
      <c r="L282" s="6"/>
      <c r="M282" s="6"/>
      <c r="N282" s="6"/>
      <c r="O282" s="6"/>
      <c r="P282" s="6"/>
      <c r="Q282" s="6"/>
      <c r="R282" s="6"/>
      <c r="S282" s="6"/>
      <c r="T282" s="6"/>
      <c r="U282" s="6"/>
    </row>
    <row r="283" spans="1:21">
      <c r="A283" s="82"/>
      <c r="B283" s="83"/>
      <c r="C283" s="82"/>
      <c r="D283" s="82"/>
      <c r="E283" s="82"/>
      <c r="F283" s="82"/>
      <c r="G283" s="222"/>
      <c r="H283" s="222"/>
      <c r="I283" s="222"/>
      <c r="J283" s="6"/>
      <c r="K283" s="6"/>
      <c r="L283" s="6"/>
      <c r="M283" s="6"/>
      <c r="N283" s="6"/>
      <c r="O283" s="6"/>
      <c r="P283" s="6"/>
      <c r="Q283" s="6"/>
      <c r="R283" s="6"/>
      <c r="S283" s="6"/>
      <c r="T283" s="6"/>
      <c r="U283" s="6"/>
    </row>
    <row r="284" spans="1:21">
      <c r="A284" s="82"/>
      <c r="B284" s="83"/>
      <c r="C284" s="82"/>
      <c r="D284" s="82"/>
      <c r="E284" s="82"/>
      <c r="F284" s="82"/>
      <c r="G284" s="222"/>
      <c r="H284" s="222"/>
      <c r="I284" s="222"/>
      <c r="J284" s="6"/>
      <c r="K284" s="6"/>
      <c r="L284" s="6"/>
      <c r="M284" s="6"/>
      <c r="N284" s="6"/>
      <c r="O284" s="6"/>
      <c r="P284" s="6"/>
      <c r="Q284" s="6"/>
      <c r="R284" s="6"/>
      <c r="S284" s="6"/>
      <c r="T284" s="6"/>
      <c r="U284" s="6"/>
    </row>
    <row r="285" spans="1:21">
      <c r="A285" s="82"/>
      <c r="B285" s="83"/>
      <c r="C285" s="82"/>
      <c r="D285" s="82"/>
      <c r="E285" s="82"/>
      <c r="F285" s="82"/>
      <c r="G285" s="222"/>
      <c r="H285" s="222"/>
      <c r="I285" s="222"/>
      <c r="J285" s="6"/>
      <c r="K285" s="6"/>
      <c r="L285" s="6"/>
      <c r="M285" s="6"/>
      <c r="N285" s="6"/>
      <c r="O285" s="6"/>
      <c r="P285" s="6"/>
      <c r="Q285" s="6"/>
      <c r="R285" s="6"/>
      <c r="S285" s="6"/>
      <c r="T285" s="6"/>
      <c r="U285" s="6"/>
    </row>
    <row r="286" spans="1:21">
      <c r="A286" s="82"/>
      <c r="B286" s="83"/>
      <c r="C286" s="82"/>
      <c r="D286" s="82"/>
      <c r="E286" s="82"/>
      <c r="F286" s="82"/>
      <c r="G286" s="222"/>
      <c r="H286" s="222"/>
      <c r="I286" s="222"/>
      <c r="J286" s="6"/>
      <c r="K286" s="6"/>
      <c r="L286" s="6"/>
      <c r="M286" s="6"/>
      <c r="N286" s="6"/>
      <c r="O286" s="6"/>
      <c r="P286" s="6"/>
      <c r="Q286" s="6"/>
      <c r="R286" s="6"/>
      <c r="S286" s="6"/>
      <c r="T286" s="6"/>
      <c r="U286" s="6"/>
    </row>
    <row r="287" spans="1:21">
      <c r="A287" s="82"/>
      <c r="B287" s="83"/>
      <c r="C287" s="82"/>
      <c r="D287" s="82"/>
      <c r="E287" s="82"/>
      <c r="F287" s="82"/>
      <c r="G287" s="222"/>
      <c r="H287" s="222"/>
      <c r="I287" s="222"/>
      <c r="J287" s="6"/>
      <c r="K287" s="6"/>
      <c r="L287" s="6"/>
      <c r="M287" s="6"/>
      <c r="N287" s="6"/>
      <c r="O287" s="6"/>
      <c r="P287" s="6"/>
      <c r="Q287" s="6"/>
      <c r="R287" s="6"/>
      <c r="S287" s="6"/>
      <c r="T287" s="6"/>
      <c r="U287" s="6"/>
    </row>
    <row r="288" spans="1:21">
      <c r="A288" s="82"/>
      <c r="B288" s="83"/>
      <c r="C288" s="82"/>
      <c r="D288" s="82"/>
      <c r="E288" s="82"/>
      <c r="F288" s="82"/>
      <c r="G288" s="222"/>
      <c r="H288" s="222"/>
      <c r="I288" s="222"/>
      <c r="J288" s="6"/>
      <c r="K288" s="6"/>
      <c r="L288" s="6"/>
      <c r="M288" s="6"/>
      <c r="N288" s="6"/>
      <c r="O288" s="6"/>
      <c r="P288" s="6"/>
      <c r="Q288" s="6"/>
      <c r="R288" s="6"/>
      <c r="S288" s="6"/>
      <c r="T288" s="6"/>
      <c r="U288" s="6"/>
    </row>
    <row r="289" spans="1:21">
      <c r="A289" s="82"/>
      <c r="B289" s="83"/>
      <c r="C289" s="82"/>
      <c r="D289" s="82"/>
      <c r="E289" s="82"/>
      <c r="F289" s="82"/>
      <c r="G289" s="222"/>
      <c r="H289" s="222"/>
      <c r="I289" s="222"/>
      <c r="J289" s="6"/>
      <c r="K289" s="6"/>
      <c r="L289" s="6"/>
      <c r="M289" s="6"/>
      <c r="N289" s="6"/>
      <c r="O289" s="6"/>
      <c r="P289" s="6"/>
      <c r="Q289" s="6"/>
      <c r="R289" s="6"/>
      <c r="S289" s="6"/>
      <c r="T289" s="6"/>
      <c r="U289" s="6"/>
    </row>
    <row r="290" spans="1:21">
      <c r="A290" s="82"/>
      <c r="B290" s="83"/>
      <c r="C290" s="82"/>
      <c r="D290" s="82"/>
      <c r="E290" s="82"/>
      <c r="F290" s="82"/>
      <c r="G290" s="222"/>
      <c r="H290" s="222"/>
      <c r="I290" s="222"/>
      <c r="J290" s="6"/>
      <c r="K290" s="6"/>
      <c r="L290" s="6"/>
      <c r="M290" s="6"/>
      <c r="N290" s="6"/>
      <c r="O290" s="6"/>
      <c r="P290" s="6"/>
      <c r="Q290" s="6"/>
      <c r="R290" s="6"/>
      <c r="S290" s="6"/>
      <c r="T290" s="6"/>
      <c r="U290" s="6"/>
    </row>
    <row r="291" spans="1:21">
      <c r="A291" s="82"/>
      <c r="B291" s="83"/>
      <c r="C291" s="82"/>
      <c r="D291" s="82"/>
      <c r="E291" s="82"/>
      <c r="F291" s="82"/>
      <c r="G291" s="222"/>
      <c r="H291" s="222"/>
      <c r="I291" s="222"/>
      <c r="J291" s="6"/>
      <c r="K291" s="6"/>
      <c r="L291" s="6"/>
      <c r="M291" s="6"/>
      <c r="N291" s="6"/>
      <c r="O291" s="6"/>
      <c r="P291" s="6"/>
      <c r="Q291" s="6"/>
      <c r="R291" s="6"/>
      <c r="S291" s="6"/>
      <c r="T291" s="6"/>
      <c r="U291" s="6"/>
    </row>
    <row r="292" spans="1:21">
      <c r="A292" s="82"/>
      <c r="B292" s="83"/>
      <c r="C292" s="82"/>
      <c r="D292" s="82"/>
      <c r="E292" s="82"/>
      <c r="F292" s="82"/>
      <c r="G292" s="222"/>
      <c r="H292" s="222"/>
      <c r="I292" s="222"/>
      <c r="J292" s="6"/>
      <c r="K292" s="6"/>
      <c r="L292" s="6"/>
      <c r="M292" s="6"/>
      <c r="N292" s="6"/>
      <c r="O292" s="6"/>
      <c r="P292" s="6"/>
      <c r="Q292" s="6"/>
      <c r="R292" s="6"/>
      <c r="S292" s="6"/>
      <c r="T292" s="6"/>
      <c r="U292" s="6"/>
    </row>
    <row r="293" spans="1:21">
      <c r="A293" s="82"/>
      <c r="B293" s="83"/>
      <c r="C293" s="82"/>
      <c r="D293" s="82"/>
      <c r="E293" s="82"/>
      <c r="F293" s="82"/>
      <c r="G293" s="222"/>
      <c r="H293" s="222"/>
      <c r="I293" s="222"/>
      <c r="J293" s="6"/>
      <c r="K293" s="6"/>
      <c r="L293" s="6"/>
      <c r="M293" s="6"/>
      <c r="N293" s="6"/>
      <c r="O293" s="6"/>
      <c r="P293" s="6"/>
      <c r="Q293" s="6"/>
      <c r="R293" s="6"/>
      <c r="S293" s="6"/>
      <c r="T293" s="6"/>
      <c r="U293" s="6"/>
    </row>
    <row r="294" spans="1:21">
      <c r="A294" s="82"/>
      <c r="B294" s="83"/>
      <c r="C294" s="82"/>
      <c r="D294" s="82"/>
      <c r="E294" s="82"/>
      <c r="F294" s="82"/>
      <c r="G294" s="222"/>
      <c r="H294" s="222"/>
      <c r="I294" s="222"/>
      <c r="J294" s="6"/>
      <c r="K294" s="6"/>
      <c r="L294" s="6"/>
      <c r="M294" s="6"/>
      <c r="N294" s="6"/>
      <c r="O294" s="6"/>
      <c r="P294" s="6"/>
      <c r="Q294" s="6"/>
      <c r="R294" s="6"/>
      <c r="S294" s="6"/>
      <c r="T294" s="6"/>
      <c r="U294" s="6"/>
    </row>
    <row r="295" spans="1:21">
      <c r="A295" s="82"/>
      <c r="B295" s="83"/>
      <c r="C295" s="82"/>
      <c r="D295" s="82"/>
      <c r="E295" s="82"/>
      <c r="F295" s="82"/>
      <c r="G295" s="222"/>
      <c r="H295" s="222"/>
      <c r="I295" s="222"/>
      <c r="J295" s="6"/>
      <c r="K295" s="6"/>
      <c r="L295" s="6"/>
      <c r="M295" s="6"/>
      <c r="N295" s="6"/>
      <c r="O295" s="6"/>
      <c r="P295" s="6"/>
      <c r="Q295" s="6"/>
      <c r="R295" s="6"/>
      <c r="S295" s="6"/>
      <c r="T295" s="6"/>
      <c r="U295" s="6"/>
    </row>
    <row r="296" spans="1:21">
      <c r="A296" s="82"/>
      <c r="B296" s="83"/>
      <c r="C296" s="82"/>
      <c r="D296" s="82"/>
      <c r="E296" s="82"/>
      <c r="F296" s="82"/>
      <c r="G296" s="222"/>
      <c r="H296" s="222"/>
      <c r="I296" s="222"/>
      <c r="J296" s="6"/>
      <c r="K296" s="6"/>
      <c r="L296" s="6"/>
      <c r="M296" s="6"/>
      <c r="N296" s="6"/>
      <c r="O296" s="6"/>
      <c r="P296" s="6"/>
      <c r="Q296" s="6"/>
      <c r="R296" s="6"/>
      <c r="S296" s="6"/>
      <c r="T296" s="6"/>
      <c r="U296" s="6"/>
    </row>
    <row r="297" spans="1:21">
      <c r="A297" s="82"/>
      <c r="B297" s="83"/>
      <c r="C297" s="82"/>
      <c r="D297" s="82"/>
      <c r="E297" s="82"/>
      <c r="F297" s="82"/>
      <c r="G297" s="222"/>
      <c r="H297" s="222"/>
      <c r="I297" s="222"/>
      <c r="J297" s="6"/>
      <c r="K297" s="6"/>
      <c r="L297" s="6"/>
      <c r="M297" s="6"/>
      <c r="N297" s="6"/>
      <c r="O297" s="6"/>
      <c r="P297" s="6"/>
      <c r="Q297" s="6"/>
      <c r="R297" s="6"/>
      <c r="S297" s="6"/>
      <c r="T297" s="6"/>
      <c r="U297" s="6"/>
    </row>
    <row r="298" spans="1:21">
      <c r="A298" s="82"/>
      <c r="B298" s="83"/>
      <c r="C298" s="82"/>
      <c r="D298" s="82"/>
      <c r="E298" s="82"/>
      <c r="F298" s="82"/>
      <c r="G298" s="222"/>
      <c r="H298" s="222"/>
      <c r="I298" s="222"/>
      <c r="J298" s="6"/>
      <c r="K298" s="6"/>
      <c r="L298" s="6"/>
      <c r="M298" s="6"/>
      <c r="N298" s="6"/>
      <c r="O298" s="6"/>
      <c r="P298" s="6"/>
      <c r="Q298" s="6"/>
      <c r="R298" s="6"/>
      <c r="S298" s="6"/>
      <c r="T298" s="6"/>
      <c r="U298" s="6"/>
    </row>
    <row r="299" spans="1:21">
      <c r="A299" s="82"/>
      <c r="B299" s="83"/>
      <c r="C299" s="82"/>
      <c r="D299" s="82"/>
      <c r="E299" s="82"/>
      <c r="F299" s="82"/>
      <c r="G299" s="222"/>
      <c r="H299" s="222"/>
      <c r="I299" s="222"/>
      <c r="J299" s="6"/>
      <c r="K299" s="6"/>
      <c r="L299" s="6"/>
      <c r="M299" s="6"/>
      <c r="N299" s="6"/>
      <c r="O299" s="6"/>
      <c r="P299" s="6"/>
      <c r="Q299" s="6"/>
      <c r="R299" s="6"/>
      <c r="S299" s="6"/>
      <c r="T299" s="6"/>
      <c r="U299" s="6"/>
    </row>
    <row r="300" spans="1:21">
      <c r="A300" s="82"/>
      <c r="B300" s="83"/>
      <c r="C300" s="82"/>
      <c r="D300" s="82"/>
      <c r="E300" s="82"/>
      <c r="F300" s="82"/>
      <c r="G300" s="222"/>
      <c r="H300" s="222"/>
      <c r="I300" s="222"/>
      <c r="J300" s="6"/>
      <c r="K300" s="6"/>
      <c r="L300" s="6"/>
      <c r="M300" s="6"/>
      <c r="N300" s="6"/>
      <c r="O300" s="6"/>
      <c r="P300" s="6"/>
      <c r="Q300" s="6"/>
      <c r="R300" s="6"/>
      <c r="S300" s="6"/>
      <c r="T300" s="6"/>
      <c r="U300" s="6"/>
    </row>
    <row r="301" spans="1:21">
      <c r="A301" s="82"/>
      <c r="B301" s="83"/>
      <c r="C301" s="82"/>
      <c r="D301" s="82"/>
      <c r="E301" s="82"/>
      <c r="F301" s="82"/>
      <c r="G301" s="222"/>
      <c r="H301" s="222"/>
      <c r="I301" s="222"/>
      <c r="J301" s="6"/>
      <c r="K301" s="6"/>
      <c r="L301" s="6"/>
      <c r="M301" s="6"/>
      <c r="N301" s="6"/>
      <c r="O301" s="6"/>
      <c r="P301" s="6"/>
      <c r="Q301" s="6"/>
      <c r="R301" s="6"/>
      <c r="S301" s="6"/>
      <c r="T301" s="6"/>
      <c r="U301" s="6"/>
    </row>
    <row r="302" spans="1:21">
      <c r="A302" s="82"/>
      <c r="B302" s="83"/>
      <c r="C302" s="82"/>
      <c r="D302" s="82"/>
      <c r="E302" s="82"/>
      <c r="F302" s="82"/>
      <c r="G302" s="222"/>
      <c r="H302" s="222"/>
      <c r="I302" s="222"/>
      <c r="J302" s="6"/>
      <c r="K302" s="6"/>
      <c r="L302" s="6"/>
      <c r="M302" s="6"/>
      <c r="N302" s="6"/>
      <c r="O302" s="6"/>
      <c r="P302" s="6"/>
      <c r="Q302" s="6"/>
      <c r="R302" s="6"/>
      <c r="S302" s="6"/>
      <c r="T302" s="6"/>
      <c r="U302" s="6"/>
    </row>
    <row r="303" spans="1:21">
      <c r="A303" s="82"/>
      <c r="B303" s="83"/>
      <c r="C303" s="82"/>
      <c r="D303" s="82"/>
      <c r="E303" s="82"/>
      <c r="F303" s="82"/>
      <c r="G303" s="222"/>
      <c r="H303" s="222"/>
      <c r="I303" s="222"/>
      <c r="J303" s="6"/>
      <c r="K303" s="6"/>
      <c r="L303" s="6"/>
      <c r="M303" s="6"/>
      <c r="N303" s="6"/>
      <c r="O303" s="6"/>
      <c r="P303" s="6"/>
      <c r="Q303" s="6"/>
      <c r="R303" s="6"/>
      <c r="S303" s="6"/>
      <c r="T303" s="6"/>
      <c r="U303" s="6"/>
    </row>
    <row r="304" spans="1:21">
      <c r="A304" s="82"/>
      <c r="B304" s="83"/>
      <c r="C304" s="82"/>
      <c r="D304" s="82"/>
      <c r="E304" s="82"/>
      <c r="F304" s="82"/>
      <c r="G304" s="222"/>
      <c r="H304" s="222"/>
      <c r="I304" s="222"/>
      <c r="J304" s="6"/>
      <c r="K304" s="6"/>
      <c r="L304" s="6"/>
      <c r="M304" s="6"/>
      <c r="N304" s="6"/>
      <c r="O304" s="6"/>
      <c r="P304" s="6"/>
      <c r="Q304" s="6"/>
      <c r="R304" s="6"/>
      <c r="S304" s="6"/>
      <c r="T304" s="6"/>
      <c r="U304" s="6"/>
    </row>
    <row r="305" spans="1:21">
      <c r="A305" s="82"/>
      <c r="B305" s="83"/>
      <c r="C305" s="82"/>
      <c r="D305" s="82"/>
      <c r="E305" s="82"/>
      <c r="F305" s="82"/>
      <c r="G305" s="222"/>
      <c r="H305" s="222"/>
      <c r="I305" s="222"/>
      <c r="J305" s="6"/>
      <c r="K305" s="6"/>
      <c r="L305" s="6"/>
      <c r="M305" s="6"/>
      <c r="N305" s="6"/>
      <c r="O305" s="6"/>
      <c r="P305" s="6"/>
      <c r="Q305" s="6"/>
      <c r="R305" s="6"/>
      <c r="S305" s="6"/>
      <c r="T305" s="6"/>
      <c r="U305" s="6"/>
    </row>
    <row r="306" spans="1:21">
      <c r="A306" s="82"/>
      <c r="B306" s="83"/>
      <c r="C306" s="82"/>
      <c r="D306" s="82"/>
      <c r="E306" s="82"/>
      <c r="F306" s="82"/>
      <c r="G306" s="222"/>
      <c r="H306" s="222"/>
      <c r="I306" s="222"/>
      <c r="J306" s="6"/>
      <c r="K306" s="6"/>
      <c r="L306" s="6"/>
      <c r="M306" s="6"/>
      <c r="N306" s="6"/>
      <c r="O306" s="6"/>
      <c r="P306" s="6"/>
      <c r="Q306" s="6"/>
      <c r="R306" s="6"/>
      <c r="S306" s="6"/>
      <c r="T306" s="6"/>
      <c r="U306" s="6"/>
    </row>
    <row r="307" spans="1:21">
      <c r="A307" s="82"/>
      <c r="B307" s="83"/>
      <c r="C307" s="82"/>
      <c r="D307" s="82"/>
      <c r="E307" s="82"/>
      <c r="F307" s="82"/>
      <c r="G307" s="222"/>
      <c r="H307" s="222"/>
      <c r="I307" s="222"/>
      <c r="J307" s="6"/>
      <c r="K307" s="6"/>
      <c r="L307" s="6"/>
      <c r="M307" s="6"/>
      <c r="N307" s="6"/>
      <c r="O307" s="6"/>
      <c r="P307" s="6"/>
      <c r="Q307" s="6"/>
      <c r="R307" s="6"/>
      <c r="S307" s="6"/>
      <c r="T307" s="6"/>
      <c r="U307" s="6"/>
    </row>
    <row r="308" spans="1:21">
      <c r="A308" s="82"/>
      <c r="B308" s="83"/>
      <c r="C308" s="82"/>
      <c r="D308" s="82"/>
      <c r="E308" s="82"/>
      <c r="F308" s="82"/>
      <c r="G308" s="222"/>
      <c r="H308" s="222"/>
      <c r="I308" s="222"/>
      <c r="J308" s="6"/>
      <c r="K308" s="6"/>
      <c r="L308" s="6"/>
      <c r="M308" s="6"/>
      <c r="N308" s="6"/>
      <c r="O308" s="6"/>
      <c r="P308" s="6"/>
      <c r="Q308" s="6"/>
      <c r="R308" s="6"/>
      <c r="S308" s="6"/>
      <c r="T308" s="6"/>
      <c r="U308" s="6"/>
    </row>
    <row r="309" spans="1:21">
      <c r="A309" s="82"/>
      <c r="B309" s="83"/>
      <c r="C309" s="82"/>
      <c r="D309" s="82"/>
      <c r="E309" s="82"/>
      <c r="F309" s="82"/>
      <c r="G309" s="222"/>
      <c r="H309" s="222"/>
      <c r="I309" s="222"/>
      <c r="J309" s="6"/>
      <c r="K309" s="6"/>
      <c r="L309" s="6"/>
      <c r="M309" s="6"/>
      <c r="N309" s="6"/>
      <c r="O309" s="6"/>
      <c r="P309" s="6"/>
      <c r="Q309" s="6"/>
      <c r="R309" s="6"/>
      <c r="S309" s="6"/>
      <c r="T309" s="6"/>
      <c r="U309" s="6"/>
    </row>
    <row r="310" spans="1:21">
      <c r="A310" s="82"/>
      <c r="B310" s="83"/>
      <c r="C310" s="82"/>
      <c r="D310" s="82"/>
      <c r="E310" s="82"/>
      <c r="F310" s="82"/>
      <c r="G310" s="222"/>
      <c r="H310" s="222"/>
      <c r="I310" s="222"/>
      <c r="J310" s="6"/>
      <c r="K310" s="6"/>
      <c r="L310" s="6"/>
      <c r="M310" s="6"/>
      <c r="N310" s="6"/>
      <c r="O310" s="6"/>
      <c r="P310" s="6"/>
      <c r="Q310" s="6"/>
      <c r="R310" s="6"/>
      <c r="S310" s="6"/>
      <c r="T310" s="6"/>
      <c r="U310" s="6"/>
    </row>
    <row r="311" spans="1:21">
      <c r="A311" s="82"/>
      <c r="B311" s="83"/>
      <c r="C311" s="82"/>
      <c r="D311" s="82"/>
      <c r="E311" s="82"/>
      <c r="F311" s="82"/>
      <c r="G311" s="222"/>
      <c r="H311" s="222"/>
      <c r="I311" s="222"/>
      <c r="J311" s="6"/>
      <c r="K311" s="6"/>
      <c r="L311" s="6"/>
      <c r="M311" s="6"/>
      <c r="N311" s="6"/>
      <c r="O311" s="6"/>
      <c r="P311" s="6"/>
      <c r="Q311" s="6"/>
      <c r="R311" s="6"/>
      <c r="S311" s="6"/>
      <c r="T311" s="6"/>
      <c r="U311" s="6"/>
    </row>
    <row r="312" spans="1:21">
      <c r="A312" s="82"/>
      <c r="B312" s="83"/>
      <c r="C312" s="82"/>
      <c r="D312" s="82"/>
      <c r="E312" s="82"/>
      <c r="F312" s="82"/>
      <c r="G312" s="222"/>
      <c r="H312" s="222"/>
      <c r="I312" s="222"/>
      <c r="J312" s="6"/>
      <c r="K312" s="6"/>
      <c r="L312" s="6"/>
      <c r="M312" s="6"/>
      <c r="N312" s="6"/>
      <c r="O312" s="6"/>
      <c r="P312" s="6"/>
      <c r="Q312" s="6"/>
      <c r="R312" s="6"/>
      <c r="S312" s="6"/>
      <c r="T312" s="6"/>
      <c r="U312" s="6"/>
    </row>
    <row r="313" spans="1:21">
      <c r="A313" s="82"/>
      <c r="B313" s="83"/>
      <c r="C313" s="82"/>
      <c r="D313" s="82"/>
      <c r="E313" s="82"/>
      <c r="F313" s="82"/>
      <c r="G313" s="222"/>
      <c r="H313" s="222"/>
      <c r="I313" s="222"/>
      <c r="J313" s="6"/>
      <c r="K313" s="6"/>
      <c r="L313" s="6"/>
      <c r="M313" s="6"/>
      <c r="N313" s="6"/>
      <c r="O313" s="6"/>
      <c r="P313" s="6"/>
      <c r="Q313" s="6"/>
      <c r="R313" s="6"/>
      <c r="S313" s="6"/>
      <c r="T313" s="6"/>
      <c r="U313" s="6"/>
    </row>
    <row r="314" spans="1:21">
      <c r="A314" s="82"/>
      <c r="B314" s="83"/>
      <c r="C314" s="82"/>
      <c r="D314" s="82"/>
      <c r="E314" s="82"/>
      <c r="F314" s="82"/>
      <c r="G314" s="222"/>
      <c r="H314" s="222"/>
      <c r="I314" s="222"/>
      <c r="J314" s="6"/>
      <c r="K314" s="6"/>
      <c r="L314" s="6"/>
      <c r="M314" s="6"/>
      <c r="N314" s="6"/>
      <c r="O314" s="6"/>
      <c r="P314" s="6"/>
      <c r="Q314" s="6"/>
      <c r="R314" s="6"/>
      <c r="S314" s="6"/>
      <c r="T314" s="6"/>
      <c r="U314" s="6"/>
    </row>
    <row r="315" spans="1:21">
      <c r="A315" s="82"/>
      <c r="B315" s="83"/>
      <c r="C315" s="82"/>
      <c r="D315" s="82"/>
      <c r="E315" s="82"/>
      <c r="F315" s="82"/>
      <c r="G315" s="222"/>
      <c r="H315" s="222"/>
      <c r="I315" s="222"/>
      <c r="J315" s="6"/>
      <c r="K315" s="6"/>
      <c r="L315" s="6"/>
      <c r="M315" s="6"/>
      <c r="N315" s="6"/>
      <c r="O315" s="6"/>
      <c r="P315" s="6"/>
      <c r="Q315" s="6"/>
      <c r="R315" s="6"/>
      <c r="S315" s="6"/>
      <c r="T315" s="6"/>
      <c r="U315" s="6"/>
    </row>
    <row r="316" spans="1:21">
      <c r="A316" s="82"/>
      <c r="B316" s="83"/>
      <c r="C316" s="82"/>
      <c r="D316" s="82"/>
      <c r="E316" s="82"/>
      <c r="F316" s="82"/>
      <c r="G316" s="222"/>
      <c r="H316" s="222"/>
      <c r="I316" s="222"/>
      <c r="J316" s="6"/>
      <c r="K316" s="6"/>
      <c r="L316" s="6"/>
      <c r="M316" s="6"/>
      <c r="N316" s="6"/>
      <c r="O316" s="6"/>
      <c r="P316" s="6"/>
      <c r="Q316" s="6"/>
      <c r="R316" s="6"/>
      <c r="S316" s="6"/>
      <c r="T316" s="6"/>
      <c r="U316" s="6"/>
    </row>
    <row r="317" spans="1:21">
      <c r="A317" s="82"/>
      <c r="B317" s="83"/>
      <c r="C317" s="82"/>
      <c r="D317" s="82"/>
      <c r="E317" s="82"/>
      <c r="F317" s="82"/>
      <c r="G317" s="222"/>
      <c r="H317" s="222"/>
      <c r="I317" s="222"/>
      <c r="J317" s="6"/>
      <c r="K317" s="6"/>
      <c r="L317" s="6"/>
      <c r="M317" s="6"/>
      <c r="N317" s="6"/>
      <c r="O317" s="6"/>
      <c r="P317" s="6"/>
      <c r="Q317" s="6"/>
      <c r="R317" s="6"/>
      <c r="S317" s="6"/>
      <c r="T317" s="6"/>
      <c r="U317" s="6"/>
    </row>
    <row r="318" spans="1:21">
      <c r="A318" s="82"/>
      <c r="B318" s="83"/>
      <c r="C318" s="82"/>
      <c r="D318" s="82"/>
      <c r="E318" s="82"/>
      <c r="F318" s="82"/>
      <c r="G318" s="222"/>
      <c r="H318" s="222"/>
      <c r="I318" s="222"/>
      <c r="J318" s="6"/>
      <c r="K318" s="6"/>
      <c r="L318" s="6"/>
      <c r="M318" s="6"/>
      <c r="N318" s="6"/>
      <c r="O318" s="6"/>
      <c r="P318" s="6"/>
      <c r="Q318" s="6"/>
      <c r="R318" s="6"/>
      <c r="S318" s="6"/>
      <c r="T318" s="6"/>
      <c r="U318" s="6"/>
    </row>
    <row r="319" spans="1:21">
      <c r="A319" s="82"/>
      <c r="B319" s="83"/>
      <c r="C319" s="82"/>
      <c r="D319" s="82"/>
      <c r="E319" s="82"/>
      <c r="F319" s="82"/>
      <c r="G319" s="222"/>
      <c r="H319" s="222"/>
      <c r="I319" s="222"/>
      <c r="J319" s="6"/>
      <c r="K319" s="6"/>
      <c r="L319" s="6"/>
      <c r="M319" s="6"/>
      <c r="N319" s="6"/>
      <c r="O319" s="6"/>
      <c r="P319" s="6"/>
      <c r="Q319" s="6"/>
      <c r="R319" s="6"/>
      <c r="S319" s="6"/>
      <c r="T319" s="6"/>
      <c r="U319" s="6"/>
    </row>
    <row r="320" spans="1:21">
      <c r="A320" s="82"/>
      <c r="B320" s="83"/>
      <c r="C320" s="82"/>
      <c r="D320" s="82"/>
      <c r="E320" s="82"/>
      <c r="F320" s="82"/>
      <c r="G320" s="222"/>
      <c r="H320" s="222"/>
      <c r="I320" s="222"/>
      <c r="J320" s="6"/>
      <c r="K320" s="6"/>
      <c r="L320" s="6"/>
      <c r="M320" s="6"/>
      <c r="N320" s="6"/>
      <c r="O320" s="6"/>
      <c r="P320" s="6"/>
      <c r="Q320" s="6"/>
      <c r="R320" s="6"/>
      <c r="S320" s="6"/>
      <c r="T320" s="6"/>
      <c r="U320" s="6"/>
    </row>
    <row r="321" spans="1:21">
      <c r="A321" s="82"/>
      <c r="B321" s="83"/>
      <c r="C321" s="82"/>
      <c r="D321" s="82"/>
      <c r="E321" s="82"/>
      <c r="F321" s="82"/>
      <c r="G321" s="222"/>
      <c r="H321" s="222"/>
      <c r="I321" s="222"/>
      <c r="J321" s="6"/>
      <c r="K321" s="6"/>
      <c r="L321" s="6"/>
      <c r="M321" s="6"/>
      <c r="N321" s="6"/>
      <c r="O321" s="6"/>
      <c r="P321" s="6"/>
      <c r="Q321" s="6"/>
      <c r="R321" s="6"/>
      <c r="S321" s="6"/>
      <c r="T321" s="6"/>
      <c r="U321" s="6"/>
    </row>
    <row r="322" spans="1:21">
      <c r="A322" s="82"/>
      <c r="B322" s="83"/>
      <c r="C322" s="82"/>
      <c r="D322" s="82"/>
      <c r="E322" s="82"/>
      <c r="F322" s="82"/>
      <c r="G322" s="222"/>
      <c r="H322" s="222"/>
      <c r="I322" s="222"/>
      <c r="J322" s="6"/>
      <c r="K322" s="6"/>
      <c r="L322" s="6"/>
      <c r="M322" s="6"/>
      <c r="N322" s="6"/>
      <c r="O322" s="6"/>
      <c r="P322" s="6"/>
      <c r="Q322" s="6"/>
      <c r="R322" s="6"/>
      <c r="S322" s="6"/>
      <c r="T322" s="6"/>
      <c r="U322" s="6"/>
    </row>
    <row r="323" spans="1:21">
      <c r="A323" s="82"/>
      <c r="B323" s="83"/>
      <c r="C323" s="82"/>
      <c r="D323" s="82"/>
      <c r="E323" s="82"/>
      <c r="F323" s="82"/>
      <c r="G323" s="222"/>
      <c r="H323" s="222"/>
      <c r="I323" s="222"/>
      <c r="J323" s="6"/>
      <c r="K323" s="6"/>
      <c r="L323" s="6"/>
      <c r="M323" s="6"/>
      <c r="N323" s="6"/>
      <c r="O323" s="6"/>
      <c r="P323" s="6"/>
      <c r="Q323" s="6"/>
      <c r="R323" s="6"/>
      <c r="S323" s="6"/>
      <c r="T323" s="6"/>
      <c r="U323" s="6"/>
    </row>
    <row r="324" spans="1:21">
      <c r="A324" s="82"/>
      <c r="B324" s="83"/>
      <c r="C324" s="82"/>
      <c r="D324" s="82"/>
      <c r="E324" s="82"/>
      <c r="F324" s="82"/>
      <c r="G324" s="222"/>
      <c r="H324" s="222"/>
      <c r="I324" s="222"/>
      <c r="J324" s="6"/>
      <c r="K324" s="6"/>
      <c r="L324" s="6"/>
      <c r="M324" s="6"/>
      <c r="N324" s="6"/>
      <c r="O324" s="6"/>
      <c r="P324" s="6"/>
      <c r="Q324" s="6"/>
      <c r="R324" s="6"/>
      <c r="S324" s="6"/>
      <c r="T324" s="6"/>
      <c r="U324" s="6"/>
    </row>
    <row r="325" spans="1:21">
      <c r="A325" s="82"/>
      <c r="B325" s="83"/>
      <c r="C325" s="82"/>
      <c r="D325" s="82"/>
      <c r="E325" s="82"/>
      <c r="F325" s="82"/>
      <c r="G325" s="222"/>
      <c r="H325" s="222"/>
      <c r="I325" s="222"/>
      <c r="J325" s="6"/>
      <c r="K325" s="6"/>
      <c r="L325" s="6"/>
      <c r="M325" s="6"/>
      <c r="N325" s="6"/>
      <c r="O325" s="6"/>
      <c r="P325" s="6"/>
      <c r="Q325" s="6"/>
      <c r="R325" s="6"/>
      <c r="S325" s="6"/>
      <c r="T325" s="6"/>
      <c r="U325" s="6"/>
    </row>
    <row r="326" spans="1:21">
      <c r="A326" s="82"/>
      <c r="B326" s="83"/>
      <c r="C326" s="82"/>
      <c r="D326" s="82"/>
      <c r="E326" s="82"/>
      <c r="F326" s="82"/>
      <c r="G326" s="222"/>
      <c r="H326" s="222"/>
      <c r="I326" s="222"/>
      <c r="J326" s="6"/>
      <c r="K326" s="6"/>
      <c r="L326" s="6"/>
      <c r="M326" s="6"/>
      <c r="N326" s="6"/>
      <c r="O326" s="6"/>
      <c r="P326" s="6"/>
      <c r="Q326" s="6"/>
      <c r="R326" s="6"/>
      <c r="S326" s="6"/>
      <c r="T326" s="6"/>
      <c r="U326" s="6"/>
    </row>
    <row r="327" spans="1:21">
      <c r="A327" s="82"/>
      <c r="B327" s="83"/>
      <c r="C327" s="82"/>
      <c r="D327" s="82"/>
      <c r="E327" s="82"/>
      <c r="F327" s="82"/>
      <c r="G327" s="222"/>
      <c r="H327" s="222"/>
      <c r="I327" s="222"/>
      <c r="J327" s="6"/>
      <c r="K327" s="6"/>
      <c r="L327" s="6"/>
      <c r="M327" s="6"/>
      <c r="N327" s="6"/>
      <c r="O327" s="6"/>
      <c r="P327" s="6"/>
      <c r="Q327" s="6"/>
      <c r="R327" s="6"/>
      <c r="S327" s="6"/>
      <c r="T327" s="6"/>
      <c r="U327" s="6"/>
    </row>
    <row r="328" spans="1:21">
      <c r="A328" s="82"/>
      <c r="B328" s="83"/>
      <c r="C328" s="82"/>
      <c r="D328" s="82"/>
      <c r="E328" s="82"/>
      <c r="F328" s="82"/>
      <c r="G328" s="222"/>
      <c r="H328" s="222"/>
      <c r="I328" s="222"/>
      <c r="J328" s="6"/>
      <c r="K328" s="6"/>
      <c r="L328" s="6"/>
      <c r="M328" s="6"/>
      <c r="N328" s="6"/>
      <c r="O328" s="6"/>
      <c r="P328" s="6"/>
      <c r="Q328" s="6"/>
      <c r="R328" s="6"/>
      <c r="S328" s="6"/>
      <c r="T328" s="6"/>
      <c r="U328" s="6"/>
    </row>
    <row r="329" spans="1:21">
      <c r="A329" s="82"/>
      <c r="B329" s="83"/>
      <c r="C329" s="82"/>
      <c r="D329" s="82"/>
      <c r="E329" s="82"/>
      <c r="F329" s="82"/>
      <c r="G329" s="222"/>
      <c r="H329" s="222"/>
      <c r="I329" s="222"/>
      <c r="J329" s="6"/>
      <c r="K329" s="6"/>
      <c r="L329" s="6"/>
      <c r="M329" s="6"/>
      <c r="N329" s="6"/>
      <c r="O329" s="6"/>
      <c r="P329" s="6"/>
      <c r="Q329" s="6"/>
      <c r="R329" s="6"/>
      <c r="S329" s="6"/>
      <c r="T329" s="6"/>
      <c r="U329" s="6"/>
    </row>
    <row r="330" spans="1:21">
      <c r="A330" s="82"/>
      <c r="B330" s="83"/>
      <c r="C330" s="82"/>
      <c r="D330" s="82"/>
      <c r="E330" s="82"/>
      <c r="F330" s="82"/>
      <c r="G330" s="222"/>
      <c r="H330" s="222"/>
      <c r="I330" s="222"/>
      <c r="J330" s="6"/>
      <c r="K330" s="6"/>
      <c r="L330" s="6"/>
      <c r="M330" s="6"/>
      <c r="N330" s="6"/>
      <c r="O330" s="6"/>
      <c r="P330" s="6"/>
      <c r="Q330" s="6"/>
      <c r="R330" s="6"/>
      <c r="S330" s="6"/>
      <c r="T330" s="6"/>
      <c r="U330" s="6"/>
    </row>
    <row r="331" spans="1:21">
      <c r="A331" s="82"/>
      <c r="B331" s="83"/>
      <c r="C331" s="82"/>
      <c r="D331" s="82"/>
      <c r="E331" s="82"/>
      <c r="F331" s="82"/>
      <c r="G331" s="222"/>
      <c r="H331" s="222"/>
      <c r="I331" s="222"/>
      <c r="J331" s="6"/>
      <c r="K331" s="6"/>
      <c r="L331" s="6"/>
      <c r="M331" s="6"/>
      <c r="N331" s="6"/>
      <c r="O331" s="6"/>
      <c r="P331" s="6"/>
      <c r="Q331" s="6"/>
      <c r="R331" s="6"/>
      <c r="S331" s="6"/>
      <c r="T331" s="6"/>
      <c r="U331" s="6"/>
    </row>
    <row r="332" spans="1:21">
      <c r="A332" s="82"/>
      <c r="B332" s="83"/>
      <c r="C332" s="82"/>
      <c r="D332" s="82"/>
      <c r="E332" s="82"/>
      <c r="F332" s="82"/>
      <c r="G332" s="222"/>
      <c r="H332" s="222"/>
      <c r="I332" s="222"/>
      <c r="J332" s="6"/>
      <c r="K332" s="6"/>
      <c r="L332" s="6"/>
      <c r="M332" s="6"/>
      <c r="N332" s="6"/>
      <c r="O332" s="6"/>
      <c r="P332" s="6"/>
      <c r="Q332" s="6"/>
      <c r="R332" s="6"/>
      <c r="S332" s="6"/>
      <c r="T332" s="6"/>
      <c r="U332" s="6"/>
    </row>
    <row r="333" spans="1:21">
      <c r="A333" s="82"/>
      <c r="B333" s="83"/>
      <c r="C333" s="82"/>
      <c r="D333" s="82"/>
      <c r="E333" s="82"/>
      <c r="F333" s="82"/>
      <c r="G333" s="222"/>
      <c r="H333" s="222"/>
      <c r="I333" s="222"/>
      <c r="J333" s="6"/>
      <c r="K333" s="6"/>
      <c r="L333" s="6"/>
      <c r="M333" s="6"/>
      <c r="N333" s="6"/>
      <c r="O333" s="6"/>
      <c r="P333" s="6"/>
      <c r="Q333" s="6"/>
      <c r="R333" s="6"/>
      <c r="S333" s="6"/>
      <c r="T333" s="6"/>
      <c r="U333" s="6"/>
    </row>
    <row r="334" spans="1:21">
      <c r="A334" s="82"/>
      <c r="B334" s="83"/>
      <c r="C334" s="82"/>
      <c r="D334" s="82"/>
      <c r="E334" s="82"/>
      <c r="F334" s="82"/>
      <c r="G334" s="222"/>
      <c r="H334" s="222"/>
      <c r="I334" s="222"/>
      <c r="J334" s="6"/>
      <c r="K334" s="6"/>
      <c r="L334" s="6"/>
      <c r="M334" s="6"/>
      <c r="N334" s="6"/>
      <c r="O334" s="6"/>
      <c r="P334" s="6"/>
      <c r="Q334" s="6"/>
      <c r="R334" s="6"/>
      <c r="S334" s="6"/>
      <c r="T334" s="6"/>
      <c r="U334" s="6"/>
    </row>
    <row r="335" spans="1:21">
      <c r="A335" s="82"/>
      <c r="B335" s="83"/>
      <c r="C335" s="82"/>
      <c r="D335" s="82"/>
      <c r="E335" s="82"/>
      <c r="F335" s="82"/>
      <c r="G335" s="222"/>
      <c r="H335" s="222"/>
      <c r="I335" s="222"/>
      <c r="J335" s="6"/>
      <c r="K335" s="6"/>
      <c r="L335" s="6"/>
      <c r="M335" s="6"/>
      <c r="N335" s="6"/>
      <c r="O335" s="6"/>
      <c r="P335" s="6"/>
      <c r="Q335" s="6"/>
      <c r="R335" s="6"/>
      <c r="S335" s="6"/>
      <c r="T335" s="6"/>
      <c r="U335" s="6"/>
    </row>
    <row r="336" spans="1:21">
      <c r="A336" s="82"/>
      <c r="B336" s="83"/>
      <c r="C336" s="82"/>
      <c r="D336" s="82"/>
      <c r="E336" s="82"/>
      <c r="F336" s="82"/>
      <c r="G336" s="222"/>
      <c r="H336" s="222"/>
      <c r="I336" s="222"/>
      <c r="J336" s="6"/>
      <c r="K336" s="6"/>
      <c r="L336" s="6"/>
      <c r="M336" s="6"/>
      <c r="N336" s="6"/>
      <c r="O336" s="6"/>
      <c r="P336" s="6"/>
      <c r="Q336" s="6"/>
      <c r="R336" s="6"/>
      <c r="S336" s="6"/>
      <c r="T336" s="6"/>
      <c r="U336" s="6"/>
    </row>
    <row r="337" spans="1:21">
      <c r="A337" s="82"/>
      <c r="B337" s="83"/>
      <c r="C337" s="82"/>
      <c r="D337" s="82"/>
      <c r="E337" s="82"/>
      <c r="F337" s="82"/>
      <c r="G337" s="222"/>
      <c r="H337" s="222"/>
      <c r="I337" s="222"/>
      <c r="J337" s="6"/>
      <c r="K337" s="6"/>
      <c r="L337" s="6"/>
      <c r="M337" s="6"/>
      <c r="N337" s="6"/>
      <c r="O337" s="6"/>
      <c r="P337" s="6"/>
      <c r="Q337" s="6"/>
      <c r="R337" s="6"/>
      <c r="S337" s="6"/>
      <c r="T337" s="6"/>
      <c r="U337" s="6"/>
    </row>
    <row r="338" spans="1:21">
      <c r="A338" s="82"/>
      <c r="B338" s="83"/>
      <c r="C338" s="82"/>
      <c r="D338" s="82"/>
      <c r="E338" s="82"/>
      <c r="F338" s="82"/>
      <c r="G338" s="222"/>
      <c r="H338" s="222"/>
      <c r="I338" s="222"/>
      <c r="J338" s="6"/>
      <c r="K338" s="6"/>
      <c r="L338" s="6"/>
      <c r="M338" s="6"/>
      <c r="N338" s="6"/>
      <c r="O338" s="6"/>
      <c r="P338" s="6"/>
      <c r="Q338" s="6"/>
      <c r="R338" s="6"/>
      <c r="S338" s="6"/>
      <c r="T338" s="6"/>
      <c r="U338" s="6"/>
    </row>
    <row r="339" spans="1:21">
      <c r="A339" s="82"/>
      <c r="B339" s="83"/>
      <c r="C339" s="82"/>
      <c r="D339" s="82"/>
      <c r="E339" s="82"/>
      <c r="F339" s="82"/>
      <c r="G339" s="222"/>
      <c r="H339" s="222"/>
      <c r="I339" s="222"/>
      <c r="J339" s="6"/>
      <c r="K339" s="6"/>
      <c r="L339" s="6"/>
      <c r="M339" s="6"/>
      <c r="N339" s="6"/>
      <c r="O339" s="6"/>
      <c r="P339" s="6"/>
      <c r="Q339" s="6"/>
      <c r="R339" s="6"/>
      <c r="S339" s="6"/>
      <c r="T339" s="6"/>
      <c r="U339" s="6"/>
    </row>
    <row r="340" spans="1:21">
      <c r="A340" s="82"/>
      <c r="B340" s="83"/>
      <c r="C340" s="82"/>
      <c r="D340" s="82"/>
      <c r="E340" s="82"/>
      <c r="F340" s="82"/>
      <c r="G340" s="222"/>
      <c r="H340" s="222"/>
      <c r="I340" s="222"/>
      <c r="J340" s="6"/>
      <c r="K340" s="6"/>
      <c r="L340" s="6"/>
      <c r="M340" s="6"/>
      <c r="N340" s="6"/>
      <c r="O340" s="6"/>
      <c r="P340" s="6"/>
      <c r="Q340" s="6"/>
      <c r="R340" s="6"/>
      <c r="S340" s="6"/>
      <c r="T340" s="6"/>
      <c r="U340" s="6"/>
    </row>
    <row r="341" spans="1:21">
      <c r="A341" s="82"/>
      <c r="B341" s="83"/>
      <c r="C341" s="82"/>
      <c r="D341" s="82"/>
      <c r="E341" s="82"/>
      <c r="F341" s="82"/>
      <c r="G341" s="222"/>
      <c r="H341" s="222"/>
      <c r="I341" s="222"/>
      <c r="J341" s="6"/>
      <c r="K341" s="6"/>
      <c r="L341" s="6"/>
      <c r="M341" s="6"/>
      <c r="N341" s="6"/>
      <c r="O341" s="6"/>
      <c r="P341" s="6"/>
      <c r="Q341" s="6"/>
      <c r="R341" s="6"/>
      <c r="S341" s="6"/>
      <c r="T341" s="6"/>
      <c r="U341" s="6"/>
    </row>
    <row r="342" spans="1:21">
      <c r="A342" s="82"/>
      <c r="B342" s="83"/>
      <c r="C342" s="82"/>
      <c r="D342" s="82"/>
      <c r="E342" s="82"/>
      <c r="F342" s="82"/>
      <c r="G342" s="222"/>
      <c r="H342" s="222"/>
      <c r="I342" s="222"/>
      <c r="J342" s="6"/>
      <c r="K342" s="6"/>
      <c r="L342" s="6"/>
      <c r="M342" s="6"/>
      <c r="N342" s="6"/>
      <c r="O342" s="6"/>
      <c r="P342" s="6"/>
      <c r="Q342" s="6"/>
      <c r="R342" s="6"/>
      <c r="S342" s="6"/>
      <c r="T342" s="6"/>
      <c r="U342" s="6"/>
    </row>
    <row r="343" spans="1:21">
      <c r="A343" s="82"/>
      <c r="B343" s="83"/>
      <c r="C343" s="82"/>
      <c r="D343" s="82"/>
      <c r="E343" s="82"/>
      <c r="F343" s="82"/>
      <c r="G343" s="222"/>
      <c r="H343" s="222"/>
      <c r="I343" s="222"/>
      <c r="J343" s="6"/>
      <c r="K343" s="6"/>
      <c r="L343" s="6"/>
      <c r="M343" s="6"/>
      <c r="N343" s="6"/>
      <c r="O343" s="6"/>
      <c r="P343" s="6"/>
      <c r="Q343" s="6"/>
      <c r="R343" s="6"/>
      <c r="S343" s="6"/>
      <c r="T343" s="6"/>
      <c r="U343" s="6"/>
    </row>
    <row r="344" spans="1:21">
      <c r="A344" s="82"/>
      <c r="B344" s="83"/>
      <c r="C344" s="82"/>
      <c r="D344" s="82"/>
      <c r="E344" s="82"/>
      <c r="F344" s="82"/>
      <c r="G344" s="222"/>
      <c r="H344" s="222"/>
      <c r="I344" s="222"/>
      <c r="J344" s="6"/>
      <c r="K344" s="6"/>
      <c r="L344" s="6"/>
      <c r="M344" s="6"/>
      <c r="N344" s="6"/>
      <c r="O344" s="6"/>
      <c r="P344" s="6"/>
      <c r="Q344" s="6"/>
      <c r="R344" s="6"/>
      <c r="S344" s="6"/>
      <c r="T344" s="6"/>
      <c r="U344" s="6"/>
    </row>
    <row r="345" spans="1:21">
      <c r="A345" s="82"/>
      <c r="B345" s="83"/>
      <c r="C345" s="82"/>
      <c r="D345" s="82"/>
      <c r="E345" s="82"/>
      <c r="F345" s="82"/>
      <c r="G345" s="222"/>
      <c r="H345" s="222"/>
      <c r="I345" s="222"/>
      <c r="J345" s="6"/>
      <c r="K345" s="6"/>
      <c r="L345" s="6"/>
      <c r="M345" s="6"/>
      <c r="N345" s="6"/>
      <c r="O345" s="6"/>
      <c r="P345" s="6"/>
      <c r="Q345" s="6"/>
      <c r="R345" s="6"/>
      <c r="S345" s="6"/>
      <c r="T345" s="6"/>
      <c r="U345" s="6"/>
    </row>
    <row r="346" spans="1:21">
      <c r="A346" s="82"/>
      <c r="B346" s="83"/>
      <c r="C346" s="82"/>
      <c r="D346" s="82"/>
      <c r="E346" s="82"/>
      <c r="F346" s="82"/>
      <c r="G346" s="222"/>
      <c r="H346" s="222"/>
      <c r="I346" s="222"/>
      <c r="J346" s="6"/>
      <c r="K346" s="6"/>
      <c r="L346" s="6"/>
      <c r="M346" s="6"/>
      <c r="N346" s="6"/>
      <c r="O346" s="6"/>
      <c r="P346" s="6"/>
      <c r="Q346" s="6"/>
      <c r="R346" s="6"/>
      <c r="S346" s="6"/>
      <c r="T346" s="6"/>
      <c r="U346" s="6"/>
    </row>
    <row r="347" spans="1:21">
      <c r="A347" s="82"/>
      <c r="B347" s="83"/>
      <c r="C347" s="82"/>
      <c r="D347" s="82"/>
      <c r="E347" s="82"/>
      <c r="F347" s="82"/>
      <c r="G347" s="222"/>
      <c r="H347" s="222"/>
      <c r="I347" s="222"/>
      <c r="J347" s="6"/>
      <c r="K347" s="6"/>
      <c r="L347" s="6"/>
      <c r="M347" s="6"/>
      <c r="N347" s="6"/>
      <c r="O347" s="6"/>
      <c r="P347" s="6"/>
      <c r="Q347" s="6"/>
      <c r="R347" s="6"/>
      <c r="S347" s="6"/>
      <c r="T347" s="6"/>
      <c r="U347" s="6"/>
    </row>
    <row r="348" spans="1:21">
      <c r="A348" s="82"/>
      <c r="B348" s="83"/>
      <c r="C348" s="82"/>
      <c r="D348" s="82"/>
      <c r="E348" s="82"/>
      <c r="F348" s="82"/>
      <c r="G348" s="222"/>
      <c r="H348" s="222"/>
      <c r="I348" s="222"/>
      <c r="J348" s="6"/>
      <c r="K348" s="6"/>
      <c r="L348" s="6"/>
      <c r="M348" s="6"/>
      <c r="N348" s="6"/>
      <c r="O348" s="6"/>
      <c r="P348" s="6"/>
      <c r="Q348" s="6"/>
      <c r="R348" s="6"/>
      <c r="S348" s="6"/>
      <c r="T348" s="6"/>
      <c r="U348" s="6"/>
    </row>
    <row r="349" spans="1:21">
      <c r="A349" s="82"/>
      <c r="B349" s="83"/>
      <c r="C349" s="82"/>
      <c r="D349" s="82"/>
      <c r="E349" s="82"/>
      <c r="F349" s="82"/>
      <c r="G349" s="222"/>
      <c r="H349" s="222"/>
      <c r="I349" s="222"/>
      <c r="J349" s="6"/>
      <c r="K349" s="6"/>
      <c r="L349" s="6"/>
      <c r="M349" s="6"/>
      <c r="N349" s="6"/>
      <c r="O349" s="6"/>
      <c r="P349" s="6"/>
      <c r="Q349" s="6"/>
      <c r="R349" s="6"/>
      <c r="S349" s="6"/>
      <c r="T349" s="6"/>
      <c r="U349" s="6"/>
    </row>
    <row r="350" spans="1:21">
      <c r="A350" s="82"/>
      <c r="B350" s="83"/>
      <c r="C350" s="82"/>
      <c r="D350" s="82"/>
      <c r="E350" s="82"/>
      <c r="F350" s="82"/>
      <c r="G350" s="222"/>
      <c r="H350" s="222"/>
      <c r="I350" s="222"/>
      <c r="J350" s="6"/>
      <c r="K350" s="6"/>
      <c r="L350" s="6"/>
      <c r="M350" s="6"/>
      <c r="N350" s="6"/>
      <c r="O350" s="6"/>
      <c r="P350" s="6"/>
      <c r="Q350" s="6"/>
      <c r="R350" s="6"/>
      <c r="S350" s="6"/>
      <c r="T350" s="6"/>
      <c r="U350" s="6"/>
    </row>
    <row r="351" spans="1:21">
      <c r="A351" s="82"/>
      <c r="B351" s="83"/>
      <c r="C351" s="82"/>
      <c r="D351" s="82"/>
      <c r="E351" s="82"/>
      <c r="F351" s="82"/>
      <c r="G351" s="222"/>
      <c r="H351" s="222"/>
      <c r="I351" s="222"/>
      <c r="J351" s="6"/>
      <c r="K351" s="6"/>
      <c r="L351" s="6"/>
      <c r="M351" s="6"/>
      <c r="N351" s="6"/>
      <c r="O351" s="6"/>
      <c r="P351" s="6"/>
      <c r="Q351" s="6"/>
      <c r="R351" s="6"/>
      <c r="S351" s="6"/>
      <c r="T351" s="6"/>
      <c r="U351" s="6"/>
    </row>
    <row r="352" spans="1:21">
      <c r="A352" s="82"/>
      <c r="B352" s="83"/>
      <c r="C352" s="82"/>
      <c r="D352" s="82"/>
      <c r="E352" s="82"/>
      <c r="F352" s="82"/>
      <c r="G352" s="222"/>
      <c r="H352" s="222"/>
      <c r="I352" s="222"/>
      <c r="J352" s="6"/>
      <c r="K352" s="6"/>
      <c r="L352" s="6"/>
      <c r="M352" s="6"/>
      <c r="N352" s="6"/>
      <c r="O352" s="6"/>
      <c r="P352" s="6"/>
      <c r="Q352" s="6"/>
      <c r="R352" s="6"/>
      <c r="S352" s="6"/>
      <c r="T352" s="6"/>
      <c r="U352" s="6"/>
    </row>
    <row r="353" spans="1:21">
      <c r="A353" s="82"/>
      <c r="B353" s="83"/>
      <c r="C353" s="82"/>
      <c r="D353" s="82"/>
      <c r="E353" s="82"/>
      <c r="F353" s="82"/>
      <c r="G353" s="222"/>
      <c r="H353" s="222"/>
      <c r="I353" s="222"/>
      <c r="J353" s="6"/>
      <c r="K353" s="6"/>
      <c r="L353" s="6"/>
      <c r="M353" s="6"/>
      <c r="N353" s="6"/>
      <c r="O353" s="6"/>
      <c r="P353" s="6"/>
      <c r="Q353" s="6"/>
      <c r="R353" s="6"/>
      <c r="S353" s="6"/>
      <c r="T353" s="6"/>
      <c r="U353" s="6"/>
    </row>
    <row r="354" spans="1:21">
      <c r="A354" s="82"/>
      <c r="B354" s="83"/>
      <c r="C354" s="82"/>
      <c r="D354" s="82"/>
      <c r="E354" s="82"/>
      <c r="F354" s="82"/>
      <c r="G354" s="222"/>
      <c r="H354" s="222"/>
      <c r="I354" s="222"/>
      <c r="J354" s="6"/>
      <c r="K354" s="6"/>
      <c r="L354" s="6"/>
      <c r="M354" s="6"/>
      <c r="N354" s="6"/>
      <c r="O354" s="6"/>
      <c r="P354" s="6"/>
      <c r="Q354" s="6"/>
      <c r="R354" s="6"/>
      <c r="S354" s="6"/>
      <c r="T354" s="6"/>
      <c r="U354" s="6"/>
    </row>
    <row r="355" spans="1:21">
      <c r="A355" s="82"/>
      <c r="B355" s="83"/>
      <c r="C355" s="82"/>
      <c r="D355" s="82"/>
      <c r="E355" s="82"/>
      <c r="F355" s="82"/>
      <c r="G355" s="222"/>
      <c r="H355" s="222"/>
      <c r="I355" s="222"/>
      <c r="J355" s="6"/>
      <c r="K355" s="6"/>
      <c r="L355" s="6"/>
      <c r="M355" s="6"/>
      <c r="N355" s="6"/>
      <c r="O355" s="6"/>
      <c r="P355" s="6"/>
      <c r="Q355" s="6"/>
      <c r="R355" s="6"/>
      <c r="S355" s="6"/>
      <c r="T355" s="6"/>
      <c r="U355" s="6"/>
    </row>
    <row r="356" spans="1:21">
      <c r="A356" s="82"/>
      <c r="B356" s="83"/>
      <c r="C356" s="82"/>
      <c r="D356" s="82"/>
      <c r="E356" s="82"/>
      <c r="F356" s="82"/>
      <c r="G356" s="222"/>
      <c r="H356" s="222"/>
      <c r="I356" s="222"/>
      <c r="J356" s="6"/>
      <c r="K356" s="6"/>
      <c r="L356" s="6"/>
      <c r="M356" s="6"/>
      <c r="N356" s="6"/>
      <c r="O356" s="6"/>
      <c r="P356" s="6"/>
      <c r="Q356" s="6"/>
      <c r="R356" s="6"/>
      <c r="S356" s="6"/>
      <c r="T356" s="6"/>
      <c r="U356" s="6"/>
    </row>
    <row r="357" spans="1:21">
      <c r="A357" s="82"/>
      <c r="B357" s="83"/>
      <c r="C357" s="82"/>
      <c r="D357" s="82"/>
      <c r="E357" s="82"/>
      <c r="F357" s="82"/>
      <c r="G357" s="222"/>
      <c r="H357" s="222"/>
      <c r="I357" s="222"/>
      <c r="J357" s="6"/>
      <c r="K357" s="6"/>
      <c r="L357" s="6"/>
      <c r="M357" s="6"/>
      <c r="N357" s="6"/>
      <c r="O357" s="6"/>
      <c r="P357" s="6"/>
      <c r="Q357" s="6"/>
      <c r="R357" s="6"/>
      <c r="S357" s="6"/>
      <c r="T357" s="6"/>
      <c r="U357" s="6"/>
    </row>
    <row r="358" spans="1:21">
      <c r="A358" s="82"/>
      <c r="B358" s="83"/>
      <c r="C358" s="82"/>
      <c r="D358" s="82"/>
      <c r="E358" s="82"/>
      <c r="F358" s="82"/>
      <c r="G358" s="222"/>
      <c r="H358" s="222"/>
      <c r="I358" s="222"/>
      <c r="J358" s="6"/>
      <c r="K358" s="6"/>
      <c r="L358" s="6"/>
      <c r="M358" s="6"/>
      <c r="N358" s="6"/>
      <c r="O358" s="6"/>
      <c r="P358" s="6"/>
      <c r="Q358" s="6"/>
      <c r="R358" s="6"/>
      <c r="S358" s="6"/>
      <c r="T358" s="6"/>
      <c r="U358" s="6"/>
    </row>
    <row r="359" spans="1:21">
      <c r="A359" s="82"/>
      <c r="B359" s="83"/>
      <c r="C359" s="82"/>
      <c r="D359" s="82"/>
      <c r="E359" s="82"/>
      <c r="F359" s="82"/>
      <c r="G359" s="222"/>
      <c r="H359" s="222"/>
      <c r="I359" s="222"/>
      <c r="J359" s="6"/>
      <c r="K359" s="6"/>
      <c r="L359" s="6"/>
      <c r="M359" s="6"/>
      <c r="N359" s="6"/>
      <c r="O359" s="6"/>
      <c r="P359" s="6"/>
      <c r="Q359" s="6"/>
      <c r="R359" s="6"/>
      <c r="S359" s="6"/>
      <c r="T359" s="6"/>
      <c r="U359" s="6"/>
    </row>
    <row r="360" spans="1:21">
      <c r="A360" s="82"/>
      <c r="B360" s="83"/>
      <c r="C360" s="82"/>
      <c r="D360" s="82"/>
      <c r="E360" s="82"/>
      <c r="F360" s="82"/>
      <c r="G360" s="222"/>
      <c r="H360" s="222"/>
      <c r="I360" s="222"/>
      <c r="J360" s="6"/>
      <c r="K360" s="6"/>
      <c r="L360" s="6"/>
      <c r="M360" s="6"/>
      <c r="N360" s="6"/>
      <c r="O360" s="6"/>
      <c r="P360" s="6"/>
      <c r="Q360" s="6"/>
      <c r="R360" s="6"/>
      <c r="S360" s="6"/>
      <c r="T360" s="6"/>
      <c r="U360" s="6"/>
    </row>
    <row r="361" spans="1:21">
      <c r="A361" s="82"/>
      <c r="B361" s="83"/>
      <c r="C361" s="82"/>
      <c r="D361" s="82"/>
      <c r="E361" s="82"/>
      <c r="F361" s="82"/>
      <c r="G361" s="222"/>
      <c r="H361" s="222"/>
      <c r="I361" s="222"/>
      <c r="J361" s="6"/>
      <c r="K361" s="6"/>
      <c r="L361" s="6"/>
      <c r="M361" s="6"/>
      <c r="N361" s="6"/>
      <c r="O361" s="6"/>
      <c r="P361" s="6"/>
      <c r="Q361" s="6"/>
      <c r="R361" s="6"/>
      <c r="S361" s="6"/>
      <c r="T361" s="6"/>
      <c r="U361" s="6"/>
    </row>
    <row r="362" spans="1:21">
      <c r="A362" s="82"/>
      <c r="B362" s="83"/>
      <c r="C362" s="82"/>
      <c r="D362" s="82"/>
      <c r="E362" s="82"/>
      <c r="F362" s="82"/>
      <c r="G362" s="222"/>
      <c r="H362" s="222"/>
      <c r="I362" s="222"/>
      <c r="J362" s="6"/>
      <c r="K362" s="6"/>
      <c r="L362" s="6"/>
      <c r="M362" s="6"/>
      <c r="N362" s="6"/>
      <c r="O362" s="6"/>
      <c r="P362" s="6"/>
      <c r="Q362" s="6"/>
      <c r="R362" s="6"/>
      <c r="S362" s="6"/>
      <c r="T362" s="6"/>
      <c r="U362" s="6"/>
    </row>
    <row r="363" spans="1:21">
      <c r="A363" s="82"/>
      <c r="B363" s="83"/>
      <c r="C363" s="82"/>
      <c r="D363" s="82"/>
      <c r="E363" s="82"/>
      <c r="F363" s="82"/>
      <c r="G363" s="222"/>
      <c r="H363" s="222"/>
      <c r="I363" s="222"/>
      <c r="J363" s="6"/>
      <c r="K363" s="6"/>
      <c r="L363" s="6"/>
      <c r="M363" s="6"/>
      <c r="N363" s="6"/>
      <c r="O363" s="6"/>
      <c r="P363" s="6"/>
      <c r="Q363" s="6"/>
      <c r="R363" s="6"/>
      <c r="S363" s="6"/>
      <c r="T363" s="6"/>
      <c r="U363" s="6"/>
    </row>
    <row r="364" spans="1:21">
      <c r="A364" s="82"/>
      <c r="B364" s="83"/>
      <c r="C364" s="82"/>
      <c r="D364" s="82"/>
      <c r="E364" s="82"/>
      <c r="F364" s="82"/>
      <c r="G364" s="222"/>
      <c r="H364" s="222"/>
      <c r="I364" s="222"/>
      <c r="J364" s="6"/>
      <c r="K364" s="6"/>
      <c r="L364" s="6"/>
      <c r="M364" s="6"/>
      <c r="N364" s="6"/>
      <c r="O364" s="6"/>
      <c r="P364" s="6"/>
      <c r="Q364" s="6"/>
      <c r="R364" s="6"/>
      <c r="S364" s="6"/>
      <c r="T364" s="6"/>
      <c r="U364" s="6"/>
    </row>
    <row r="365" spans="1:21">
      <c r="A365" s="82"/>
      <c r="B365" s="83"/>
      <c r="C365" s="82"/>
      <c r="D365" s="82"/>
      <c r="E365" s="82"/>
      <c r="F365" s="82"/>
      <c r="G365" s="222"/>
      <c r="H365" s="222"/>
      <c r="I365" s="222"/>
      <c r="J365" s="6"/>
      <c r="K365" s="6"/>
      <c r="L365" s="6"/>
      <c r="M365" s="6"/>
      <c r="N365" s="6"/>
      <c r="O365" s="6"/>
      <c r="P365" s="6"/>
      <c r="Q365" s="6"/>
      <c r="R365" s="6"/>
      <c r="S365" s="6"/>
      <c r="T365" s="6"/>
      <c r="U365" s="6"/>
    </row>
    <row r="366" spans="1:21">
      <c r="A366" s="82"/>
      <c r="B366" s="83"/>
      <c r="C366" s="82"/>
      <c r="D366" s="82"/>
      <c r="E366" s="82"/>
      <c r="F366" s="82"/>
      <c r="G366" s="222"/>
      <c r="H366" s="222"/>
      <c r="I366" s="222"/>
      <c r="J366" s="6"/>
      <c r="K366" s="6"/>
      <c r="L366" s="6"/>
      <c r="M366" s="6"/>
      <c r="N366" s="6"/>
      <c r="O366" s="6"/>
      <c r="P366" s="6"/>
      <c r="Q366" s="6"/>
      <c r="R366" s="6"/>
      <c r="S366" s="6"/>
      <c r="T366" s="6"/>
      <c r="U366" s="6"/>
    </row>
    <row r="367" spans="1:21">
      <c r="A367" s="82"/>
      <c r="B367" s="83"/>
      <c r="C367" s="82"/>
      <c r="D367" s="82"/>
      <c r="E367" s="82"/>
      <c r="F367" s="82"/>
      <c r="G367" s="222"/>
      <c r="H367" s="222"/>
      <c r="I367" s="222"/>
      <c r="J367" s="6"/>
      <c r="K367" s="6"/>
      <c r="L367" s="6"/>
      <c r="M367" s="6"/>
      <c r="N367" s="6"/>
      <c r="O367" s="6"/>
      <c r="P367" s="6"/>
      <c r="Q367" s="6"/>
      <c r="R367" s="6"/>
      <c r="S367" s="6"/>
      <c r="T367" s="6"/>
      <c r="U367" s="6"/>
    </row>
    <row r="368" spans="1:21">
      <c r="A368" s="82"/>
      <c r="B368" s="83"/>
      <c r="C368" s="82"/>
      <c r="D368" s="82"/>
      <c r="E368" s="82"/>
      <c r="F368" s="82"/>
      <c r="G368" s="222"/>
      <c r="H368" s="222"/>
      <c r="I368" s="222"/>
      <c r="J368" s="6"/>
      <c r="K368" s="6"/>
      <c r="L368" s="6"/>
      <c r="M368" s="6"/>
      <c r="N368" s="6"/>
      <c r="O368" s="6"/>
      <c r="P368" s="6"/>
      <c r="Q368" s="6"/>
      <c r="R368" s="6"/>
      <c r="S368" s="6"/>
      <c r="T368" s="6"/>
      <c r="U368" s="6"/>
    </row>
    <row r="369" spans="1:21">
      <c r="A369" s="82"/>
      <c r="B369" s="83"/>
      <c r="C369" s="82"/>
      <c r="D369" s="82"/>
      <c r="E369" s="82"/>
      <c r="F369" s="82"/>
      <c r="G369" s="222"/>
      <c r="H369" s="222"/>
      <c r="I369" s="222"/>
      <c r="J369" s="6"/>
      <c r="K369" s="6"/>
      <c r="L369" s="6"/>
      <c r="M369" s="6"/>
      <c r="N369" s="6"/>
      <c r="O369" s="6"/>
      <c r="P369" s="6"/>
      <c r="Q369" s="6"/>
      <c r="R369" s="6"/>
      <c r="S369" s="6"/>
      <c r="T369" s="6"/>
      <c r="U369" s="6"/>
    </row>
    <row r="370" spans="1:21">
      <c r="A370" s="82"/>
      <c r="B370" s="83"/>
      <c r="C370" s="82"/>
      <c r="D370" s="82"/>
      <c r="E370" s="82"/>
      <c r="F370" s="82"/>
      <c r="G370" s="222"/>
      <c r="H370" s="222"/>
      <c r="I370" s="222"/>
      <c r="J370" s="6"/>
      <c r="K370" s="6"/>
      <c r="L370" s="6"/>
      <c r="M370" s="6"/>
      <c r="N370" s="6"/>
      <c r="O370" s="6"/>
      <c r="P370" s="6"/>
      <c r="Q370" s="6"/>
      <c r="R370" s="6"/>
      <c r="S370" s="6"/>
      <c r="T370" s="6"/>
      <c r="U370" s="6"/>
    </row>
    <row r="371" spans="1:21">
      <c r="A371" s="82"/>
      <c r="B371" s="83"/>
      <c r="C371" s="82"/>
      <c r="D371" s="82"/>
      <c r="E371" s="82"/>
      <c r="F371" s="82"/>
      <c r="G371" s="222"/>
      <c r="H371" s="222"/>
      <c r="I371" s="222"/>
      <c r="J371" s="6"/>
      <c r="K371" s="6"/>
      <c r="L371" s="6"/>
      <c r="M371" s="6"/>
      <c r="N371" s="6"/>
      <c r="O371" s="6"/>
      <c r="P371" s="6"/>
      <c r="Q371" s="6"/>
      <c r="R371" s="6"/>
      <c r="S371" s="6"/>
      <c r="T371" s="6"/>
      <c r="U371" s="6"/>
    </row>
    <row r="372" spans="1:21">
      <c r="A372" s="82"/>
      <c r="B372" s="83"/>
      <c r="C372" s="82"/>
      <c r="D372" s="82"/>
      <c r="E372" s="82"/>
      <c r="F372" s="82"/>
      <c r="G372" s="222"/>
      <c r="H372" s="222"/>
      <c r="I372" s="222"/>
      <c r="J372" s="6"/>
      <c r="K372" s="6"/>
      <c r="L372" s="6"/>
      <c r="M372" s="6"/>
      <c r="N372" s="6"/>
      <c r="O372" s="6"/>
      <c r="P372" s="6"/>
      <c r="Q372" s="6"/>
      <c r="R372" s="6"/>
      <c r="S372" s="6"/>
      <c r="T372" s="6"/>
      <c r="U372" s="6"/>
    </row>
    <row r="373" spans="1:21">
      <c r="A373" s="82"/>
      <c r="B373" s="83"/>
      <c r="C373" s="82"/>
      <c r="D373" s="82"/>
      <c r="E373" s="82"/>
      <c r="F373" s="82"/>
      <c r="G373" s="222"/>
      <c r="H373" s="222"/>
      <c r="I373" s="222"/>
      <c r="J373" s="6"/>
      <c r="K373" s="6"/>
      <c r="L373" s="6"/>
      <c r="M373" s="6"/>
      <c r="N373" s="6"/>
      <c r="O373" s="6"/>
      <c r="P373" s="6"/>
      <c r="Q373" s="6"/>
      <c r="R373" s="6"/>
      <c r="S373" s="6"/>
      <c r="T373" s="6"/>
      <c r="U373" s="6"/>
    </row>
    <row r="374" spans="1:21">
      <c r="A374" s="82"/>
      <c r="B374" s="83"/>
      <c r="C374" s="82"/>
      <c r="D374" s="82"/>
      <c r="E374" s="82"/>
      <c r="F374" s="82"/>
      <c r="G374" s="222"/>
      <c r="H374" s="222"/>
      <c r="I374" s="222"/>
      <c r="J374" s="6"/>
      <c r="K374" s="6"/>
      <c r="L374" s="6"/>
      <c r="M374" s="6"/>
      <c r="N374" s="6"/>
      <c r="O374" s="6"/>
      <c r="P374" s="6"/>
      <c r="Q374" s="6"/>
      <c r="R374" s="6"/>
      <c r="S374" s="6"/>
      <c r="T374" s="6"/>
      <c r="U374" s="6"/>
    </row>
    <row r="375" spans="1:21">
      <c r="A375" s="82"/>
      <c r="B375" s="83"/>
      <c r="C375" s="82"/>
      <c r="D375" s="82"/>
      <c r="E375" s="82"/>
      <c r="F375" s="82"/>
      <c r="G375" s="222"/>
      <c r="H375" s="222"/>
      <c r="I375" s="222"/>
      <c r="J375" s="6"/>
      <c r="K375" s="6"/>
      <c r="L375" s="6"/>
      <c r="M375" s="6"/>
      <c r="N375" s="6"/>
      <c r="O375" s="6"/>
      <c r="P375" s="6"/>
      <c r="Q375" s="6"/>
      <c r="R375" s="6"/>
      <c r="S375" s="6"/>
      <c r="T375" s="6"/>
      <c r="U375" s="6"/>
    </row>
    <row r="376" spans="1:21">
      <c r="A376" s="82"/>
      <c r="B376" s="83"/>
      <c r="C376" s="82"/>
      <c r="D376" s="82"/>
      <c r="E376" s="82"/>
      <c r="F376" s="82"/>
      <c r="G376" s="222"/>
      <c r="H376" s="222"/>
      <c r="I376" s="222"/>
      <c r="J376" s="6"/>
      <c r="K376" s="6"/>
      <c r="L376" s="6"/>
      <c r="M376" s="6"/>
      <c r="N376" s="6"/>
      <c r="O376" s="6"/>
      <c r="P376" s="6"/>
      <c r="Q376" s="6"/>
      <c r="R376" s="6"/>
      <c r="S376" s="6"/>
      <c r="T376" s="6"/>
      <c r="U376" s="6"/>
    </row>
    <row r="377" spans="1:21">
      <c r="A377" s="82"/>
      <c r="B377" s="83"/>
      <c r="C377" s="82"/>
      <c r="D377" s="82"/>
      <c r="E377" s="82"/>
      <c r="F377" s="82"/>
      <c r="G377" s="222"/>
      <c r="H377" s="222"/>
      <c r="I377" s="222"/>
      <c r="J377" s="6"/>
      <c r="K377" s="6"/>
      <c r="L377" s="6"/>
      <c r="M377" s="6"/>
      <c r="N377" s="6"/>
      <c r="O377" s="6"/>
      <c r="P377" s="6"/>
      <c r="Q377" s="6"/>
      <c r="R377" s="6"/>
      <c r="S377" s="6"/>
      <c r="T377" s="6"/>
      <c r="U377" s="6"/>
    </row>
    <row r="378" spans="1:21">
      <c r="A378" s="82"/>
      <c r="B378" s="83"/>
      <c r="C378" s="82"/>
      <c r="D378" s="82"/>
      <c r="E378" s="82"/>
      <c r="F378" s="82"/>
      <c r="G378" s="222"/>
      <c r="H378" s="222"/>
      <c r="I378" s="222"/>
      <c r="J378" s="6"/>
      <c r="K378" s="6"/>
      <c r="L378" s="6"/>
      <c r="M378" s="6"/>
      <c r="N378" s="6"/>
      <c r="O378" s="6"/>
      <c r="P378" s="6"/>
      <c r="Q378" s="6"/>
      <c r="R378" s="6"/>
      <c r="S378" s="6"/>
      <c r="T378" s="6"/>
      <c r="U378" s="6"/>
    </row>
    <row r="379" spans="1:21">
      <c r="A379" s="82"/>
      <c r="B379" s="83"/>
      <c r="C379" s="82"/>
      <c r="D379" s="82"/>
      <c r="E379" s="82"/>
      <c r="F379" s="82"/>
      <c r="G379" s="222"/>
      <c r="H379" s="222"/>
      <c r="I379" s="222"/>
      <c r="J379" s="6"/>
      <c r="K379" s="6"/>
      <c r="L379" s="6"/>
      <c r="M379" s="6"/>
      <c r="N379" s="6"/>
      <c r="O379" s="6"/>
      <c r="P379" s="6"/>
      <c r="Q379" s="6"/>
      <c r="R379" s="6"/>
      <c r="S379" s="6"/>
      <c r="T379" s="6"/>
      <c r="U379" s="6"/>
    </row>
    <row r="380" spans="1:21">
      <c r="A380" s="82"/>
      <c r="B380" s="83"/>
      <c r="C380" s="82"/>
      <c r="D380" s="82"/>
      <c r="E380" s="82"/>
      <c r="F380" s="82"/>
      <c r="G380" s="222"/>
      <c r="H380" s="222"/>
      <c r="I380" s="222"/>
      <c r="J380" s="6"/>
      <c r="K380" s="6"/>
      <c r="L380" s="6"/>
      <c r="M380" s="6"/>
      <c r="N380" s="6"/>
      <c r="O380" s="6"/>
      <c r="P380" s="6"/>
      <c r="Q380" s="6"/>
      <c r="R380" s="6"/>
      <c r="S380" s="6"/>
      <c r="T380" s="6"/>
      <c r="U380" s="6"/>
    </row>
    <row r="381" spans="1:21">
      <c r="A381" s="82"/>
      <c r="B381" s="83"/>
      <c r="C381" s="82"/>
      <c r="D381" s="82"/>
      <c r="E381" s="82"/>
      <c r="F381" s="82"/>
      <c r="G381" s="222"/>
      <c r="H381" s="222"/>
      <c r="I381" s="222"/>
      <c r="J381" s="6"/>
      <c r="K381" s="6"/>
      <c r="L381" s="6"/>
      <c r="M381" s="6"/>
      <c r="N381" s="6"/>
      <c r="O381" s="6"/>
      <c r="P381" s="6"/>
      <c r="Q381" s="6"/>
      <c r="R381" s="6"/>
      <c r="S381" s="6"/>
      <c r="T381" s="6"/>
      <c r="U381" s="6"/>
    </row>
    <row r="382" spans="1:21">
      <c r="A382" s="82"/>
      <c r="B382" s="83"/>
      <c r="C382" s="82"/>
      <c r="D382" s="82"/>
      <c r="E382" s="82"/>
      <c r="F382" s="82"/>
      <c r="G382" s="222"/>
      <c r="H382" s="222"/>
      <c r="I382" s="222"/>
      <c r="J382" s="6"/>
      <c r="K382" s="6"/>
      <c r="L382" s="6"/>
      <c r="M382" s="6"/>
      <c r="N382" s="6"/>
      <c r="O382" s="6"/>
      <c r="P382" s="6"/>
      <c r="Q382" s="6"/>
      <c r="R382" s="6"/>
      <c r="S382" s="6"/>
      <c r="T382" s="6"/>
      <c r="U382" s="6"/>
    </row>
    <row r="383" spans="1:21">
      <c r="A383" s="82"/>
      <c r="B383" s="83"/>
      <c r="C383" s="82"/>
      <c r="D383" s="82"/>
      <c r="E383" s="82"/>
      <c r="F383" s="82"/>
      <c r="G383" s="222"/>
      <c r="H383" s="222"/>
      <c r="I383" s="222"/>
      <c r="J383" s="6"/>
      <c r="K383" s="6"/>
      <c r="L383" s="6"/>
      <c r="M383" s="6"/>
      <c r="N383" s="6"/>
      <c r="O383" s="6"/>
      <c r="P383" s="6"/>
      <c r="Q383" s="6"/>
      <c r="R383" s="6"/>
      <c r="S383" s="6"/>
      <c r="T383" s="6"/>
      <c r="U383" s="6"/>
    </row>
    <row r="384" spans="1:21">
      <c r="A384" s="82"/>
      <c r="B384" s="83"/>
      <c r="C384" s="82"/>
      <c r="D384" s="82"/>
      <c r="E384" s="82"/>
      <c r="F384" s="82"/>
      <c r="G384" s="222"/>
      <c r="H384" s="222"/>
      <c r="I384" s="222"/>
      <c r="J384" s="6"/>
      <c r="K384" s="6"/>
      <c r="L384" s="6"/>
      <c r="M384" s="6"/>
      <c r="N384" s="6"/>
      <c r="O384" s="6"/>
      <c r="P384" s="6"/>
      <c r="Q384" s="6"/>
      <c r="R384" s="6"/>
      <c r="S384" s="6"/>
      <c r="T384" s="6"/>
      <c r="U384" s="6"/>
    </row>
    <row r="385" spans="1:21">
      <c r="A385" s="82"/>
      <c r="B385" s="83"/>
      <c r="C385" s="82"/>
      <c r="D385" s="82"/>
      <c r="E385" s="82"/>
      <c r="F385" s="82"/>
      <c r="G385" s="222"/>
      <c r="H385" s="222"/>
      <c r="I385" s="222"/>
      <c r="J385" s="6"/>
      <c r="K385" s="6"/>
      <c r="L385" s="6"/>
      <c r="M385" s="6"/>
      <c r="N385" s="6"/>
      <c r="O385" s="6"/>
      <c r="P385" s="6"/>
      <c r="Q385" s="6"/>
      <c r="R385" s="6"/>
      <c r="S385" s="6"/>
      <c r="T385" s="6"/>
      <c r="U385" s="6"/>
    </row>
    <row r="386" spans="1:21">
      <c r="A386" s="82"/>
      <c r="B386" s="83"/>
      <c r="C386" s="82"/>
      <c r="D386" s="82"/>
      <c r="E386" s="82"/>
      <c r="F386" s="82"/>
      <c r="G386" s="222"/>
      <c r="H386" s="222"/>
      <c r="I386" s="222"/>
      <c r="J386" s="6"/>
      <c r="K386" s="6"/>
      <c r="L386" s="6"/>
      <c r="M386" s="6"/>
      <c r="N386" s="6"/>
      <c r="O386" s="6"/>
      <c r="P386" s="6"/>
      <c r="Q386" s="6"/>
      <c r="R386" s="6"/>
      <c r="S386" s="6"/>
      <c r="T386" s="6"/>
      <c r="U386" s="6"/>
    </row>
    <row r="387" spans="1:21">
      <c r="A387" s="82"/>
      <c r="B387" s="83"/>
      <c r="C387" s="82"/>
      <c r="D387" s="82"/>
      <c r="E387" s="82"/>
      <c r="F387" s="82"/>
      <c r="G387" s="222"/>
      <c r="H387" s="222"/>
      <c r="I387" s="222"/>
      <c r="J387" s="6"/>
      <c r="K387" s="6"/>
      <c r="L387" s="6"/>
      <c r="M387" s="6"/>
      <c r="N387" s="6"/>
      <c r="O387" s="6"/>
      <c r="P387" s="6"/>
      <c r="Q387" s="6"/>
      <c r="R387" s="6"/>
      <c r="S387" s="6"/>
      <c r="T387" s="6"/>
      <c r="U387" s="6"/>
    </row>
    <row r="388" spans="1:21">
      <c r="A388" s="82"/>
      <c r="B388" s="83"/>
      <c r="C388" s="82"/>
      <c r="D388" s="82"/>
      <c r="E388" s="82"/>
      <c r="F388" s="82"/>
      <c r="G388" s="222"/>
      <c r="H388" s="222"/>
      <c r="I388" s="222"/>
      <c r="J388" s="6"/>
      <c r="K388" s="6"/>
      <c r="L388" s="6"/>
      <c r="M388" s="6"/>
      <c r="N388" s="6"/>
      <c r="O388" s="6"/>
      <c r="P388" s="6"/>
      <c r="Q388" s="6"/>
      <c r="R388" s="6"/>
      <c r="S388" s="6"/>
      <c r="T388" s="6"/>
      <c r="U388" s="6"/>
    </row>
    <row r="389" spans="1:21">
      <c r="A389" s="82"/>
      <c r="B389" s="83"/>
      <c r="C389" s="82"/>
      <c r="D389" s="82"/>
      <c r="E389" s="82"/>
      <c r="F389" s="82"/>
      <c r="G389" s="222"/>
      <c r="H389" s="222"/>
      <c r="I389" s="222"/>
      <c r="J389" s="6"/>
      <c r="K389" s="6"/>
      <c r="L389" s="6"/>
      <c r="M389" s="6"/>
      <c r="N389" s="6"/>
      <c r="O389" s="6"/>
      <c r="P389" s="6"/>
      <c r="Q389" s="6"/>
      <c r="R389" s="6"/>
      <c r="S389" s="6"/>
      <c r="T389" s="6"/>
      <c r="U389" s="6"/>
    </row>
    <row r="390" spans="1:21">
      <c r="A390" s="82"/>
      <c r="B390" s="83"/>
      <c r="C390" s="82"/>
      <c r="D390" s="82"/>
      <c r="E390" s="82"/>
      <c r="F390" s="82"/>
      <c r="G390" s="222"/>
      <c r="H390" s="222"/>
      <c r="I390" s="222"/>
      <c r="J390" s="6"/>
      <c r="K390" s="6"/>
      <c r="L390" s="6"/>
      <c r="M390" s="6"/>
      <c r="N390" s="6"/>
      <c r="O390" s="6"/>
      <c r="P390" s="6"/>
      <c r="Q390" s="6"/>
      <c r="R390" s="6"/>
      <c r="S390" s="6"/>
      <c r="T390" s="6"/>
      <c r="U390" s="6"/>
    </row>
    <row r="391" spans="1:21">
      <c r="A391" s="82"/>
      <c r="B391" s="83"/>
      <c r="C391" s="82"/>
      <c r="D391" s="82"/>
      <c r="E391" s="82"/>
      <c r="F391" s="82"/>
      <c r="G391" s="222"/>
      <c r="H391" s="222"/>
      <c r="I391" s="222"/>
      <c r="J391" s="6"/>
      <c r="K391" s="6"/>
      <c r="L391" s="6"/>
      <c r="M391" s="6"/>
      <c r="N391" s="6"/>
      <c r="O391" s="6"/>
      <c r="P391" s="6"/>
      <c r="Q391" s="6"/>
      <c r="R391" s="6"/>
      <c r="S391" s="6"/>
      <c r="T391" s="6"/>
      <c r="U391" s="6"/>
    </row>
    <row r="392" spans="1:21">
      <c r="A392" s="82"/>
      <c r="B392" s="83"/>
      <c r="C392" s="82"/>
      <c r="D392" s="82"/>
      <c r="E392" s="82"/>
      <c r="F392" s="82"/>
      <c r="G392" s="222"/>
      <c r="H392" s="222"/>
      <c r="I392" s="222"/>
      <c r="J392" s="6"/>
      <c r="K392" s="6"/>
      <c r="L392" s="6"/>
      <c r="M392" s="6"/>
      <c r="N392" s="6"/>
      <c r="O392" s="6"/>
      <c r="P392" s="6"/>
      <c r="Q392" s="6"/>
      <c r="R392" s="6"/>
      <c r="S392" s="6"/>
      <c r="T392" s="6"/>
      <c r="U392" s="6"/>
    </row>
    <row r="393" spans="1:21">
      <c r="A393" s="82"/>
      <c r="B393" s="83"/>
      <c r="C393" s="82"/>
      <c r="D393" s="82"/>
      <c r="E393" s="82"/>
      <c r="F393" s="82"/>
      <c r="G393" s="222"/>
      <c r="H393" s="222"/>
      <c r="I393" s="222"/>
      <c r="J393" s="6"/>
      <c r="K393" s="6"/>
      <c r="L393" s="6"/>
      <c r="M393" s="6"/>
      <c r="N393" s="6"/>
      <c r="O393" s="6"/>
      <c r="P393" s="6"/>
      <c r="Q393" s="6"/>
      <c r="R393" s="6"/>
      <c r="S393" s="6"/>
      <c r="T393" s="6"/>
      <c r="U393" s="6"/>
    </row>
    <row r="394" spans="1:21">
      <c r="A394" s="82"/>
      <c r="B394" s="83"/>
      <c r="C394" s="82"/>
      <c r="D394" s="82"/>
      <c r="E394" s="82"/>
      <c r="F394" s="82"/>
      <c r="G394" s="222"/>
      <c r="H394" s="222"/>
      <c r="I394" s="222"/>
      <c r="J394" s="6"/>
      <c r="K394" s="6"/>
      <c r="L394" s="6"/>
      <c r="M394" s="6"/>
      <c r="N394" s="6"/>
      <c r="O394" s="6"/>
      <c r="P394" s="6"/>
      <c r="Q394" s="6"/>
      <c r="R394" s="6"/>
      <c r="S394" s="6"/>
      <c r="T394" s="6"/>
      <c r="U394" s="6"/>
    </row>
    <row r="395" spans="1:21">
      <c r="A395" s="82"/>
      <c r="B395" s="83"/>
      <c r="C395" s="82"/>
      <c r="D395" s="82"/>
      <c r="E395" s="82"/>
      <c r="F395" s="82"/>
      <c r="G395" s="222"/>
      <c r="H395" s="222"/>
      <c r="I395" s="222"/>
      <c r="J395" s="6"/>
      <c r="K395" s="6"/>
      <c r="L395" s="6"/>
      <c r="M395" s="6"/>
      <c r="N395" s="6"/>
      <c r="O395" s="6"/>
      <c r="P395" s="6"/>
      <c r="Q395" s="6"/>
      <c r="R395" s="6"/>
      <c r="S395" s="6"/>
      <c r="T395" s="6"/>
      <c r="U395" s="6"/>
    </row>
    <row r="396" spans="1:21">
      <c r="A396" s="82"/>
      <c r="B396" s="83"/>
      <c r="C396" s="82"/>
      <c r="D396" s="82"/>
      <c r="E396" s="82"/>
      <c r="F396" s="82"/>
      <c r="G396" s="222"/>
      <c r="H396" s="222"/>
      <c r="I396" s="222"/>
      <c r="J396" s="6"/>
      <c r="K396" s="6"/>
      <c r="L396" s="6"/>
      <c r="M396" s="6"/>
      <c r="N396" s="6"/>
      <c r="O396" s="6"/>
      <c r="P396" s="6"/>
      <c r="Q396" s="6"/>
      <c r="R396" s="6"/>
      <c r="S396" s="6"/>
      <c r="T396" s="6"/>
      <c r="U396" s="6"/>
    </row>
    <row r="397" spans="1:21">
      <c r="A397" s="82"/>
      <c r="B397" s="83"/>
      <c r="C397" s="82"/>
      <c r="D397" s="82"/>
      <c r="E397" s="82"/>
      <c r="F397" s="82"/>
      <c r="G397" s="222"/>
      <c r="H397" s="222"/>
      <c r="I397" s="222"/>
      <c r="J397" s="6"/>
      <c r="K397" s="6"/>
      <c r="L397" s="6"/>
      <c r="M397" s="6"/>
      <c r="N397" s="6"/>
      <c r="O397" s="6"/>
      <c r="P397" s="6"/>
      <c r="Q397" s="6"/>
      <c r="R397" s="6"/>
      <c r="S397" s="6"/>
      <c r="T397" s="6"/>
      <c r="U397" s="6"/>
    </row>
    <row r="398" spans="1:21">
      <c r="A398" s="82"/>
      <c r="B398" s="83"/>
      <c r="C398" s="82"/>
      <c r="D398" s="82"/>
      <c r="E398" s="82"/>
      <c r="F398" s="82"/>
      <c r="G398" s="222"/>
      <c r="H398" s="222"/>
      <c r="I398" s="222"/>
      <c r="J398" s="6"/>
      <c r="K398" s="6"/>
      <c r="L398" s="6"/>
      <c r="M398" s="6"/>
      <c r="N398" s="6"/>
      <c r="O398" s="6"/>
      <c r="P398" s="6"/>
      <c r="Q398" s="6"/>
      <c r="R398" s="6"/>
      <c r="S398" s="6"/>
      <c r="T398" s="6"/>
      <c r="U398" s="6"/>
    </row>
    <row r="399" spans="1:21">
      <c r="A399" s="82"/>
      <c r="B399" s="83"/>
      <c r="C399" s="82"/>
      <c r="D399" s="82"/>
      <c r="E399" s="82"/>
      <c r="F399" s="82"/>
      <c r="G399" s="222"/>
      <c r="H399" s="222"/>
      <c r="I399" s="222"/>
      <c r="J399" s="6"/>
      <c r="K399" s="6"/>
      <c r="L399" s="6"/>
      <c r="M399" s="6"/>
      <c r="N399" s="6"/>
      <c r="O399" s="6"/>
      <c r="P399" s="6"/>
      <c r="Q399" s="6"/>
      <c r="R399" s="6"/>
      <c r="S399" s="6"/>
      <c r="T399" s="6"/>
      <c r="U399" s="6"/>
    </row>
    <row r="400" spans="1:21">
      <c r="A400" s="82"/>
      <c r="B400" s="83"/>
      <c r="C400" s="82"/>
      <c r="D400" s="82"/>
      <c r="E400" s="82"/>
      <c r="F400" s="82"/>
      <c r="G400" s="222"/>
      <c r="H400" s="222"/>
      <c r="I400" s="222"/>
      <c r="J400" s="6"/>
      <c r="K400" s="6"/>
      <c r="L400" s="6"/>
      <c r="M400" s="6"/>
      <c r="N400" s="6"/>
      <c r="O400" s="6"/>
      <c r="P400" s="6"/>
      <c r="Q400" s="6"/>
      <c r="R400" s="6"/>
      <c r="S400" s="6"/>
      <c r="T400" s="6"/>
      <c r="U400" s="6"/>
    </row>
    <row r="401" spans="1:21">
      <c r="A401" s="82"/>
      <c r="B401" s="83"/>
      <c r="C401" s="82"/>
      <c r="D401" s="82"/>
      <c r="E401" s="82"/>
      <c r="F401" s="82"/>
      <c r="G401" s="222"/>
      <c r="H401" s="222"/>
      <c r="I401" s="222"/>
      <c r="J401" s="6"/>
      <c r="K401" s="6"/>
      <c r="L401" s="6"/>
      <c r="M401" s="6"/>
      <c r="N401" s="6"/>
      <c r="O401" s="6"/>
      <c r="P401" s="6"/>
      <c r="Q401" s="6"/>
      <c r="R401" s="6"/>
      <c r="S401" s="6"/>
      <c r="T401" s="6"/>
      <c r="U401" s="6"/>
    </row>
    <row r="402" spans="1:21">
      <c r="A402" s="82"/>
      <c r="B402" s="83"/>
      <c r="C402" s="82"/>
      <c r="D402" s="82"/>
      <c r="E402" s="82"/>
      <c r="F402" s="82"/>
      <c r="G402" s="222"/>
      <c r="H402" s="222"/>
      <c r="I402" s="222"/>
      <c r="J402" s="6"/>
      <c r="K402" s="6"/>
      <c r="L402" s="6"/>
      <c r="M402" s="6"/>
      <c r="N402" s="6"/>
      <c r="O402" s="6"/>
      <c r="P402" s="6"/>
      <c r="Q402" s="6"/>
      <c r="R402" s="6"/>
      <c r="S402" s="6"/>
      <c r="T402" s="6"/>
      <c r="U402" s="6"/>
    </row>
    <row r="403" spans="1:21">
      <c r="A403" s="82"/>
      <c r="B403" s="83"/>
      <c r="C403" s="82"/>
      <c r="D403" s="82"/>
      <c r="E403" s="82"/>
      <c r="F403" s="82"/>
      <c r="G403" s="222"/>
      <c r="H403" s="222"/>
      <c r="I403" s="222"/>
      <c r="J403" s="6"/>
      <c r="K403" s="6"/>
      <c r="L403" s="6"/>
      <c r="M403" s="6"/>
      <c r="N403" s="6"/>
      <c r="O403" s="6"/>
      <c r="P403" s="6"/>
      <c r="Q403" s="6"/>
      <c r="R403" s="6"/>
      <c r="S403" s="6"/>
      <c r="T403" s="6"/>
      <c r="U403" s="6"/>
    </row>
    <row r="404" spans="1:21">
      <c r="A404" s="82"/>
      <c r="B404" s="83"/>
      <c r="C404" s="82"/>
      <c r="D404" s="82"/>
      <c r="E404" s="82"/>
      <c r="F404" s="82"/>
      <c r="G404" s="222"/>
      <c r="H404" s="222"/>
      <c r="I404" s="222"/>
      <c r="J404" s="6"/>
      <c r="K404" s="6"/>
      <c r="L404" s="6"/>
      <c r="M404" s="6"/>
      <c r="N404" s="6"/>
      <c r="O404" s="6"/>
      <c r="P404" s="6"/>
      <c r="Q404" s="6"/>
      <c r="R404" s="6"/>
      <c r="S404" s="6"/>
      <c r="T404" s="6"/>
      <c r="U404" s="6"/>
    </row>
    <row r="405" spans="1:21">
      <c r="A405" s="82"/>
      <c r="B405" s="83"/>
      <c r="C405" s="82"/>
      <c r="D405" s="82"/>
      <c r="E405" s="82"/>
      <c r="F405" s="82"/>
      <c r="G405" s="222"/>
      <c r="H405" s="222"/>
      <c r="I405" s="222"/>
      <c r="J405" s="6"/>
      <c r="K405" s="6"/>
      <c r="L405" s="6"/>
      <c r="M405" s="6"/>
      <c r="N405" s="6"/>
      <c r="O405" s="6"/>
      <c r="P405" s="6"/>
      <c r="Q405" s="6"/>
      <c r="R405" s="6"/>
      <c r="S405" s="6"/>
      <c r="T405" s="6"/>
      <c r="U405" s="6"/>
    </row>
    <row r="406" spans="1:21">
      <c r="A406" s="82"/>
      <c r="B406" s="83"/>
      <c r="C406" s="82"/>
      <c r="D406" s="82"/>
      <c r="E406" s="82"/>
      <c r="F406" s="82"/>
      <c r="G406" s="222"/>
      <c r="H406" s="222"/>
      <c r="I406" s="222"/>
      <c r="J406" s="6"/>
      <c r="K406" s="6"/>
      <c r="L406" s="6"/>
      <c r="M406" s="6"/>
      <c r="N406" s="6"/>
      <c r="O406" s="6"/>
      <c r="P406" s="6"/>
      <c r="Q406" s="6"/>
      <c r="R406" s="6"/>
      <c r="S406" s="6"/>
      <c r="T406" s="6"/>
      <c r="U406" s="6"/>
    </row>
    <row r="407" spans="1:21">
      <c r="A407" s="82"/>
      <c r="B407" s="83"/>
      <c r="C407" s="82"/>
      <c r="D407" s="82"/>
      <c r="E407" s="82"/>
      <c r="F407" s="82"/>
      <c r="G407" s="222"/>
      <c r="H407" s="222"/>
      <c r="I407" s="222"/>
      <c r="J407" s="6"/>
      <c r="K407" s="6"/>
      <c r="L407" s="6"/>
      <c r="M407" s="6"/>
      <c r="N407" s="6"/>
      <c r="O407" s="6"/>
      <c r="P407" s="6"/>
      <c r="Q407" s="6"/>
      <c r="R407" s="6"/>
      <c r="S407" s="6"/>
      <c r="T407" s="6"/>
      <c r="U407" s="6"/>
    </row>
    <row r="408" spans="1:21">
      <c r="A408" s="82"/>
      <c r="B408" s="83"/>
      <c r="C408" s="82"/>
      <c r="D408" s="82"/>
      <c r="E408" s="82"/>
      <c r="F408" s="82"/>
      <c r="G408" s="222"/>
      <c r="H408" s="222"/>
      <c r="I408" s="222"/>
      <c r="J408" s="6"/>
      <c r="K408" s="6"/>
      <c r="L408" s="6"/>
      <c r="M408" s="6"/>
      <c r="N408" s="6"/>
      <c r="O408" s="6"/>
      <c r="P408" s="6"/>
      <c r="Q408" s="6"/>
      <c r="R408" s="6"/>
      <c r="S408" s="6"/>
      <c r="T408" s="6"/>
      <c r="U408" s="6"/>
    </row>
    <row r="409" spans="1:21">
      <c r="A409" s="82"/>
      <c r="B409" s="83"/>
      <c r="C409" s="82"/>
      <c r="D409" s="82"/>
      <c r="E409" s="82"/>
      <c r="F409" s="82"/>
      <c r="G409" s="222"/>
      <c r="H409" s="222"/>
      <c r="I409" s="222"/>
      <c r="J409" s="6"/>
      <c r="K409" s="6"/>
      <c r="L409" s="6"/>
      <c r="M409" s="6"/>
      <c r="N409" s="6"/>
      <c r="O409" s="6"/>
      <c r="P409" s="6"/>
      <c r="Q409" s="6"/>
      <c r="R409" s="6"/>
      <c r="S409" s="6"/>
      <c r="T409" s="6"/>
      <c r="U409" s="6"/>
    </row>
    <row r="410" spans="1:21">
      <c r="A410" s="82"/>
      <c r="B410" s="83"/>
      <c r="C410" s="82"/>
      <c r="D410" s="82"/>
      <c r="E410" s="82"/>
      <c r="F410" s="82"/>
      <c r="G410" s="222"/>
      <c r="H410" s="222"/>
      <c r="I410" s="222"/>
      <c r="J410" s="6"/>
      <c r="K410" s="6"/>
      <c r="L410" s="6"/>
      <c r="M410" s="6"/>
      <c r="N410" s="6"/>
      <c r="O410" s="6"/>
      <c r="P410" s="6"/>
      <c r="Q410" s="6"/>
      <c r="R410" s="6"/>
      <c r="S410" s="6"/>
      <c r="T410" s="6"/>
      <c r="U410" s="6"/>
    </row>
    <row r="411" spans="1:21">
      <c r="A411" s="82"/>
      <c r="B411" s="83"/>
      <c r="C411" s="82"/>
      <c r="D411" s="82"/>
      <c r="E411" s="82"/>
      <c r="F411" s="82"/>
      <c r="G411" s="222"/>
      <c r="H411" s="222"/>
      <c r="I411" s="222"/>
      <c r="J411" s="6"/>
      <c r="K411" s="6"/>
      <c r="L411" s="6"/>
      <c r="M411" s="6"/>
      <c r="N411" s="6"/>
      <c r="O411" s="6"/>
      <c r="P411" s="6"/>
      <c r="Q411" s="6"/>
      <c r="R411" s="6"/>
      <c r="S411" s="6"/>
      <c r="T411" s="6"/>
      <c r="U411" s="6"/>
    </row>
    <row r="412" spans="1:21">
      <c r="A412" s="82"/>
      <c r="B412" s="83"/>
      <c r="C412" s="82"/>
      <c r="D412" s="82"/>
      <c r="E412" s="82"/>
      <c r="F412" s="82"/>
      <c r="G412" s="222"/>
      <c r="H412" s="222"/>
      <c r="I412" s="222"/>
      <c r="J412" s="6"/>
      <c r="K412" s="6"/>
      <c r="L412" s="6"/>
      <c r="M412" s="6"/>
      <c r="N412" s="6"/>
      <c r="O412" s="6"/>
      <c r="P412" s="6"/>
      <c r="Q412" s="6"/>
      <c r="R412" s="6"/>
      <c r="S412" s="6"/>
      <c r="T412" s="6"/>
      <c r="U412" s="6"/>
    </row>
    <row r="413" spans="1:21">
      <c r="A413" s="82"/>
      <c r="B413" s="83"/>
      <c r="C413" s="82"/>
      <c r="D413" s="82"/>
      <c r="E413" s="82"/>
      <c r="F413" s="82"/>
      <c r="G413" s="222"/>
      <c r="H413" s="222"/>
      <c r="I413" s="222"/>
      <c r="J413" s="6"/>
      <c r="K413" s="6"/>
      <c r="L413" s="6"/>
      <c r="M413" s="6"/>
      <c r="N413" s="6"/>
      <c r="O413" s="6"/>
      <c r="P413" s="6"/>
      <c r="Q413" s="6"/>
      <c r="R413" s="6"/>
      <c r="S413" s="6"/>
      <c r="T413" s="6"/>
      <c r="U413" s="6"/>
    </row>
    <row r="414" spans="1:21">
      <c r="A414" s="82"/>
      <c r="B414" s="83"/>
      <c r="C414" s="82"/>
      <c r="D414" s="82"/>
      <c r="E414" s="82"/>
      <c r="F414" s="82"/>
      <c r="G414" s="222"/>
      <c r="H414" s="222"/>
      <c r="I414" s="222"/>
      <c r="J414" s="6"/>
      <c r="K414" s="6"/>
      <c r="L414" s="6"/>
      <c r="M414" s="6"/>
      <c r="N414" s="6"/>
      <c r="O414" s="6"/>
      <c r="P414" s="6"/>
      <c r="Q414" s="6"/>
      <c r="R414" s="6"/>
      <c r="S414" s="6"/>
      <c r="T414" s="6"/>
      <c r="U414" s="6"/>
    </row>
    <row r="415" spans="1:21">
      <c r="A415" s="82"/>
      <c r="B415" s="83"/>
      <c r="C415" s="82"/>
      <c r="D415" s="82"/>
      <c r="E415" s="82"/>
      <c r="F415" s="82"/>
      <c r="G415" s="222"/>
      <c r="H415" s="222"/>
      <c r="I415" s="222"/>
      <c r="J415" s="6"/>
      <c r="K415" s="6"/>
      <c r="L415" s="6"/>
      <c r="M415" s="6"/>
      <c r="N415" s="6"/>
      <c r="O415" s="6"/>
      <c r="P415" s="6"/>
      <c r="Q415" s="6"/>
      <c r="R415" s="6"/>
      <c r="S415" s="6"/>
      <c r="T415" s="6"/>
      <c r="U415" s="6"/>
    </row>
    <row r="416" spans="1:21">
      <c r="A416" s="82"/>
      <c r="B416" s="83"/>
      <c r="C416" s="82"/>
      <c r="D416" s="82"/>
      <c r="E416" s="82"/>
      <c r="F416" s="82"/>
      <c r="G416" s="222"/>
      <c r="H416" s="222"/>
      <c r="I416" s="222"/>
      <c r="J416" s="6"/>
      <c r="K416" s="6"/>
      <c r="L416" s="6"/>
      <c r="M416" s="6"/>
      <c r="N416" s="6"/>
      <c r="O416" s="6"/>
      <c r="P416" s="6"/>
      <c r="Q416" s="6"/>
      <c r="R416" s="6"/>
      <c r="S416" s="6"/>
      <c r="T416" s="6"/>
      <c r="U416" s="6"/>
    </row>
    <row r="417" spans="1:21">
      <c r="A417" s="82"/>
      <c r="B417" s="83"/>
      <c r="C417" s="82"/>
      <c r="D417" s="82"/>
      <c r="E417" s="82"/>
      <c r="F417" s="82"/>
      <c r="G417" s="222"/>
      <c r="H417" s="222"/>
      <c r="I417" s="222"/>
      <c r="J417" s="6"/>
      <c r="K417" s="6"/>
      <c r="L417" s="6"/>
      <c r="M417" s="6"/>
      <c r="N417" s="6"/>
      <c r="O417" s="6"/>
      <c r="P417" s="6"/>
      <c r="Q417" s="6"/>
      <c r="R417" s="6"/>
      <c r="S417" s="6"/>
      <c r="T417" s="6"/>
      <c r="U417" s="6"/>
    </row>
    <row r="418" spans="1:21">
      <c r="A418" s="82"/>
      <c r="B418" s="83"/>
      <c r="C418" s="82"/>
      <c r="D418" s="82"/>
      <c r="E418" s="82"/>
      <c r="F418" s="82"/>
      <c r="G418" s="222"/>
      <c r="H418" s="222"/>
      <c r="I418" s="222"/>
      <c r="J418" s="6"/>
      <c r="K418" s="6"/>
      <c r="L418" s="6"/>
      <c r="M418" s="6"/>
      <c r="N418" s="6"/>
      <c r="O418" s="6"/>
      <c r="P418" s="6"/>
      <c r="Q418" s="6"/>
      <c r="R418" s="6"/>
      <c r="S418" s="6"/>
      <c r="T418" s="6"/>
      <c r="U418" s="6"/>
    </row>
    <row r="419" spans="1:21">
      <c r="A419" s="82"/>
      <c r="B419" s="83"/>
      <c r="C419" s="82"/>
      <c r="D419" s="82"/>
      <c r="E419" s="82"/>
      <c r="F419" s="82"/>
      <c r="G419" s="222"/>
      <c r="H419" s="222"/>
      <c r="I419" s="222"/>
      <c r="J419" s="6"/>
      <c r="K419" s="6"/>
      <c r="L419" s="6"/>
      <c r="M419" s="6"/>
      <c r="N419" s="6"/>
      <c r="O419" s="6"/>
      <c r="P419" s="6"/>
      <c r="Q419" s="6"/>
      <c r="R419" s="6"/>
      <c r="S419" s="6"/>
      <c r="T419" s="6"/>
      <c r="U419" s="6"/>
    </row>
    <row r="420" spans="1:21">
      <c r="A420" s="82"/>
      <c r="B420" s="83"/>
      <c r="C420" s="82"/>
      <c r="D420" s="82"/>
      <c r="E420" s="82"/>
      <c r="F420" s="82"/>
      <c r="G420" s="222"/>
      <c r="H420" s="222"/>
      <c r="I420" s="222"/>
      <c r="J420" s="6"/>
      <c r="K420" s="6"/>
      <c r="L420" s="6"/>
      <c r="M420" s="6"/>
      <c r="N420" s="6"/>
      <c r="O420" s="6"/>
      <c r="P420" s="6"/>
      <c r="Q420" s="6"/>
      <c r="R420" s="6"/>
      <c r="S420" s="6"/>
      <c r="T420" s="6"/>
      <c r="U420" s="6"/>
    </row>
    <row r="421" spans="1:21">
      <c r="A421" s="82"/>
      <c r="B421" s="83"/>
      <c r="C421" s="82"/>
      <c r="D421" s="82"/>
      <c r="E421" s="82"/>
      <c r="F421" s="82"/>
      <c r="G421" s="222"/>
      <c r="H421" s="222"/>
      <c r="I421" s="222"/>
      <c r="J421" s="6"/>
      <c r="K421" s="6"/>
      <c r="L421" s="6"/>
      <c r="M421" s="6"/>
      <c r="N421" s="6"/>
      <c r="O421" s="6"/>
      <c r="P421" s="6"/>
      <c r="Q421" s="6"/>
      <c r="R421" s="6"/>
      <c r="S421" s="6"/>
      <c r="T421" s="6"/>
      <c r="U421" s="6"/>
    </row>
    <row r="422" spans="1:21">
      <c r="A422" s="82"/>
      <c r="B422" s="83"/>
      <c r="C422" s="82"/>
      <c r="D422" s="82"/>
      <c r="E422" s="82"/>
      <c r="F422" s="82"/>
      <c r="G422" s="222"/>
      <c r="H422" s="222"/>
      <c r="I422" s="222"/>
      <c r="J422" s="6"/>
      <c r="K422" s="6"/>
      <c r="L422" s="6"/>
      <c r="M422" s="6"/>
      <c r="N422" s="6"/>
      <c r="O422" s="6"/>
      <c r="P422" s="6"/>
      <c r="Q422" s="6"/>
      <c r="R422" s="6"/>
      <c r="S422" s="6"/>
      <c r="T422" s="6"/>
      <c r="U422" s="6"/>
    </row>
    <row r="423" spans="1:21">
      <c r="A423" s="82"/>
      <c r="B423" s="83"/>
      <c r="C423" s="82"/>
      <c r="D423" s="82"/>
      <c r="E423" s="82"/>
      <c r="F423" s="82"/>
      <c r="G423" s="222"/>
      <c r="H423" s="222"/>
      <c r="I423" s="222"/>
      <c r="J423" s="6"/>
      <c r="K423" s="6"/>
      <c r="L423" s="6"/>
      <c r="M423" s="6"/>
      <c r="N423" s="6"/>
      <c r="O423" s="6"/>
      <c r="P423" s="6"/>
      <c r="Q423" s="6"/>
      <c r="R423" s="6"/>
      <c r="S423" s="6"/>
      <c r="T423" s="6"/>
      <c r="U423" s="6"/>
    </row>
    <row r="424" spans="1:21">
      <c r="A424" s="82"/>
      <c r="B424" s="83"/>
      <c r="C424" s="82"/>
      <c r="D424" s="82"/>
      <c r="E424" s="82"/>
      <c r="F424" s="82"/>
      <c r="G424" s="222"/>
      <c r="H424" s="222"/>
      <c r="I424" s="222"/>
      <c r="J424" s="6"/>
      <c r="K424" s="6"/>
      <c r="L424" s="6"/>
      <c r="M424" s="6"/>
      <c r="N424" s="6"/>
      <c r="O424" s="6"/>
      <c r="P424" s="6"/>
      <c r="Q424" s="6"/>
      <c r="R424" s="6"/>
      <c r="S424" s="6"/>
      <c r="T424" s="6"/>
      <c r="U424" s="6"/>
    </row>
    <row r="425" spans="1:21">
      <c r="A425" s="82"/>
      <c r="B425" s="83"/>
      <c r="C425" s="82"/>
      <c r="D425" s="82"/>
      <c r="E425" s="82"/>
      <c r="F425" s="82"/>
      <c r="G425" s="222"/>
      <c r="H425" s="222"/>
      <c r="I425" s="222"/>
      <c r="J425" s="6"/>
      <c r="K425" s="6"/>
      <c r="L425" s="6"/>
      <c r="M425" s="6"/>
      <c r="N425" s="6"/>
      <c r="O425" s="6"/>
      <c r="P425" s="6"/>
      <c r="Q425" s="6"/>
      <c r="R425" s="6"/>
      <c r="S425" s="6"/>
      <c r="T425" s="6"/>
      <c r="U425" s="6"/>
    </row>
    <row r="426" spans="1:21">
      <c r="A426" s="82"/>
      <c r="B426" s="83"/>
      <c r="C426" s="82"/>
      <c r="D426" s="82"/>
      <c r="E426" s="82"/>
      <c r="F426" s="82"/>
      <c r="G426" s="222"/>
      <c r="H426" s="222"/>
      <c r="I426" s="222"/>
      <c r="J426" s="6"/>
      <c r="K426" s="6"/>
      <c r="L426" s="6"/>
      <c r="M426" s="6"/>
      <c r="N426" s="6"/>
      <c r="O426" s="6"/>
      <c r="P426" s="6"/>
      <c r="Q426" s="6"/>
      <c r="R426" s="6"/>
      <c r="S426" s="6"/>
      <c r="T426" s="6"/>
      <c r="U426" s="6"/>
    </row>
    <row r="427" spans="1:21">
      <c r="A427" s="82"/>
      <c r="B427" s="83"/>
      <c r="C427" s="82"/>
      <c r="D427" s="82"/>
      <c r="E427" s="82"/>
      <c r="F427" s="82"/>
      <c r="G427" s="222"/>
      <c r="H427" s="222"/>
      <c r="I427" s="222"/>
      <c r="J427" s="6"/>
      <c r="K427" s="6"/>
      <c r="L427" s="6"/>
      <c r="M427" s="6"/>
      <c r="N427" s="6"/>
      <c r="O427" s="6"/>
      <c r="P427" s="6"/>
      <c r="Q427" s="6"/>
      <c r="R427" s="6"/>
      <c r="S427" s="6"/>
      <c r="T427" s="6"/>
      <c r="U427" s="6"/>
    </row>
    <row r="428" spans="1:21">
      <c r="A428" s="82"/>
      <c r="B428" s="83"/>
      <c r="C428" s="82"/>
      <c r="D428" s="82"/>
      <c r="E428" s="82"/>
      <c r="F428" s="82"/>
      <c r="G428" s="222"/>
      <c r="H428" s="222"/>
      <c r="I428" s="222"/>
      <c r="J428" s="6"/>
      <c r="K428" s="6"/>
      <c r="L428" s="6"/>
      <c r="M428" s="6"/>
      <c r="N428" s="6"/>
      <c r="O428" s="6"/>
      <c r="P428" s="6"/>
      <c r="Q428" s="6"/>
      <c r="R428" s="6"/>
      <c r="S428" s="6"/>
      <c r="T428" s="6"/>
      <c r="U428" s="6"/>
    </row>
    <row r="429" spans="1:21">
      <c r="A429" s="82"/>
      <c r="B429" s="83"/>
      <c r="C429" s="82"/>
      <c r="D429" s="82"/>
      <c r="E429" s="82"/>
      <c r="F429" s="82"/>
      <c r="G429" s="222"/>
      <c r="H429" s="222"/>
      <c r="I429" s="222"/>
      <c r="J429" s="6"/>
      <c r="K429" s="6"/>
      <c r="L429" s="6"/>
      <c r="M429" s="6"/>
      <c r="N429" s="6"/>
      <c r="O429" s="6"/>
      <c r="P429" s="6"/>
      <c r="Q429" s="6"/>
      <c r="R429" s="6"/>
      <c r="S429" s="6"/>
      <c r="T429" s="6"/>
      <c r="U429" s="6"/>
    </row>
    <row r="430" spans="1:21">
      <c r="A430" s="82"/>
      <c r="B430" s="83"/>
      <c r="C430" s="82"/>
      <c r="D430" s="82"/>
      <c r="E430" s="82"/>
      <c r="F430" s="82"/>
      <c r="G430" s="222"/>
      <c r="H430" s="222"/>
      <c r="I430" s="222"/>
      <c r="J430" s="6"/>
      <c r="K430" s="6"/>
      <c r="L430" s="6"/>
      <c r="M430" s="6"/>
      <c r="N430" s="6"/>
      <c r="O430" s="6"/>
      <c r="P430" s="6"/>
      <c r="Q430" s="6"/>
      <c r="R430" s="6"/>
      <c r="S430" s="6"/>
      <c r="T430" s="6"/>
      <c r="U430" s="6"/>
    </row>
    <row r="431" spans="1:21">
      <c r="A431" s="82"/>
      <c r="B431" s="83"/>
      <c r="C431" s="82"/>
      <c r="D431" s="82"/>
      <c r="E431" s="82"/>
      <c r="F431" s="82"/>
      <c r="G431" s="222"/>
      <c r="H431" s="222"/>
      <c r="I431" s="222"/>
      <c r="J431" s="6"/>
      <c r="K431" s="6"/>
      <c r="L431" s="6"/>
      <c r="M431" s="6"/>
      <c r="N431" s="6"/>
      <c r="O431" s="6"/>
      <c r="P431" s="6"/>
      <c r="Q431" s="6"/>
      <c r="R431" s="6"/>
      <c r="S431" s="6"/>
      <c r="T431" s="6"/>
      <c r="U431" s="6"/>
    </row>
    <row r="432" spans="1:21">
      <c r="A432" s="82"/>
      <c r="B432" s="83"/>
      <c r="C432" s="82"/>
      <c r="D432" s="82"/>
      <c r="E432" s="82"/>
      <c r="F432" s="82"/>
      <c r="G432" s="222"/>
      <c r="H432" s="222"/>
      <c r="I432" s="222"/>
      <c r="J432" s="6"/>
      <c r="K432" s="6"/>
      <c r="L432" s="6"/>
      <c r="M432" s="6"/>
      <c r="N432" s="6"/>
      <c r="O432" s="6"/>
      <c r="P432" s="6"/>
      <c r="Q432" s="6"/>
      <c r="R432" s="6"/>
      <c r="S432" s="6"/>
      <c r="T432" s="6"/>
      <c r="U432" s="6"/>
    </row>
    <row r="433" spans="1:21">
      <c r="A433" s="82"/>
      <c r="B433" s="83"/>
      <c r="C433" s="82"/>
      <c r="D433" s="82"/>
      <c r="E433" s="82"/>
      <c r="F433" s="82"/>
      <c r="G433" s="222"/>
      <c r="H433" s="222"/>
      <c r="I433" s="222"/>
      <c r="J433" s="6"/>
      <c r="K433" s="6"/>
      <c r="L433" s="6"/>
      <c r="M433" s="6"/>
      <c r="N433" s="6"/>
      <c r="O433" s="6"/>
      <c r="P433" s="6"/>
      <c r="Q433" s="6"/>
      <c r="R433" s="6"/>
      <c r="S433" s="6"/>
      <c r="T433" s="6"/>
      <c r="U433" s="6"/>
    </row>
    <row r="434" spans="1:21">
      <c r="A434" s="82"/>
      <c r="B434" s="83"/>
      <c r="C434" s="82"/>
      <c r="D434" s="82"/>
      <c r="E434" s="82"/>
      <c r="F434" s="82"/>
      <c r="G434" s="222"/>
      <c r="H434" s="222"/>
      <c r="I434" s="222"/>
      <c r="J434" s="6"/>
      <c r="K434" s="6"/>
      <c r="L434" s="6"/>
      <c r="M434" s="6"/>
      <c r="N434" s="6"/>
      <c r="O434" s="6"/>
      <c r="P434" s="6"/>
      <c r="Q434" s="6"/>
      <c r="R434" s="6"/>
      <c r="S434" s="6"/>
      <c r="T434" s="6"/>
      <c r="U434" s="6"/>
    </row>
    <row r="435" spans="1:21">
      <c r="A435" s="82"/>
      <c r="B435" s="83"/>
      <c r="C435" s="82"/>
      <c r="D435" s="82"/>
      <c r="E435" s="82"/>
      <c r="F435" s="82"/>
      <c r="G435" s="222"/>
      <c r="H435" s="222"/>
      <c r="I435" s="222"/>
      <c r="J435" s="6"/>
      <c r="K435" s="6"/>
      <c r="L435" s="6"/>
      <c r="M435" s="6"/>
      <c r="N435" s="6"/>
      <c r="O435" s="6"/>
      <c r="P435" s="6"/>
      <c r="Q435" s="6"/>
      <c r="R435" s="6"/>
      <c r="S435" s="6"/>
      <c r="T435" s="6"/>
      <c r="U435" s="6"/>
    </row>
    <row r="436" spans="1:21">
      <c r="A436" s="82"/>
      <c r="B436" s="83"/>
      <c r="C436" s="82"/>
      <c r="D436" s="82"/>
      <c r="E436" s="82"/>
      <c r="F436" s="82"/>
      <c r="G436" s="222"/>
      <c r="H436" s="222"/>
      <c r="I436" s="222"/>
      <c r="J436" s="6"/>
      <c r="K436" s="6"/>
      <c r="L436" s="6"/>
      <c r="M436" s="6"/>
      <c r="N436" s="6"/>
      <c r="O436" s="6"/>
      <c r="P436" s="6"/>
      <c r="Q436" s="6"/>
      <c r="R436" s="6"/>
      <c r="S436" s="6"/>
      <c r="T436" s="6"/>
      <c r="U436" s="6"/>
    </row>
    <row r="437" spans="1:21">
      <c r="A437" s="82"/>
      <c r="B437" s="83"/>
      <c r="C437" s="82"/>
      <c r="D437" s="82"/>
      <c r="E437" s="82"/>
      <c r="F437" s="82"/>
      <c r="G437" s="222"/>
      <c r="H437" s="222"/>
      <c r="I437" s="222"/>
      <c r="J437" s="6"/>
      <c r="K437" s="6"/>
      <c r="L437" s="6"/>
      <c r="M437" s="6"/>
      <c r="N437" s="6"/>
      <c r="O437" s="6"/>
      <c r="P437" s="6"/>
      <c r="Q437" s="6"/>
      <c r="R437" s="6"/>
      <c r="S437" s="6"/>
      <c r="T437" s="6"/>
      <c r="U437" s="6"/>
    </row>
    <row r="438" spans="1:21">
      <c r="A438" s="82"/>
      <c r="B438" s="83"/>
      <c r="C438" s="82"/>
      <c r="D438" s="82"/>
      <c r="E438" s="82"/>
      <c r="F438" s="82"/>
      <c r="G438" s="222"/>
      <c r="H438" s="222"/>
      <c r="I438" s="222"/>
      <c r="J438" s="6"/>
      <c r="K438" s="6"/>
      <c r="L438" s="6"/>
      <c r="M438" s="6"/>
      <c r="N438" s="6"/>
      <c r="O438" s="6"/>
      <c r="P438" s="6"/>
      <c r="Q438" s="6"/>
      <c r="R438" s="6"/>
      <c r="S438" s="6"/>
      <c r="T438" s="6"/>
      <c r="U438" s="6"/>
    </row>
    <row r="439" spans="1:21">
      <c r="A439" s="82"/>
      <c r="B439" s="83"/>
      <c r="C439" s="82"/>
      <c r="D439" s="82"/>
      <c r="E439" s="82"/>
      <c r="F439" s="82"/>
      <c r="G439" s="222"/>
      <c r="H439" s="222"/>
      <c r="I439" s="222"/>
      <c r="J439" s="6"/>
      <c r="K439" s="6"/>
      <c r="L439" s="6"/>
      <c r="M439" s="6"/>
      <c r="N439" s="6"/>
      <c r="O439" s="6"/>
      <c r="P439" s="6"/>
      <c r="Q439" s="6"/>
      <c r="R439" s="6"/>
      <c r="S439" s="6"/>
      <c r="T439" s="6"/>
      <c r="U439" s="6"/>
    </row>
    <row r="440" spans="1:21">
      <c r="A440" s="82"/>
      <c r="B440" s="83"/>
      <c r="C440" s="82"/>
      <c r="D440" s="82"/>
      <c r="E440" s="82"/>
      <c r="F440" s="82"/>
      <c r="G440" s="222"/>
      <c r="H440" s="222"/>
      <c r="I440" s="222"/>
      <c r="J440" s="6"/>
      <c r="K440" s="6"/>
      <c r="L440" s="6"/>
      <c r="M440" s="6"/>
      <c r="N440" s="6"/>
      <c r="O440" s="6"/>
      <c r="P440" s="6"/>
      <c r="Q440" s="6"/>
      <c r="R440" s="6"/>
      <c r="S440" s="6"/>
      <c r="T440" s="6"/>
      <c r="U440" s="6"/>
    </row>
    <row r="441" spans="1:21">
      <c r="A441" s="82"/>
      <c r="B441" s="83"/>
      <c r="C441" s="82"/>
      <c r="D441" s="82"/>
      <c r="E441" s="82"/>
      <c r="F441" s="82"/>
      <c r="G441" s="222"/>
      <c r="H441" s="222"/>
      <c r="I441" s="222"/>
      <c r="J441" s="6"/>
      <c r="K441" s="6"/>
      <c r="L441" s="6"/>
      <c r="M441" s="6"/>
      <c r="N441" s="6"/>
      <c r="O441" s="6"/>
      <c r="P441" s="6"/>
      <c r="Q441" s="6"/>
      <c r="R441" s="6"/>
      <c r="S441" s="6"/>
      <c r="T441" s="6"/>
      <c r="U441" s="6"/>
    </row>
    <row r="442" spans="1:21">
      <c r="A442" s="82"/>
      <c r="B442" s="83"/>
      <c r="C442" s="82"/>
      <c r="D442" s="82"/>
      <c r="E442" s="82"/>
      <c r="F442" s="82"/>
      <c r="G442" s="222"/>
      <c r="H442" s="222"/>
      <c r="I442" s="222"/>
      <c r="J442" s="6"/>
      <c r="K442" s="6"/>
      <c r="L442" s="6"/>
      <c r="M442" s="6"/>
      <c r="N442" s="6"/>
      <c r="O442" s="6"/>
      <c r="P442" s="6"/>
      <c r="Q442" s="6"/>
      <c r="R442" s="6"/>
      <c r="S442" s="6"/>
      <c r="T442" s="6"/>
      <c r="U442" s="6"/>
    </row>
    <row r="443" spans="1:21">
      <c r="A443" s="82"/>
      <c r="B443" s="83"/>
      <c r="C443" s="82"/>
      <c r="D443" s="82"/>
      <c r="E443" s="82"/>
      <c r="F443" s="82"/>
      <c r="G443" s="222"/>
      <c r="H443" s="222"/>
      <c r="I443" s="222"/>
      <c r="J443" s="6"/>
      <c r="K443" s="6"/>
      <c r="L443" s="6"/>
      <c r="M443" s="6"/>
      <c r="N443" s="6"/>
      <c r="O443" s="6"/>
      <c r="P443" s="6"/>
      <c r="Q443" s="6"/>
      <c r="R443" s="6"/>
      <c r="S443" s="6"/>
      <c r="T443" s="6"/>
      <c r="U443" s="6"/>
    </row>
    <row r="444" spans="1:21">
      <c r="A444" s="82"/>
      <c r="B444" s="83"/>
      <c r="C444" s="82"/>
      <c r="D444" s="82"/>
      <c r="E444" s="82"/>
      <c r="F444" s="82"/>
      <c r="G444" s="222"/>
      <c r="H444" s="222"/>
      <c r="I444" s="222"/>
      <c r="J444" s="6"/>
      <c r="K444" s="6"/>
      <c r="L444" s="6"/>
      <c r="M444" s="6"/>
      <c r="N444" s="6"/>
      <c r="O444" s="6"/>
      <c r="P444" s="6"/>
      <c r="Q444" s="6"/>
      <c r="R444" s="6"/>
      <c r="S444" s="6"/>
      <c r="T444" s="6"/>
      <c r="U444" s="6"/>
    </row>
    <row r="445" spans="1:21">
      <c r="A445" s="82"/>
      <c r="B445" s="83"/>
      <c r="C445" s="82"/>
      <c r="D445" s="82"/>
      <c r="E445" s="82"/>
      <c r="F445" s="82"/>
      <c r="G445" s="222"/>
      <c r="H445" s="222"/>
      <c r="I445" s="222"/>
      <c r="J445" s="6"/>
      <c r="K445" s="6"/>
      <c r="L445" s="6"/>
      <c r="M445" s="6"/>
      <c r="N445" s="6"/>
      <c r="O445" s="6"/>
      <c r="P445" s="6"/>
      <c r="Q445" s="6"/>
      <c r="R445" s="6"/>
      <c r="S445" s="6"/>
      <c r="T445" s="6"/>
      <c r="U445" s="6"/>
    </row>
    <row r="446" spans="1:21">
      <c r="A446" s="82"/>
      <c r="B446" s="83"/>
      <c r="C446" s="82"/>
      <c r="D446" s="82"/>
      <c r="E446" s="82"/>
      <c r="F446" s="82"/>
      <c r="G446" s="222"/>
      <c r="H446" s="222"/>
      <c r="I446" s="222"/>
      <c r="J446" s="6"/>
      <c r="K446" s="6"/>
      <c r="L446" s="6"/>
      <c r="M446" s="6"/>
      <c r="N446" s="6"/>
      <c r="O446" s="6"/>
      <c r="P446" s="6"/>
      <c r="Q446" s="6"/>
      <c r="R446" s="6"/>
      <c r="S446" s="6"/>
      <c r="T446" s="6"/>
      <c r="U446" s="6"/>
    </row>
    <row r="447" spans="1:21">
      <c r="A447" s="82"/>
      <c r="B447" s="83"/>
      <c r="C447" s="82"/>
      <c r="D447" s="82"/>
      <c r="E447" s="82"/>
      <c r="F447" s="82"/>
      <c r="G447" s="222"/>
      <c r="H447" s="222"/>
      <c r="I447" s="222"/>
      <c r="J447" s="6"/>
      <c r="K447" s="6"/>
      <c r="L447" s="6"/>
      <c r="M447" s="6"/>
      <c r="N447" s="6"/>
      <c r="O447" s="6"/>
      <c r="P447" s="6"/>
      <c r="Q447" s="6"/>
      <c r="R447" s="6"/>
      <c r="S447" s="6"/>
      <c r="T447" s="6"/>
      <c r="U447" s="6"/>
    </row>
    <row r="448" spans="1:21">
      <c r="A448" s="82"/>
      <c r="B448" s="83"/>
      <c r="C448" s="82"/>
      <c r="D448" s="82"/>
      <c r="E448" s="82"/>
      <c r="F448" s="82"/>
      <c r="G448" s="222"/>
      <c r="H448" s="222"/>
      <c r="I448" s="222"/>
      <c r="J448" s="6"/>
      <c r="K448" s="6"/>
      <c r="L448" s="6"/>
      <c r="M448" s="6"/>
      <c r="N448" s="6"/>
      <c r="O448" s="6"/>
      <c r="P448" s="6"/>
      <c r="Q448" s="6"/>
      <c r="R448" s="6"/>
      <c r="S448" s="6"/>
      <c r="T448" s="6"/>
      <c r="U448" s="6"/>
    </row>
    <row r="449" spans="1:21">
      <c r="A449" s="82"/>
      <c r="B449" s="83"/>
      <c r="C449" s="82"/>
      <c r="D449" s="82"/>
      <c r="E449" s="82"/>
      <c r="F449" s="82"/>
      <c r="G449" s="222"/>
      <c r="H449" s="222"/>
      <c r="I449" s="222"/>
      <c r="J449" s="6"/>
      <c r="K449" s="6"/>
      <c r="L449" s="6"/>
      <c r="M449" s="6"/>
      <c r="N449" s="6"/>
      <c r="O449" s="6"/>
      <c r="P449" s="6"/>
      <c r="Q449" s="6"/>
      <c r="R449" s="6"/>
      <c r="S449" s="6"/>
      <c r="T449" s="6"/>
      <c r="U449" s="6"/>
    </row>
    <row r="450" spans="1:21">
      <c r="A450" s="82"/>
      <c r="B450" s="83"/>
      <c r="C450" s="82"/>
      <c r="D450" s="82"/>
      <c r="E450" s="82"/>
      <c r="F450" s="82"/>
      <c r="G450" s="222"/>
      <c r="H450" s="222"/>
      <c r="I450" s="222"/>
      <c r="J450" s="6"/>
      <c r="K450" s="6"/>
      <c r="L450" s="6"/>
      <c r="M450" s="6"/>
      <c r="N450" s="6"/>
      <c r="O450" s="6"/>
      <c r="P450" s="6"/>
      <c r="Q450" s="6"/>
      <c r="R450" s="6"/>
      <c r="S450" s="6"/>
      <c r="T450" s="6"/>
      <c r="U450" s="6"/>
    </row>
    <row r="451" spans="1:21">
      <c r="A451" s="82"/>
      <c r="B451" s="83"/>
      <c r="C451" s="82"/>
      <c r="D451" s="82"/>
      <c r="E451" s="82"/>
      <c r="F451" s="82"/>
      <c r="G451" s="222"/>
      <c r="H451" s="222"/>
      <c r="I451" s="222"/>
      <c r="J451" s="6"/>
      <c r="K451" s="6"/>
      <c r="L451" s="6"/>
      <c r="M451" s="6"/>
      <c r="N451" s="6"/>
      <c r="O451" s="6"/>
      <c r="P451" s="6"/>
      <c r="Q451" s="6"/>
      <c r="R451" s="6"/>
      <c r="S451" s="6"/>
      <c r="T451" s="6"/>
      <c r="U451" s="6"/>
    </row>
    <row r="452" spans="1:21">
      <c r="A452" s="82"/>
      <c r="B452" s="83"/>
      <c r="C452" s="82"/>
      <c r="D452" s="82"/>
      <c r="E452" s="82"/>
      <c r="F452" s="82"/>
      <c r="G452" s="222"/>
      <c r="H452" s="222"/>
      <c r="I452" s="222"/>
      <c r="J452" s="6"/>
      <c r="K452" s="6"/>
      <c r="L452" s="6"/>
      <c r="M452" s="6"/>
      <c r="N452" s="6"/>
      <c r="O452" s="6"/>
      <c r="P452" s="6"/>
      <c r="Q452" s="6"/>
      <c r="R452" s="6"/>
      <c r="S452" s="6"/>
      <c r="T452" s="6"/>
      <c r="U452" s="6"/>
    </row>
    <row r="453" spans="1:21">
      <c r="A453" s="82"/>
      <c r="B453" s="83"/>
      <c r="C453" s="82"/>
      <c r="D453" s="82"/>
      <c r="E453" s="82"/>
      <c r="F453" s="82"/>
      <c r="G453" s="222"/>
      <c r="H453" s="222"/>
      <c r="I453" s="222"/>
      <c r="J453" s="6"/>
      <c r="K453" s="6"/>
      <c r="L453" s="6"/>
      <c r="M453" s="6"/>
      <c r="N453" s="6"/>
      <c r="O453" s="6"/>
      <c r="P453" s="6"/>
      <c r="Q453" s="6"/>
      <c r="R453" s="6"/>
      <c r="S453" s="6"/>
      <c r="T453" s="6"/>
      <c r="U453" s="6"/>
    </row>
    <row r="454" spans="1:21">
      <c r="A454" s="82"/>
      <c r="B454" s="83"/>
      <c r="C454" s="82"/>
      <c r="D454" s="82"/>
      <c r="E454" s="82"/>
      <c r="F454" s="82"/>
      <c r="G454" s="222"/>
      <c r="H454" s="222"/>
      <c r="I454" s="222"/>
      <c r="J454" s="6"/>
      <c r="K454" s="6"/>
      <c r="L454" s="6"/>
      <c r="M454" s="6"/>
      <c r="N454" s="6"/>
      <c r="O454" s="6"/>
      <c r="P454" s="6"/>
      <c r="Q454" s="6"/>
      <c r="R454" s="6"/>
      <c r="S454" s="6"/>
      <c r="T454" s="6"/>
      <c r="U454" s="6"/>
    </row>
    <row r="455" spans="1:21">
      <c r="A455" s="82"/>
      <c r="B455" s="83"/>
      <c r="C455" s="82"/>
      <c r="D455" s="82"/>
      <c r="E455" s="82"/>
      <c r="F455" s="82"/>
      <c r="G455" s="222"/>
      <c r="H455" s="222"/>
      <c r="I455" s="222"/>
      <c r="J455" s="6"/>
      <c r="K455" s="6"/>
      <c r="L455" s="6"/>
      <c r="M455" s="6"/>
      <c r="N455" s="6"/>
      <c r="O455" s="6"/>
      <c r="P455" s="6"/>
      <c r="Q455" s="6"/>
      <c r="R455" s="6"/>
      <c r="S455" s="6"/>
      <c r="T455" s="6"/>
      <c r="U455" s="6"/>
    </row>
    <row r="456" spans="1:21">
      <c r="A456" s="82"/>
      <c r="B456" s="83"/>
      <c r="C456" s="82"/>
      <c r="D456" s="82"/>
      <c r="E456" s="82"/>
      <c r="F456" s="82"/>
      <c r="G456" s="222"/>
      <c r="H456" s="222"/>
      <c r="I456" s="222"/>
      <c r="J456" s="6"/>
      <c r="K456" s="6"/>
      <c r="L456" s="6"/>
      <c r="M456" s="6"/>
      <c r="N456" s="6"/>
      <c r="O456" s="6"/>
      <c r="P456" s="6"/>
      <c r="Q456" s="6"/>
      <c r="R456" s="6"/>
      <c r="S456" s="6"/>
      <c r="T456" s="6"/>
      <c r="U456" s="6"/>
    </row>
    <row r="457" spans="1:21">
      <c r="A457" s="82"/>
      <c r="B457" s="83"/>
      <c r="C457" s="82"/>
      <c r="D457" s="82"/>
      <c r="E457" s="82"/>
      <c r="F457" s="82"/>
      <c r="G457" s="222"/>
      <c r="H457" s="222"/>
      <c r="I457" s="222"/>
      <c r="J457" s="6"/>
      <c r="K457" s="6"/>
      <c r="L457" s="6"/>
      <c r="M457" s="6"/>
      <c r="N457" s="6"/>
      <c r="O457" s="6"/>
      <c r="P457" s="6"/>
      <c r="Q457" s="6"/>
      <c r="R457" s="6"/>
      <c r="S457" s="6"/>
      <c r="T457" s="6"/>
      <c r="U457" s="6"/>
    </row>
    <row r="458" spans="1:21">
      <c r="A458" s="82"/>
      <c r="B458" s="83"/>
      <c r="C458" s="82"/>
      <c r="D458" s="82"/>
      <c r="E458" s="82"/>
      <c r="F458" s="82"/>
      <c r="G458" s="222"/>
      <c r="H458" s="222"/>
      <c r="I458" s="222"/>
      <c r="J458" s="6"/>
      <c r="K458" s="6"/>
      <c r="L458" s="6"/>
      <c r="M458" s="6"/>
      <c r="N458" s="6"/>
      <c r="O458" s="6"/>
      <c r="P458" s="6"/>
      <c r="Q458" s="6"/>
      <c r="R458" s="6"/>
      <c r="S458" s="6"/>
      <c r="T458" s="6"/>
      <c r="U458" s="6"/>
    </row>
    <row r="459" spans="1:21">
      <c r="A459" s="82"/>
      <c r="B459" s="83"/>
      <c r="C459" s="82"/>
      <c r="D459" s="82"/>
      <c r="E459" s="82"/>
      <c r="F459" s="82"/>
      <c r="G459" s="222"/>
      <c r="H459" s="222"/>
      <c r="I459" s="222"/>
      <c r="J459" s="6"/>
      <c r="K459" s="6"/>
      <c r="L459" s="6"/>
      <c r="M459" s="6"/>
      <c r="N459" s="6"/>
      <c r="O459" s="6"/>
      <c r="P459" s="6"/>
      <c r="Q459" s="6"/>
      <c r="R459" s="6"/>
      <c r="S459" s="6"/>
      <c r="T459" s="6"/>
      <c r="U459" s="6"/>
    </row>
    <row r="460" spans="1:21">
      <c r="A460" s="82"/>
      <c r="B460" s="83"/>
      <c r="C460" s="82"/>
      <c r="D460" s="82"/>
      <c r="E460" s="82"/>
      <c r="F460" s="82"/>
      <c r="G460" s="222"/>
      <c r="H460" s="222"/>
      <c r="I460" s="222"/>
      <c r="J460" s="6"/>
      <c r="K460" s="6"/>
      <c r="L460" s="6"/>
      <c r="M460" s="6"/>
      <c r="N460" s="6"/>
      <c r="O460" s="6"/>
      <c r="P460" s="6"/>
      <c r="Q460" s="6"/>
      <c r="R460" s="6"/>
      <c r="S460" s="6"/>
      <c r="T460" s="6"/>
      <c r="U460" s="6"/>
    </row>
    <row r="461" spans="1:21">
      <c r="A461" s="82"/>
      <c r="B461" s="83"/>
      <c r="C461" s="82"/>
      <c r="D461" s="82"/>
      <c r="E461" s="82"/>
      <c r="F461" s="82"/>
      <c r="G461" s="222"/>
      <c r="H461" s="222"/>
      <c r="I461" s="222"/>
      <c r="J461" s="6"/>
      <c r="K461" s="6"/>
      <c r="L461" s="6"/>
      <c r="M461" s="6"/>
      <c r="N461" s="6"/>
      <c r="O461" s="6"/>
      <c r="P461" s="6"/>
      <c r="Q461" s="6"/>
      <c r="R461" s="6"/>
      <c r="S461" s="6"/>
      <c r="T461" s="6"/>
      <c r="U461" s="6"/>
    </row>
    <row r="462" spans="1:21">
      <c r="A462" s="82"/>
      <c r="B462" s="83"/>
      <c r="C462" s="82"/>
      <c r="D462" s="82"/>
      <c r="E462" s="82"/>
      <c r="F462" s="82"/>
      <c r="G462" s="222"/>
      <c r="H462" s="222"/>
      <c r="I462" s="222"/>
      <c r="J462" s="6"/>
      <c r="K462" s="6"/>
      <c r="L462" s="6"/>
      <c r="M462" s="6"/>
      <c r="N462" s="6"/>
      <c r="O462" s="6"/>
      <c r="P462" s="6"/>
      <c r="Q462" s="6"/>
      <c r="R462" s="6"/>
      <c r="S462" s="6"/>
      <c r="T462" s="6"/>
      <c r="U462" s="6"/>
    </row>
    <row r="463" spans="1:21">
      <c r="A463" s="82"/>
      <c r="B463" s="83"/>
      <c r="C463" s="82"/>
      <c r="D463" s="82"/>
      <c r="E463" s="82"/>
      <c r="F463" s="82"/>
      <c r="G463" s="222"/>
      <c r="H463" s="222"/>
      <c r="I463" s="222"/>
      <c r="J463" s="6"/>
      <c r="K463" s="6"/>
      <c r="L463" s="6"/>
      <c r="M463" s="6"/>
      <c r="N463" s="6"/>
      <c r="O463" s="6"/>
      <c r="P463" s="6"/>
      <c r="Q463" s="6"/>
      <c r="R463" s="6"/>
      <c r="S463" s="6"/>
      <c r="T463" s="6"/>
      <c r="U463" s="6"/>
    </row>
    <row r="464" spans="1:21">
      <c r="A464" s="82"/>
      <c r="B464" s="83"/>
      <c r="C464" s="82"/>
      <c r="D464" s="82"/>
      <c r="E464" s="82"/>
      <c r="F464" s="82"/>
      <c r="G464" s="222"/>
      <c r="H464" s="222"/>
      <c r="I464" s="222"/>
      <c r="J464" s="6"/>
      <c r="K464" s="6"/>
      <c r="L464" s="6"/>
      <c r="M464" s="6"/>
      <c r="N464" s="6"/>
      <c r="O464" s="6"/>
      <c r="P464" s="6"/>
      <c r="Q464" s="6"/>
      <c r="R464" s="6"/>
      <c r="S464" s="6"/>
      <c r="T464" s="6"/>
      <c r="U464" s="6"/>
    </row>
    <row r="465" spans="1:21">
      <c r="A465" s="82"/>
      <c r="B465" s="83"/>
      <c r="C465" s="82"/>
      <c r="D465" s="82"/>
      <c r="E465" s="82"/>
      <c r="F465" s="82"/>
      <c r="G465" s="222"/>
      <c r="H465" s="222"/>
      <c r="I465" s="222"/>
      <c r="J465" s="6"/>
      <c r="K465" s="6"/>
      <c r="L465" s="6"/>
      <c r="M465" s="6"/>
      <c r="N465" s="6"/>
      <c r="O465" s="6"/>
      <c r="P465" s="6"/>
      <c r="Q465" s="6"/>
      <c r="R465" s="6"/>
      <c r="S465" s="6"/>
      <c r="T465" s="6"/>
      <c r="U465" s="6"/>
    </row>
    <row r="466" spans="1:21">
      <c r="A466" s="82"/>
      <c r="B466" s="83"/>
      <c r="C466" s="82"/>
      <c r="D466" s="82"/>
      <c r="E466" s="82"/>
      <c r="F466" s="82"/>
      <c r="G466" s="222"/>
      <c r="H466" s="222"/>
      <c r="I466" s="222"/>
      <c r="J466" s="6"/>
      <c r="K466" s="6"/>
      <c r="L466" s="6"/>
      <c r="M466" s="6"/>
      <c r="N466" s="6"/>
      <c r="O466" s="6"/>
      <c r="P466" s="6"/>
      <c r="Q466" s="6"/>
      <c r="R466" s="6"/>
      <c r="S466" s="6"/>
      <c r="T466" s="6"/>
      <c r="U466" s="6"/>
    </row>
    <row r="467" spans="1:21">
      <c r="A467" s="82"/>
      <c r="B467" s="83"/>
      <c r="C467" s="82"/>
      <c r="D467" s="82"/>
      <c r="E467" s="82"/>
      <c r="F467" s="82"/>
      <c r="G467" s="222"/>
      <c r="H467" s="222"/>
      <c r="I467" s="222"/>
      <c r="J467" s="6"/>
      <c r="K467" s="6"/>
      <c r="L467" s="6"/>
      <c r="M467" s="6"/>
      <c r="N467" s="6"/>
      <c r="O467" s="6"/>
      <c r="P467" s="6"/>
      <c r="Q467" s="6"/>
      <c r="R467" s="6"/>
      <c r="S467" s="6"/>
      <c r="T467" s="6"/>
      <c r="U467" s="6"/>
    </row>
    <row r="468" spans="1:21">
      <c r="A468" s="82"/>
      <c r="B468" s="83"/>
      <c r="C468" s="82"/>
      <c r="D468" s="82"/>
      <c r="E468" s="82"/>
      <c r="F468" s="82"/>
      <c r="G468" s="222"/>
      <c r="H468" s="222"/>
      <c r="I468" s="222"/>
      <c r="J468" s="6"/>
      <c r="K468" s="6"/>
      <c r="L468" s="6"/>
      <c r="M468" s="6"/>
      <c r="N468" s="6"/>
      <c r="O468" s="6"/>
      <c r="P468" s="6"/>
      <c r="Q468" s="6"/>
      <c r="R468" s="6"/>
      <c r="S468" s="6"/>
      <c r="T468" s="6"/>
      <c r="U468" s="6"/>
    </row>
    <row r="469" spans="1:21">
      <c r="A469" s="82"/>
      <c r="B469" s="83"/>
      <c r="C469" s="82"/>
      <c r="D469" s="82"/>
      <c r="E469" s="82"/>
      <c r="F469" s="82"/>
      <c r="G469" s="222"/>
      <c r="H469" s="222"/>
      <c r="I469" s="222"/>
      <c r="J469" s="6"/>
      <c r="K469" s="6"/>
      <c r="L469" s="6"/>
      <c r="M469" s="6"/>
      <c r="N469" s="6"/>
      <c r="O469" s="6"/>
      <c r="P469" s="6"/>
      <c r="Q469" s="6"/>
      <c r="R469" s="6"/>
      <c r="S469" s="6"/>
      <c r="T469" s="6"/>
      <c r="U469" s="6"/>
    </row>
    <row r="470" spans="1:21">
      <c r="A470" s="82"/>
      <c r="B470" s="83"/>
      <c r="C470" s="82"/>
      <c r="D470" s="82"/>
      <c r="E470" s="82"/>
      <c r="F470" s="82"/>
      <c r="G470" s="222"/>
      <c r="H470" s="222"/>
      <c r="I470" s="222"/>
      <c r="J470" s="6"/>
      <c r="K470" s="6"/>
      <c r="L470" s="6"/>
      <c r="M470" s="6"/>
      <c r="N470" s="6"/>
      <c r="O470" s="6"/>
      <c r="P470" s="6"/>
      <c r="Q470" s="6"/>
      <c r="R470" s="6"/>
      <c r="S470" s="6"/>
      <c r="T470" s="6"/>
      <c r="U470" s="6"/>
    </row>
    <row r="471" spans="1:21">
      <c r="A471" s="82"/>
      <c r="B471" s="83"/>
      <c r="C471" s="82"/>
      <c r="D471" s="82"/>
      <c r="E471" s="82"/>
      <c r="F471" s="82"/>
      <c r="G471" s="222"/>
      <c r="H471" s="222"/>
      <c r="I471" s="222"/>
      <c r="J471" s="6"/>
      <c r="K471" s="6"/>
      <c r="L471" s="6"/>
      <c r="M471" s="6"/>
      <c r="N471" s="6"/>
      <c r="O471" s="6"/>
      <c r="P471" s="6"/>
      <c r="Q471" s="6"/>
      <c r="R471" s="6"/>
      <c r="S471" s="6"/>
      <c r="T471" s="6"/>
      <c r="U471" s="6"/>
    </row>
    <row r="472" spans="1:21">
      <c r="A472" s="82"/>
      <c r="B472" s="83"/>
      <c r="C472" s="82"/>
      <c r="D472" s="82"/>
      <c r="E472" s="82"/>
      <c r="F472" s="82"/>
      <c r="G472" s="222"/>
      <c r="H472" s="222"/>
      <c r="I472" s="222"/>
      <c r="J472" s="6"/>
      <c r="K472" s="6"/>
      <c r="L472" s="6"/>
      <c r="M472" s="6"/>
      <c r="N472" s="6"/>
      <c r="O472" s="6"/>
      <c r="P472" s="6"/>
      <c r="Q472" s="6"/>
      <c r="R472" s="6"/>
      <c r="S472" s="6"/>
      <c r="T472" s="6"/>
      <c r="U472" s="6"/>
    </row>
    <row r="473" spans="1:21">
      <c r="A473" s="82"/>
      <c r="B473" s="83"/>
      <c r="C473" s="82"/>
      <c r="D473" s="82"/>
      <c r="E473" s="82"/>
      <c r="F473" s="82"/>
      <c r="G473" s="222"/>
      <c r="H473" s="222"/>
      <c r="I473" s="222"/>
      <c r="J473" s="6"/>
      <c r="K473" s="6"/>
      <c r="L473" s="6"/>
      <c r="M473" s="6"/>
      <c r="N473" s="6"/>
      <c r="O473" s="6"/>
      <c r="P473" s="6"/>
      <c r="Q473" s="6"/>
      <c r="R473" s="6"/>
      <c r="S473" s="6"/>
      <c r="T473" s="6"/>
      <c r="U473" s="6"/>
    </row>
    <row r="474" spans="1:21">
      <c r="A474" s="82"/>
      <c r="B474" s="83"/>
      <c r="C474" s="82"/>
      <c r="D474" s="82"/>
      <c r="E474" s="82"/>
      <c r="F474" s="82"/>
      <c r="G474" s="222"/>
      <c r="H474" s="222"/>
      <c r="I474" s="222"/>
      <c r="J474" s="6"/>
      <c r="K474" s="6"/>
      <c r="L474" s="6"/>
      <c r="M474" s="6"/>
      <c r="N474" s="6"/>
      <c r="O474" s="6"/>
      <c r="P474" s="6"/>
      <c r="Q474" s="6"/>
      <c r="R474" s="6"/>
      <c r="S474" s="6"/>
      <c r="T474" s="6"/>
      <c r="U474" s="6"/>
    </row>
    <row r="475" spans="1:21">
      <c r="A475" s="82"/>
      <c r="B475" s="83"/>
      <c r="C475" s="82"/>
      <c r="D475" s="82"/>
      <c r="E475" s="82"/>
      <c r="F475" s="82"/>
      <c r="G475" s="222"/>
      <c r="H475" s="222"/>
      <c r="I475" s="222"/>
      <c r="J475" s="6"/>
      <c r="K475" s="6"/>
      <c r="L475" s="6"/>
      <c r="M475" s="6"/>
      <c r="N475" s="6"/>
      <c r="O475" s="6"/>
      <c r="P475" s="6"/>
      <c r="Q475" s="6"/>
      <c r="R475" s="6"/>
      <c r="S475" s="6"/>
      <c r="T475" s="6"/>
      <c r="U475" s="6"/>
    </row>
    <row r="476" spans="1:21">
      <c r="A476" s="82"/>
      <c r="B476" s="83"/>
      <c r="C476" s="82"/>
      <c r="D476" s="82"/>
      <c r="E476" s="82"/>
      <c r="F476" s="82"/>
      <c r="G476" s="222"/>
      <c r="H476" s="222"/>
      <c r="I476" s="222"/>
      <c r="J476" s="6"/>
      <c r="K476" s="6"/>
      <c r="L476" s="6"/>
      <c r="M476" s="6"/>
      <c r="N476" s="6"/>
      <c r="O476" s="6"/>
      <c r="P476" s="6"/>
      <c r="Q476" s="6"/>
      <c r="R476" s="6"/>
      <c r="S476" s="6"/>
      <c r="T476" s="6"/>
      <c r="U476" s="6"/>
    </row>
    <row r="477" spans="1:21">
      <c r="A477" s="82"/>
      <c r="B477" s="83"/>
      <c r="C477" s="82"/>
      <c r="D477" s="82"/>
      <c r="E477" s="82"/>
      <c r="F477" s="82"/>
      <c r="G477" s="222"/>
      <c r="H477" s="222"/>
      <c r="I477" s="222"/>
      <c r="J477" s="6"/>
      <c r="K477" s="6"/>
      <c r="L477" s="6"/>
      <c r="M477" s="6"/>
      <c r="N477" s="6"/>
      <c r="O477" s="6"/>
      <c r="P477" s="6"/>
      <c r="Q477" s="6"/>
      <c r="R477" s="6"/>
      <c r="S477" s="6"/>
      <c r="T477" s="6"/>
      <c r="U477" s="6"/>
    </row>
    <row r="478" spans="1:21">
      <c r="A478" s="82"/>
      <c r="B478" s="83"/>
      <c r="C478" s="82"/>
      <c r="D478" s="82"/>
      <c r="E478" s="82"/>
      <c r="F478" s="82"/>
      <c r="G478" s="222"/>
      <c r="H478" s="222"/>
      <c r="I478" s="222"/>
      <c r="J478" s="6"/>
      <c r="K478" s="6"/>
      <c r="L478" s="6"/>
      <c r="M478" s="6"/>
      <c r="N478" s="6"/>
      <c r="O478" s="6"/>
      <c r="P478" s="6"/>
      <c r="Q478" s="6"/>
      <c r="R478" s="6"/>
      <c r="S478" s="6"/>
      <c r="T478" s="6"/>
      <c r="U478" s="6"/>
    </row>
    <row r="479" spans="1:21">
      <c r="A479" s="82"/>
      <c r="B479" s="83"/>
      <c r="C479" s="82"/>
      <c r="D479" s="82"/>
      <c r="E479" s="82"/>
      <c r="F479" s="82"/>
      <c r="G479" s="222"/>
      <c r="H479" s="222"/>
      <c r="I479" s="222"/>
      <c r="J479" s="6"/>
      <c r="K479" s="6"/>
      <c r="L479" s="6"/>
      <c r="M479" s="6"/>
      <c r="N479" s="6"/>
      <c r="O479" s="6"/>
      <c r="P479" s="6"/>
      <c r="Q479" s="6"/>
      <c r="R479" s="6"/>
      <c r="S479" s="6"/>
      <c r="T479" s="6"/>
      <c r="U479" s="6"/>
    </row>
    <row r="480" spans="1:21">
      <c r="A480" s="82"/>
      <c r="B480" s="83"/>
      <c r="C480" s="82"/>
      <c r="D480" s="82"/>
      <c r="E480" s="82"/>
      <c r="F480" s="82"/>
      <c r="G480" s="222"/>
      <c r="H480" s="222"/>
      <c r="I480" s="222"/>
      <c r="J480" s="6"/>
      <c r="K480" s="6"/>
      <c r="L480" s="6"/>
      <c r="M480" s="6"/>
      <c r="N480" s="6"/>
      <c r="O480" s="6"/>
      <c r="P480" s="6"/>
      <c r="Q480" s="6"/>
      <c r="R480" s="6"/>
      <c r="S480" s="6"/>
      <c r="T480" s="6"/>
      <c r="U480" s="6"/>
    </row>
    <row r="481" spans="1:21">
      <c r="A481" s="82"/>
      <c r="B481" s="83"/>
      <c r="C481" s="82"/>
      <c r="D481" s="82"/>
      <c r="E481" s="82"/>
      <c r="F481" s="82"/>
      <c r="G481" s="222"/>
      <c r="H481" s="222"/>
      <c r="I481" s="222"/>
      <c r="J481" s="6"/>
      <c r="K481" s="6"/>
      <c r="L481" s="6"/>
      <c r="M481" s="6"/>
      <c r="N481" s="6"/>
      <c r="O481" s="6"/>
      <c r="P481" s="6"/>
      <c r="Q481" s="6"/>
      <c r="R481" s="6"/>
      <c r="S481" s="6"/>
      <c r="T481" s="6"/>
      <c r="U481" s="6"/>
    </row>
    <row r="482" spans="1:21">
      <c r="A482" s="82"/>
      <c r="B482" s="83"/>
      <c r="C482" s="82"/>
      <c r="D482" s="82"/>
      <c r="E482" s="82"/>
      <c r="F482" s="82"/>
      <c r="G482" s="222"/>
      <c r="H482" s="222"/>
      <c r="I482" s="222"/>
      <c r="J482" s="6"/>
      <c r="K482" s="6"/>
      <c r="L482" s="6"/>
      <c r="M482" s="6"/>
      <c r="N482" s="6"/>
      <c r="O482" s="6"/>
      <c r="P482" s="6"/>
      <c r="Q482" s="6"/>
      <c r="R482" s="6"/>
      <c r="S482" s="6"/>
      <c r="T482" s="6"/>
      <c r="U482" s="6"/>
    </row>
    <row r="483" spans="1:21">
      <c r="A483" s="82"/>
      <c r="B483" s="83"/>
      <c r="C483" s="82"/>
      <c r="D483" s="82"/>
      <c r="E483" s="82"/>
      <c r="F483" s="82"/>
      <c r="G483" s="222"/>
      <c r="H483" s="222"/>
      <c r="I483" s="222"/>
      <c r="J483" s="6"/>
      <c r="K483" s="6"/>
      <c r="L483" s="6"/>
      <c r="M483" s="6"/>
      <c r="N483" s="6"/>
      <c r="O483" s="6"/>
      <c r="P483" s="6"/>
      <c r="Q483" s="6"/>
      <c r="R483" s="6"/>
      <c r="S483" s="6"/>
      <c r="T483" s="6"/>
      <c r="U483" s="6"/>
    </row>
    <row r="484" spans="1:21">
      <c r="A484" s="82"/>
      <c r="B484" s="83"/>
      <c r="C484" s="82"/>
      <c r="D484" s="82"/>
      <c r="E484" s="82"/>
      <c r="F484" s="82"/>
      <c r="G484" s="222"/>
      <c r="H484" s="222"/>
      <c r="I484" s="222"/>
      <c r="J484" s="6"/>
      <c r="K484" s="6"/>
      <c r="L484" s="6"/>
      <c r="M484" s="6"/>
      <c r="N484" s="6"/>
      <c r="O484" s="6"/>
      <c r="P484" s="6"/>
      <c r="Q484" s="6"/>
      <c r="R484" s="6"/>
      <c r="S484" s="6"/>
      <c r="T484" s="6"/>
      <c r="U484" s="6"/>
    </row>
    <row r="485" spans="1:21">
      <c r="A485" s="82"/>
      <c r="B485" s="83"/>
      <c r="C485" s="82"/>
      <c r="D485" s="82"/>
      <c r="E485" s="82"/>
      <c r="F485" s="82"/>
      <c r="G485" s="222"/>
      <c r="H485" s="222"/>
      <c r="I485" s="222"/>
      <c r="J485" s="6"/>
      <c r="K485" s="6"/>
      <c r="L485" s="6"/>
      <c r="M485" s="6"/>
      <c r="N485" s="6"/>
      <c r="O485" s="6"/>
      <c r="P485" s="6"/>
      <c r="Q485" s="6"/>
      <c r="R485" s="6"/>
      <c r="S485" s="6"/>
      <c r="T485" s="6"/>
      <c r="U485" s="6"/>
    </row>
    <row r="486" spans="1:21">
      <c r="A486" s="82"/>
      <c r="B486" s="83"/>
      <c r="C486" s="82"/>
      <c r="D486" s="82"/>
      <c r="E486" s="82"/>
      <c r="F486" s="82"/>
      <c r="G486" s="222"/>
      <c r="H486" s="222"/>
      <c r="I486" s="222"/>
      <c r="J486" s="6"/>
      <c r="K486" s="6"/>
      <c r="L486" s="6"/>
      <c r="M486" s="6"/>
      <c r="N486" s="6"/>
      <c r="O486" s="6"/>
      <c r="P486" s="6"/>
      <c r="Q486" s="6"/>
      <c r="R486" s="6"/>
      <c r="S486" s="6"/>
      <c r="T486" s="6"/>
      <c r="U486" s="6"/>
    </row>
    <row r="487" spans="1:21">
      <c r="A487" s="82"/>
      <c r="B487" s="83"/>
      <c r="C487" s="82"/>
      <c r="D487" s="82"/>
      <c r="E487" s="82"/>
      <c r="F487" s="82"/>
      <c r="G487" s="222"/>
      <c r="H487" s="222"/>
      <c r="I487" s="222"/>
      <c r="J487" s="6"/>
      <c r="K487" s="6"/>
      <c r="L487" s="6"/>
      <c r="M487" s="6"/>
      <c r="N487" s="6"/>
      <c r="O487" s="6"/>
      <c r="P487" s="6"/>
      <c r="Q487" s="6"/>
      <c r="R487" s="6"/>
      <c r="S487" s="6"/>
      <c r="T487" s="6"/>
      <c r="U487" s="6"/>
    </row>
    <row r="488" spans="1:21">
      <c r="A488" s="82"/>
      <c r="B488" s="83"/>
      <c r="C488" s="82"/>
      <c r="D488" s="82"/>
      <c r="E488" s="82"/>
      <c r="F488" s="82"/>
      <c r="G488" s="222"/>
      <c r="H488" s="222"/>
      <c r="I488" s="222"/>
      <c r="J488" s="6"/>
      <c r="K488" s="6"/>
      <c r="L488" s="6"/>
      <c r="M488" s="6"/>
      <c r="N488" s="6"/>
      <c r="O488" s="6"/>
      <c r="P488" s="6"/>
      <c r="Q488" s="6"/>
      <c r="R488" s="6"/>
      <c r="S488" s="6"/>
      <c r="T488" s="6"/>
      <c r="U488" s="6"/>
    </row>
    <row r="489" spans="1:21">
      <c r="A489" s="82"/>
      <c r="B489" s="83"/>
      <c r="C489" s="82"/>
      <c r="D489" s="82"/>
      <c r="E489" s="82"/>
      <c r="F489" s="82"/>
      <c r="G489" s="222"/>
      <c r="H489" s="222"/>
      <c r="I489" s="222"/>
      <c r="J489" s="6"/>
      <c r="K489" s="6"/>
      <c r="L489" s="6"/>
      <c r="M489" s="6"/>
      <c r="N489" s="6"/>
      <c r="O489" s="6"/>
      <c r="P489" s="6"/>
      <c r="Q489" s="6"/>
      <c r="R489" s="6"/>
      <c r="S489" s="6"/>
      <c r="T489" s="6"/>
      <c r="U489" s="6"/>
    </row>
    <row r="490" spans="1:21">
      <c r="A490" s="82"/>
      <c r="B490" s="83"/>
      <c r="C490" s="82"/>
      <c r="D490" s="82"/>
      <c r="E490" s="82"/>
      <c r="F490" s="82"/>
      <c r="G490" s="222"/>
      <c r="H490" s="222"/>
      <c r="I490" s="222"/>
      <c r="J490" s="6"/>
      <c r="K490" s="6"/>
      <c r="L490" s="6"/>
      <c r="M490" s="6"/>
      <c r="N490" s="6"/>
      <c r="O490" s="6"/>
      <c r="P490" s="6"/>
      <c r="Q490" s="6"/>
      <c r="R490" s="6"/>
      <c r="S490" s="6"/>
      <c r="T490" s="6"/>
      <c r="U490" s="6"/>
    </row>
    <row r="491" spans="1:21">
      <c r="A491" s="82"/>
      <c r="B491" s="83"/>
      <c r="C491" s="82"/>
      <c r="D491" s="82"/>
      <c r="E491" s="82"/>
      <c r="F491" s="82"/>
      <c r="G491" s="222"/>
      <c r="H491" s="222"/>
      <c r="I491" s="222"/>
      <c r="J491" s="6"/>
      <c r="K491" s="6"/>
      <c r="L491" s="6"/>
      <c r="M491" s="6"/>
      <c r="N491" s="6"/>
      <c r="O491" s="6"/>
      <c r="P491" s="6"/>
      <c r="Q491" s="6"/>
      <c r="R491" s="6"/>
      <c r="S491" s="6"/>
      <c r="T491" s="6"/>
      <c r="U491" s="6"/>
    </row>
    <row r="492" spans="1:21">
      <c r="A492" s="82"/>
      <c r="B492" s="83"/>
      <c r="C492" s="82"/>
      <c r="D492" s="82"/>
      <c r="E492" s="82"/>
      <c r="F492" s="82"/>
      <c r="G492" s="222"/>
      <c r="H492" s="222"/>
      <c r="I492" s="222"/>
      <c r="J492" s="6"/>
      <c r="K492" s="6"/>
      <c r="L492" s="6"/>
      <c r="M492" s="6"/>
      <c r="N492" s="6"/>
      <c r="O492" s="6"/>
      <c r="P492" s="6"/>
      <c r="Q492" s="6"/>
      <c r="R492" s="6"/>
      <c r="S492" s="6"/>
      <c r="T492" s="6"/>
      <c r="U492" s="6"/>
    </row>
    <row r="493" spans="1:21">
      <c r="A493" s="82"/>
      <c r="B493" s="83"/>
      <c r="C493" s="82"/>
      <c r="D493" s="82"/>
      <c r="E493" s="82"/>
      <c r="F493" s="82"/>
      <c r="G493" s="222"/>
      <c r="H493" s="222"/>
      <c r="I493" s="222"/>
      <c r="J493" s="6"/>
      <c r="K493" s="6"/>
      <c r="L493" s="6"/>
      <c r="M493" s="6"/>
      <c r="N493" s="6"/>
      <c r="O493" s="6"/>
      <c r="P493" s="6"/>
      <c r="Q493" s="6"/>
      <c r="R493" s="6"/>
      <c r="S493" s="6"/>
      <c r="T493" s="6"/>
      <c r="U493" s="6"/>
    </row>
    <row r="494" spans="1:21">
      <c r="A494" s="82"/>
      <c r="B494" s="83"/>
      <c r="C494" s="82"/>
      <c r="D494" s="82"/>
      <c r="E494" s="82"/>
      <c r="F494" s="82"/>
      <c r="G494" s="222"/>
      <c r="H494" s="222"/>
      <c r="I494" s="222"/>
      <c r="J494" s="6"/>
      <c r="K494" s="6"/>
      <c r="L494" s="6"/>
      <c r="M494" s="6"/>
      <c r="N494" s="6"/>
      <c r="O494" s="6"/>
      <c r="P494" s="6"/>
      <c r="Q494" s="6"/>
      <c r="R494" s="6"/>
      <c r="S494" s="6"/>
      <c r="T494" s="6"/>
      <c r="U494" s="6"/>
    </row>
    <row r="495" spans="1:21">
      <c r="A495" s="82"/>
      <c r="B495" s="83"/>
      <c r="C495" s="82"/>
      <c r="D495" s="82"/>
      <c r="E495" s="82"/>
      <c r="F495" s="82"/>
      <c r="G495" s="222"/>
      <c r="H495" s="222"/>
      <c r="I495" s="222"/>
      <c r="J495" s="6"/>
      <c r="K495" s="6"/>
      <c r="L495" s="6"/>
      <c r="M495" s="6"/>
      <c r="N495" s="6"/>
      <c r="O495" s="6"/>
      <c r="P495" s="6"/>
      <c r="Q495" s="6"/>
      <c r="R495" s="6"/>
      <c r="S495" s="6"/>
      <c r="T495" s="6"/>
      <c r="U495" s="6"/>
    </row>
    <row r="496" spans="1:21">
      <c r="A496" s="82"/>
      <c r="B496" s="83"/>
      <c r="C496" s="82"/>
      <c r="D496" s="82"/>
      <c r="E496" s="82"/>
      <c r="F496" s="82"/>
      <c r="G496" s="222"/>
      <c r="H496" s="222"/>
      <c r="I496" s="222"/>
      <c r="J496" s="6"/>
      <c r="K496" s="6"/>
      <c r="L496" s="6"/>
      <c r="M496" s="6"/>
      <c r="N496" s="6"/>
      <c r="O496" s="6"/>
      <c r="P496" s="6"/>
      <c r="Q496" s="6"/>
      <c r="R496" s="6"/>
      <c r="S496" s="6"/>
      <c r="T496" s="6"/>
      <c r="U496" s="6"/>
    </row>
    <row r="497" spans="1:21">
      <c r="A497" s="82"/>
      <c r="B497" s="83"/>
      <c r="C497" s="82"/>
      <c r="D497" s="82"/>
      <c r="E497" s="82"/>
      <c r="F497" s="82"/>
      <c r="G497" s="222"/>
      <c r="H497" s="222"/>
      <c r="I497" s="222"/>
      <c r="J497" s="6"/>
      <c r="K497" s="6"/>
      <c r="L497" s="6"/>
      <c r="M497" s="6"/>
      <c r="N497" s="6"/>
      <c r="O497" s="6"/>
      <c r="P497" s="6"/>
      <c r="Q497" s="6"/>
      <c r="R497" s="6"/>
      <c r="S497" s="6"/>
      <c r="T497" s="6"/>
      <c r="U497" s="6"/>
    </row>
    <row r="498" spans="1:21">
      <c r="A498" s="82"/>
      <c r="B498" s="83"/>
      <c r="C498" s="82"/>
      <c r="D498" s="82"/>
      <c r="E498" s="82"/>
      <c r="F498" s="82"/>
      <c r="G498" s="222"/>
      <c r="H498" s="222"/>
      <c r="I498" s="222"/>
      <c r="J498" s="6"/>
      <c r="K498" s="6"/>
      <c r="L498" s="6"/>
      <c r="M498" s="6"/>
      <c r="N498" s="6"/>
      <c r="O498" s="6"/>
      <c r="P498" s="6"/>
      <c r="Q498" s="6"/>
      <c r="R498" s="6"/>
      <c r="S498" s="6"/>
      <c r="T498" s="6"/>
      <c r="U498" s="6"/>
    </row>
    <row r="499" spans="1:21">
      <c r="A499" s="82"/>
      <c r="B499" s="83"/>
      <c r="C499" s="82"/>
      <c r="D499" s="82"/>
      <c r="E499" s="82"/>
      <c r="F499" s="82"/>
      <c r="G499" s="222"/>
      <c r="H499" s="222"/>
      <c r="I499" s="222"/>
      <c r="J499" s="6"/>
      <c r="K499" s="6"/>
      <c r="L499" s="6"/>
      <c r="M499" s="6"/>
      <c r="N499" s="6"/>
      <c r="O499" s="6"/>
      <c r="P499" s="6"/>
      <c r="Q499" s="6"/>
      <c r="R499" s="6"/>
      <c r="S499" s="6"/>
      <c r="T499" s="6"/>
      <c r="U499" s="6"/>
    </row>
    <row r="500" spans="1:21">
      <c r="A500" s="82"/>
      <c r="B500" s="83"/>
      <c r="C500" s="82"/>
      <c r="D500" s="82"/>
      <c r="E500" s="82"/>
      <c r="F500" s="82"/>
      <c r="G500" s="222"/>
      <c r="H500" s="222"/>
      <c r="I500" s="222"/>
      <c r="J500" s="6"/>
      <c r="K500" s="6"/>
      <c r="L500" s="6"/>
      <c r="M500" s="6"/>
      <c r="N500" s="6"/>
      <c r="O500" s="6"/>
      <c r="P500" s="6"/>
      <c r="Q500" s="6"/>
      <c r="R500" s="6"/>
      <c r="S500" s="6"/>
      <c r="T500" s="6"/>
      <c r="U500" s="6"/>
    </row>
    <row r="501" spans="1:21">
      <c r="A501" s="82"/>
      <c r="B501" s="83"/>
      <c r="C501" s="82"/>
      <c r="D501" s="82"/>
      <c r="E501" s="82"/>
      <c r="F501" s="82"/>
      <c r="G501" s="222"/>
      <c r="H501" s="222"/>
      <c r="I501" s="222"/>
      <c r="J501" s="6"/>
      <c r="K501" s="6"/>
      <c r="L501" s="6"/>
      <c r="M501" s="6"/>
      <c r="N501" s="6"/>
      <c r="O501" s="6"/>
      <c r="P501" s="6"/>
      <c r="Q501" s="6"/>
      <c r="R501" s="6"/>
      <c r="S501" s="6"/>
      <c r="T501" s="6"/>
      <c r="U501" s="6"/>
    </row>
    <row r="502" spans="1:21">
      <c r="A502" s="82"/>
      <c r="B502" s="83"/>
      <c r="C502" s="82"/>
      <c r="D502" s="82"/>
      <c r="E502" s="82"/>
      <c r="F502" s="82"/>
      <c r="G502" s="222"/>
      <c r="H502" s="222"/>
      <c r="I502" s="222"/>
      <c r="J502" s="6"/>
      <c r="K502" s="6"/>
      <c r="L502" s="6"/>
      <c r="M502" s="6"/>
      <c r="N502" s="6"/>
      <c r="O502" s="6"/>
      <c r="P502" s="6"/>
      <c r="Q502" s="6"/>
      <c r="R502" s="6"/>
      <c r="S502" s="6"/>
      <c r="T502" s="6"/>
      <c r="U502" s="6"/>
    </row>
    <row r="503" spans="1:21">
      <c r="A503" s="82"/>
      <c r="B503" s="83"/>
      <c r="C503" s="82"/>
      <c r="D503" s="82"/>
      <c r="E503" s="82"/>
      <c r="F503" s="82"/>
      <c r="G503" s="222"/>
      <c r="H503" s="222"/>
      <c r="I503" s="222"/>
      <c r="J503" s="6"/>
      <c r="K503" s="6"/>
      <c r="L503" s="6"/>
      <c r="M503" s="6"/>
      <c r="N503" s="6"/>
      <c r="O503" s="6"/>
      <c r="P503" s="6"/>
      <c r="Q503" s="6"/>
      <c r="R503" s="6"/>
      <c r="S503" s="6"/>
      <c r="T503" s="6"/>
      <c r="U503" s="6"/>
    </row>
    <row r="504" spans="1:21">
      <c r="A504" s="82"/>
      <c r="B504" s="83"/>
      <c r="C504" s="82"/>
      <c r="D504" s="82"/>
      <c r="E504" s="82"/>
      <c r="F504" s="82"/>
      <c r="G504" s="222"/>
      <c r="H504" s="222"/>
      <c r="I504" s="222"/>
      <c r="J504" s="6"/>
      <c r="K504" s="6"/>
      <c r="L504" s="6"/>
      <c r="M504" s="6"/>
      <c r="N504" s="6"/>
      <c r="O504" s="6"/>
      <c r="P504" s="6"/>
      <c r="Q504" s="6"/>
      <c r="R504" s="6"/>
      <c r="S504" s="6"/>
      <c r="T504" s="6"/>
      <c r="U504" s="6"/>
    </row>
    <row r="505" spans="1:21">
      <c r="A505" s="82"/>
      <c r="B505" s="83"/>
      <c r="C505" s="82"/>
      <c r="D505" s="82"/>
      <c r="E505" s="82"/>
      <c r="F505" s="82"/>
      <c r="G505" s="222"/>
      <c r="H505" s="222"/>
      <c r="I505" s="222"/>
      <c r="J505" s="6"/>
      <c r="K505" s="6"/>
      <c r="L505" s="6"/>
      <c r="M505" s="6"/>
      <c r="N505" s="6"/>
      <c r="O505" s="6"/>
      <c r="P505" s="6"/>
      <c r="Q505" s="6"/>
      <c r="R505" s="6"/>
      <c r="S505" s="6"/>
      <c r="T505" s="6"/>
      <c r="U505" s="6"/>
    </row>
    <row r="506" spans="1:21">
      <c r="A506" s="82"/>
      <c r="B506" s="83"/>
      <c r="C506" s="82"/>
      <c r="D506" s="82"/>
      <c r="E506" s="82"/>
      <c r="F506" s="82"/>
      <c r="G506" s="222"/>
      <c r="H506" s="222"/>
      <c r="I506" s="222"/>
      <c r="J506" s="6"/>
      <c r="K506" s="6"/>
      <c r="L506" s="6"/>
      <c r="M506" s="6"/>
      <c r="N506" s="6"/>
      <c r="O506" s="6"/>
      <c r="P506" s="6"/>
      <c r="Q506" s="6"/>
      <c r="R506" s="6"/>
      <c r="S506" s="6"/>
      <c r="T506" s="6"/>
      <c r="U506" s="6"/>
    </row>
    <row r="507" spans="1:21">
      <c r="A507" s="82"/>
      <c r="B507" s="83"/>
      <c r="C507" s="82"/>
      <c r="D507" s="82"/>
      <c r="E507" s="82"/>
      <c r="F507" s="82"/>
      <c r="G507" s="222"/>
      <c r="H507" s="222"/>
      <c r="I507" s="222"/>
      <c r="J507" s="6"/>
      <c r="K507" s="6"/>
      <c r="L507" s="6"/>
      <c r="M507" s="6"/>
      <c r="N507" s="6"/>
      <c r="O507" s="6"/>
      <c r="P507" s="6"/>
      <c r="Q507" s="6"/>
      <c r="R507" s="6"/>
      <c r="S507" s="6"/>
      <c r="T507" s="6"/>
      <c r="U507" s="6"/>
    </row>
    <row r="508" spans="1:21">
      <c r="A508" s="82"/>
      <c r="B508" s="83"/>
      <c r="C508" s="82"/>
      <c r="D508" s="82"/>
      <c r="E508" s="82"/>
      <c r="F508" s="82"/>
      <c r="G508" s="222"/>
      <c r="H508" s="222"/>
      <c r="I508" s="222"/>
      <c r="J508" s="6"/>
      <c r="K508" s="6"/>
      <c r="L508" s="6"/>
      <c r="M508" s="6"/>
      <c r="N508" s="6"/>
      <c r="O508" s="6"/>
      <c r="P508" s="6"/>
      <c r="Q508" s="6"/>
      <c r="R508" s="6"/>
      <c r="S508" s="6"/>
      <c r="T508" s="6"/>
      <c r="U508" s="6"/>
    </row>
    <row r="509" spans="1:21">
      <c r="A509" s="82"/>
      <c r="B509" s="83"/>
      <c r="C509" s="82"/>
      <c r="D509" s="82"/>
      <c r="E509" s="82"/>
      <c r="F509" s="82"/>
      <c r="G509" s="222"/>
      <c r="H509" s="222"/>
      <c r="I509" s="222"/>
      <c r="J509" s="6"/>
      <c r="K509" s="6"/>
      <c r="L509" s="6"/>
      <c r="M509" s="6"/>
      <c r="N509" s="6"/>
      <c r="O509" s="6"/>
      <c r="P509" s="6"/>
      <c r="Q509" s="6"/>
      <c r="R509" s="6"/>
      <c r="S509" s="6"/>
      <c r="T509" s="6"/>
      <c r="U509" s="6"/>
    </row>
    <row r="510" spans="1:21">
      <c r="A510" s="82"/>
      <c r="B510" s="83"/>
      <c r="C510" s="82"/>
      <c r="D510" s="82"/>
      <c r="E510" s="82"/>
      <c r="F510" s="82"/>
      <c r="G510" s="222"/>
      <c r="H510" s="222"/>
      <c r="I510" s="222"/>
      <c r="J510" s="6"/>
      <c r="K510" s="6"/>
      <c r="L510" s="6"/>
      <c r="M510" s="6"/>
      <c r="N510" s="6"/>
      <c r="O510" s="6"/>
      <c r="P510" s="6"/>
      <c r="Q510" s="6"/>
      <c r="R510" s="6"/>
      <c r="S510" s="6"/>
      <c r="T510" s="6"/>
      <c r="U510" s="6"/>
    </row>
    <row r="511" spans="1:21">
      <c r="A511" s="82"/>
      <c r="B511" s="83"/>
      <c r="C511" s="82"/>
      <c r="D511" s="82"/>
      <c r="E511" s="82"/>
      <c r="F511" s="82"/>
      <c r="G511" s="222"/>
      <c r="H511" s="222"/>
      <c r="I511" s="222"/>
      <c r="J511" s="6"/>
      <c r="K511" s="6"/>
      <c r="L511" s="6"/>
      <c r="M511" s="6"/>
      <c r="N511" s="6"/>
      <c r="O511" s="6"/>
      <c r="P511" s="6"/>
      <c r="Q511" s="6"/>
      <c r="R511" s="6"/>
      <c r="S511" s="6"/>
      <c r="T511" s="6"/>
      <c r="U511" s="6"/>
    </row>
    <row r="512" spans="1:21">
      <c r="A512" s="82"/>
      <c r="B512" s="83"/>
      <c r="C512" s="82"/>
      <c r="D512" s="82"/>
      <c r="E512" s="82"/>
      <c r="F512" s="82"/>
      <c r="G512" s="222"/>
      <c r="H512" s="222"/>
      <c r="I512" s="222"/>
      <c r="J512" s="6"/>
      <c r="K512" s="6"/>
      <c r="L512" s="6"/>
      <c r="M512" s="6"/>
      <c r="N512" s="6"/>
      <c r="O512" s="6"/>
      <c r="P512" s="6"/>
      <c r="Q512" s="6"/>
      <c r="R512" s="6"/>
      <c r="S512" s="6"/>
      <c r="T512" s="6"/>
      <c r="U512" s="6"/>
    </row>
    <row r="513" spans="1:21">
      <c r="A513" s="82"/>
      <c r="B513" s="83"/>
      <c r="C513" s="82"/>
      <c r="D513" s="82"/>
      <c r="E513" s="82"/>
      <c r="F513" s="82"/>
      <c r="G513" s="222"/>
      <c r="H513" s="222"/>
      <c r="I513" s="222"/>
      <c r="J513" s="6"/>
      <c r="K513" s="6"/>
      <c r="L513" s="6"/>
      <c r="M513" s="6"/>
      <c r="N513" s="6"/>
      <c r="O513" s="6"/>
      <c r="P513" s="6"/>
      <c r="Q513" s="6"/>
      <c r="R513" s="6"/>
      <c r="S513" s="6"/>
      <c r="T513" s="6"/>
      <c r="U513" s="6"/>
    </row>
    <row r="514" spans="1:21">
      <c r="A514" s="82"/>
      <c r="B514" s="83"/>
      <c r="C514" s="82"/>
      <c r="D514" s="82"/>
      <c r="E514" s="82"/>
      <c r="F514" s="82"/>
      <c r="G514" s="222"/>
      <c r="H514" s="222"/>
      <c r="I514" s="222"/>
      <c r="J514" s="6"/>
      <c r="K514" s="6"/>
      <c r="L514" s="6"/>
      <c r="M514" s="6"/>
      <c r="N514" s="6"/>
      <c r="O514" s="6"/>
      <c r="P514" s="6"/>
      <c r="Q514" s="6"/>
      <c r="R514" s="6"/>
      <c r="S514" s="6"/>
      <c r="T514" s="6"/>
      <c r="U514" s="6"/>
    </row>
    <row r="515" spans="1:21">
      <c r="A515" s="82"/>
      <c r="B515" s="83"/>
      <c r="C515" s="82"/>
      <c r="D515" s="82"/>
      <c r="E515" s="82"/>
      <c r="F515" s="82"/>
      <c r="G515" s="222"/>
      <c r="H515" s="222"/>
      <c r="I515" s="222"/>
      <c r="J515" s="6"/>
      <c r="K515" s="6"/>
      <c r="L515" s="6"/>
      <c r="M515" s="6"/>
      <c r="N515" s="6"/>
      <c r="O515" s="6"/>
      <c r="P515" s="6"/>
      <c r="Q515" s="6"/>
      <c r="R515" s="6"/>
      <c r="S515" s="6"/>
      <c r="T515" s="6"/>
      <c r="U515" s="6"/>
    </row>
    <row r="516" spans="1:21">
      <c r="A516" s="82"/>
      <c r="B516" s="83"/>
      <c r="C516" s="82"/>
      <c r="D516" s="82"/>
      <c r="E516" s="82"/>
      <c r="F516" s="82"/>
      <c r="G516" s="222"/>
      <c r="H516" s="222"/>
      <c r="I516" s="222"/>
      <c r="J516" s="6"/>
      <c r="K516" s="6"/>
      <c r="L516" s="6"/>
      <c r="M516" s="6"/>
      <c r="N516" s="6"/>
      <c r="O516" s="6"/>
      <c r="P516" s="6"/>
      <c r="Q516" s="6"/>
      <c r="R516" s="6"/>
      <c r="S516" s="6"/>
      <c r="T516" s="6"/>
      <c r="U516" s="6"/>
    </row>
    <row r="517" spans="1:21">
      <c r="A517" s="82"/>
      <c r="B517" s="83"/>
      <c r="C517" s="82"/>
      <c r="D517" s="82"/>
      <c r="E517" s="82"/>
      <c r="F517" s="82"/>
      <c r="G517" s="222"/>
      <c r="H517" s="222"/>
      <c r="I517" s="222"/>
      <c r="J517" s="6"/>
      <c r="K517" s="6"/>
      <c r="L517" s="6"/>
      <c r="M517" s="6"/>
      <c r="N517" s="6"/>
      <c r="O517" s="6"/>
      <c r="P517" s="6"/>
      <c r="Q517" s="6"/>
      <c r="R517" s="6"/>
      <c r="S517" s="6"/>
      <c r="T517" s="6"/>
      <c r="U517" s="6"/>
    </row>
    <row r="518" spans="1:21">
      <c r="A518" s="82"/>
      <c r="B518" s="83"/>
      <c r="C518" s="82"/>
      <c r="D518" s="82"/>
      <c r="E518" s="82"/>
      <c r="F518" s="82"/>
      <c r="G518" s="222"/>
      <c r="H518" s="222"/>
      <c r="I518" s="222"/>
      <c r="J518" s="6"/>
      <c r="K518" s="6"/>
      <c r="L518" s="6"/>
      <c r="M518" s="6"/>
      <c r="N518" s="6"/>
      <c r="O518" s="6"/>
      <c r="P518" s="6"/>
      <c r="Q518" s="6"/>
      <c r="R518" s="6"/>
      <c r="S518" s="6"/>
      <c r="T518" s="6"/>
      <c r="U518" s="6"/>
    </row>
    <row r="519" spans="1:21">
      <c r="A519" s="82"/>
      <c r="B519" s="83"/>
      <c r="C519" s="82"/>
      <c r="D519" s="82"/>
      <c r="E519" s="82"/>
      <c r="F519" s="82"/>
      <c r="G519" s="222"/>
      <c r="H519" s="222"/>
      <c r="I519" s="222"/>
      <c r="J519" s="6"/>
      <c r="K519" s="6"/>
      <c r="L519" s="6"/>
      <c r="M519" s="6"/>
      <c r="N519" s="6"/>
      <c r="O519" s="6"/>
      <c r="P519" s="6"/>
      <c r="Q519" s="6"/>
      <c r="R519" s="6"/>
      <c r="S519" s="6"/>
      <c r="T519" s="6"/>
      <c r="U519" s="6"/>
    </row>
    <row r="520" spans="1:21">
      <c r="A520" s="82"/>
      <c r="B520" s="83"/>
      <c r="C520" s="82"/>
      <c r="D520" s="82"/>
      <c r="E520" s="82"/>
      <c r="F520" s="82"/>
      <c r="G520" s="222"/>
      <c r="H520" s="222"/>
      <c r="I520" s="222"/>
      <c r="J520" s="6"/>
      <c r="K520" s="6"/>
      <c r="L520" s="6"/>
      <c r="M520" s="6"/>
      <c r="N520" s="6"/>
      <c r="O520" s="6"/>
      <c r="P520" s="6"/>
      <c r="Q520" s="6"/>
      <c r="R520" s="6"/>
      <c r="S520" s="6"/>
      <c r="T520" s="6"/>
      <c r="U520" s="6"/>
    </row>
    <row r="521" spans="1:21">
      <c r="A521" s="82"/>
      <c r="B521" s="83"/>
      <c r="C521" s="82"/>
      <c r="D521" s="82"/>
      <c r="E521" s="82"/>
      <c r="F521" s="82"/>
      <c r="G521" s="222"/>
      <c r="H521" s="222"/>
      <c r="I521" s="222"/>
      <c r="J521" s="6"/>
      <c r="K521" s="6"/>
      <c r="L521" s="6"/>
      <c r="M521" s="6"/>
      <c r="N521" s="6"/>
      <c r="O521" s="6"/>
      <c r="P521" s="6"/>
      <c r="Q521" s="6"/>
      <c r="R521" s="6"/>
      <c r="S521" s="6"/>
      <c r="T521" s="6"/>
      <c r="U521" s="6"/>
    </row>
    <row r="522" spans="1:21">
      <c r="A522" s="82"/>
      <c r="B522" s="83"/>
      <c r="C522" s="82"/>
      <c r="D522" s="82"/>
      <c r="E522" s="82"/>
      <c r="F522" s="82"/>
      <c r="G522" s="222"/>
      <c r="H522" s="222"/>
      <c r="I522" s="222"/>
      <c r="J522" s="6"/>
      <c r="K522" s="6"/>
      <c r="L522" s="6"/>
      <c r="M522" s="6"/>
      <c r="N522" s="6"/>
      <c r="O522" s="6"/>
      <c r="P522" s="6"/>
      <c r="Q522" s="6"/>
      <c r="R522" s="6"/>
      <c r="S522" s="6"/>
      <c r="T522" s="6"/>
      <c r="U522" s="6"/>
    </row>
    <row r="523" spans="1:21">
      <c r="A523" s="82"/>
      <c r="B523" s="83"/>
      <c r="C523" s="82"/>
      <c r="D523" s="82"/>
      <c r="E523" s="82"/>
      <c r="F523" s="82"/>
      <c r="G523" s="222"/>
      <c r="H523" s="222"/>
      <c r="I523" s="222"/>
      <c r="J523" s="6"/>
      <c r="K523" s="6"/>
      <c r="L523" s="6"/>
      <c r="M523" s="6"/>
      <c r="N523" s="6"/>
      <c r="O523" s="6"/>
      <c r="P523" s="6"/>
      <c r="Q523" s="6"/>
      <c r="R523" s="6"/>
      <c r="S523" s="6"/>
      <c r="T523" s="6"/>
      <c r="U523" s="6"/>
    </row>
    <row r="524" spans="1:21">
      <c r="A524" s="82"/>
      <c r="B524" s="83"/>
      <c r="C524" s="82"/>
      <c r="D524" s="82"/>
      <c r="E524" s="82"/>
      <c r="F524" s="82"/>
      <c r="G524" s="222"/>
      <c r="H524" s="222"/>
      <c r="I524" s="222"/>
      <c r="J524" s="6"/>
      <c r="K524" s="6"/>
      <c r="L524" s="6"/>
      <c r="M524" s="6"/>
      <c r="N524" s="6"/>
      <c r="O524" s="6"/>
      <c r="P524" s="6"/>
      <c r="Q524" s="6"/>
      <c r="R524" s="6"/>
      <c r="S524" s="6"/>
      <c r="T524" s="6"/>
      <c r="U524" s="6"/>
    </row>
    <row r="525" spans="1:21">
      <c r="A525" s="82"/>
      <c r="B525" s="83"/>
      <c r="C525" s="82"/>
      <c r="D525" s="82"/>
      <c r="E525" s="82"/>
      <c r="F525" s="82"/>
      <c r="G525" s="222"/>
      <c r="H525" s="222"/>
      <c r="I525" s="222"/>
      <c r="J525" s="6"/>
      <c r="K525" s="6"/>
      <c r="L525" s="6"/>
      <c r="M525" s="6"/>
      <c r="N525" s="6"/>
      <c r="O525" s="6"/>
      <c r="P525" s="6"/>
      <c r="Q525" s="6"/>
      <c r="R525" s="6"/>
      <c r="S525" s="6"/>
      <c r="T525" s="6"/>
      <c r="U525" s="6"/>
    </row>
    <row r="526" spans="1:21">
      <c r="A526" s="82"/>
      <c r="B526" s="83"/>
      <c r="C526" s="82"/>
      <c r="D526" s="82"/>
      <c r="E526" s="82"/>
      <c r="F526" s="82"/>
      <c r="G526" s="222"/>
      <c r="H526" s="222"/>
      <c r="I526" s="222"/>
      <c r="J526" s="6"/>
      <c r="K526" s="6"/>
      <c r="L526" s="6"/>
      <c r="M526" s="6"/>
      <c r="N526" s="6"/>
      <c r="O526" s="6"/>
      <c r="P526" s="6"/>
      <c r="Q526" s="6"/>
      <c r="R526" s="6"/>
      <c r="S526" s="6"/>
      <c r="T526" s="6"/>
      <c r="U526" s="6"/>
    </row>
    <row r="527" spans="1:21">
      <c r="A527" s="82"/>
      <c r="B527" s="83"/>
      <c r="C527" s="82"/>
      <c r="D527" s="82"/>
      <c r="E527" s="82"/>
      <c r="F527" s="82"/>
      <c r="G527" s="222"/>
      <c r="H527" s="222"/>
      <c r="I527" s="222"/>
      <c r="J527" s="6"/>
      <c r="K527" s="6"/>
      <c r="L527" s="6"/>
      <c r="M527" s="6"/>
      <c r="N527" s="6"/>
      <c r="O527" s="6"/>
      <c r="P527" s="6"/>
      <c r="Q527" s="6"/>
      <c r="R527" s="6"/>
      <c r="S527" s="6"/>
      <c r="T527" s="6"/>
      <c r="U527" s="6"/>
    </row>
    <row r="528" spans="1:21">
      <c r="A528" s="82"/>
      <c r="B528" s="83"/>
      <c r="C528" s="82"/>
      <c r="D528" s="82"/>
      <c r="E528" s="82"/>
      <c r="F528" s="82"/>
      <c r="G528" s="222"/>
      <c r="H528" s="222"/>
      <c r="I528" s="222"/>
      <c r="J528" s="6"/>
      <c r="K528" s="6"/>
      <c r="L528" s="6"/>
      <c r="M528" s="6"/>
      <c r="N528" s="6"/>
      <c r="O528" s="6"/>
      <c r="P528" s="6"/>
      <c r="Q528" s="6"/>
      <c r="R528" s="6"/>
      <c r="S528" s="6"/>
      <c r="T528" s="6"/>
      <c r="U528" s="6"/>
    </row>
    <row r="529" spans="1:21">
      <c r="A529" s="82"/>
      <c r="B529" s="83"/>
      <c r="C529" s="82"/>
      <c r="D529" s="82"/>
      <c r="E529" s="82"/>
      <c r="F529" s="82"/>
      <c r="G529" s="222"/>
      <c r="H529" s="222"/>
      <c r="I529" s="222"/>
      <c r="J529" s="6"/>
      <c r="K529" s="6"/>
      <c r="L529" s="6"/>
      <c r="M529" s="6"/>
      <c r="N529" s="6"/>
      <c r="O529" s="6"/>
      <c r="P529" s="6"/>
      <c r="Q529" s="6"/>
      <c r="R529" s="6"/>
      <c r="S529" s="6"/>
      <c r="T529" s="6"/>
      <c r="U529" s="6"/>
    </row>
    <row r="530" spans="1:21">
      <c r="A530" s="82"/>
      <c r="B530" s="83"/>
      <c r="C530" s="82"/>
      <c r="D530" s="82"/>
      <c r="E530" s="82"/>
      <c r="F530" s="82"/>
      <c r="G530" s="222"/>
      <c r="H530" s="222"/>
      <c r="I530" s="222"/>
      <c r="J530" s="6"/>
      <c r="K530" s="6"/>
      <c r="L530" s="6"/>
      <c r="M530" s="6"/>
      <c r="N530" s="6"/>
      <c r="O530" s="6"/>
      <c r="P530" s="6"/>
      <c r="Q530" s="6"/>
      <c r="R530" s="6"/>
      <c r="S530" s="6"/>
      <c r="T530" s="6"/>
      <c r="U530" s="6"/>
    </row>
    <row r="531" spans="1:21">
      <c r="A531" s="82"/>
      <c r="B531" s="83"/>
      <c r="C531" s="82"/>
      <c r="D531" s="82"/>
      <c r="E531" s="82"/>
      <c r="F531" s="82"/>
      <c r="G531" s="222"/>
      <c r="H531" s="222"/>
      <c r="I531" s="222"/>
      <c r="J531" s="6"/>
      <c r="K531" s="6"/>
      <c r="L531" s="6"/>
      <c r="M531" s="6"/>
      <c r="N531" s="6"/>
      <c r="O531" s="6"/>
      <c r="P531" s="6"/>
      <c r="Q531" s="6"/>
      <c r="R531" s="6"/>
      <c r="S531" s="6"/>
      <c r="T531" s="6"/>
      <c r="U531" s="6"/>
    </row>
    <row r="532" spans="1:21">
      <c r="A532" s="82"/>
      <c r="B532" s="83"/>
      <c r="C532" s="82"/>
      <c r="D532" s="82"/>
      <c r="E532" s="82"/>
      <c r="F532" s="82"/>
      <c r="G532" s="222"/>
      <c r="H532" s="222"/>
      <c r="I532" s="222"/>
      <c r="J532" s="6"/>
      <c r="K532" s="6"/>
      <c r="L532" s="6"/>
      <c r="M532" s="6"/>
      <c r="N532" s="6"/>
      <c r="O532" s="6"/>
      <c r="P532" s="6"/>
      <c r="Q532" s="6"/>
      <c r="R532" s="6"/>
      <c r="S532" s="6"/>
      <c r="T532" s="6"/>
      <c r="U532" s="6"/>
    </row>
    <row r="533" spans="1:21">
      <c r="A533" s="82"/>
      <c r="B533" s="83"/>
      <c r="C533" s="82"/>
      <c r="D533" s="82"/>
      <c r="E533" s="82"/>
      <c r="F533" s="82"/>
      <c r="G533" s="222"/>
      <c r="H533" s="222"/>
      <c r="I533" s="222"/>
      <c r="J533" s="6"/>
      <c r="K533" s="6"/>
      <c r="L533" s="6"/>
      <c r="M533" s="6"/>
      <c r="N533" s="6"/>
      <c r="O533" s="6"/>
      <c r="P533" s="6"/>
      <c r="Q533" s="6"/>
      <c r="R533" s="6"/>
      <c r="S533" s="6"/>
      <c r="T533" s="6"/>
      <c r="U533" s="6"/>
    </row>
    <row r="534" spans="1:21">
      <c r="A534" s="82"/>
      <c r="B534" s="83"/>
      <c r="C534" s="82"/>
      <c r="D534" s="82"/>
      <c r="E534" s="82"/>
      <c r="F534" s="82"/>
      <c r="G534" s="222"/>
      <c r="H534" s="222"/>
      <c r="I534" s="222"/>
      <c r="J534" s="6"/>
      <c r="K534" s="6"/>
      <c r="L534" s="6"/>
      <c r="M534" s="6"/>
      <c r="N534" s="6"/>
      <c r="O534" s="6"/>
      <c r="P534" s="6"/>
      <c r="Q534" s="6"/>
      <c r="R534" s="6"/>
      <c r="S534" s="6"/>
      <c r="T534" s="6"/>
      <c r="U534" s="6"/>
    </row>
    <row r="535" spans="1:21">
      <c r="A535" s="82"/>
      <c r="B535" s="83"/>
      <c r="C535" s="82"/>
      <c r="D535" s="82"/>
      <c r="E535" s="82"/>
      <c r="F535" s="82"/>
      <c r="G535" s="222"/>
      <c r="H535" s="222"/>
      <c r="I535" s="222"/>
      <c r="J535" s="6"/>
      <c r="K535" s="6"/>
      <c r="L535" s="6"/>
      <c r="M535" s="6"/>
      <c r="N535" s="6"/>
      <c r="O535" s="6"/>
      <c r="P535" s="6"/>
      <c r="Q535" s="6"/>
      <c r="R535" s="6"/>
      <c r="S535" s="6"/>
      <c r="T535" s="6"/>
      <c r="U535" s="6"/>
    </row>
    <row r="536" spans="1:21">
      <c r="A536" s="82"/>
      <c r="B536" s="83"/>
      <c r="C536" s="82"/>
      <c r="D536" s="82"/>
      <c r="E536" s="82"/>
      <c r="F536" s="82"/>
      <c r="G536" s="222"/>
      <c r="H536" s="222"/>
      <c r="I536" s="222"/>
      <c r="J536" s="6"/>
      <c r="K536" s="6"/>
      <c r="L536" s="6"/>
      <c r="M536" s="6"/>
      <c r="N536" s="6"/>
      <c r="O536" s="6"/>
      <c r="P536" s="6"/>
      <c r="Q536" s="6"/>
      <c r="R536" s="6"/>
      <c r="S536" s="6"/>
      <c r="T536" s="6"/>
      <c r="U536" s="6"/>
    </row>
    <row r="537" spans="1:21">
      <c r="A537" s="82"/>
      <c r="B537" s="83"/>
      <c r="C537" s="82"/>
      <c r="D537" s="82"/>
      <c r="E537" s="82"/>
      <c r="F537" s="82"/>
      <c r="G537" s="222"/>
      <c r="H537" s="222"/>
      <c r="I537" s="222"/>
      <c r="J537" s="6"/>
      <c r="K537" s="6"/>
      <c r="L537" s="6"/>
      <c r="M537" s="6"/>
      <c r="N537" s="6"/>
      <c r="O537" s="6"/>
      <c r="P537" s="6"/>
      <c r="Q537" s="6"/>
      <c r="R537" s="6"/>
      <c r="S537" s="6"/>
      <c r="T537" s="6"/>
      <c r="U537" s="6"/>
    </row>
    <row r="538" spans="1:21">
      <c r="A538" s="82"/>
      <c r="B538" s="83"/>
      <c r="C538" s="82"/>
      <c r="D538" s="82"/>
      <c r="E538" s="82"/>
      <c r="F538" s="82"/>
      <c r="G538" s="222"/>
      <c r="H538" s="222"/>
      <c r="I538" s="222"/>
      <c r="J538" s="6"/>
      <c r="K538" s="6"/>
      <c r="L538" s="6"/>
      <c r="M538" s="6"/>
      <c r="N538" s="6"/>
      <c r="O538" s="6"/>
      <c r="P538" s="6"/>
      <c r="Q538" s="6"/>
      <c r="R538" s="6"/>
      <c r="S538" s="6"/>
      <c r="T538" s="6"/>
      <c r="U538" s="6"/>
    </row>
    <row r="539" spans="1:21">
      <c r="A539" s="82"/>
      <c r="B539" s="83"/>
      <c r="C539" s="82"/>
      <c r="D539" s="82"/>
      <c r="E539" s="82"/>
      <c r="F539" s="82"/>
      <c r="G539" s="222"/>
      <c r="H539" s="222"/>
      <c r="I539" s="222"/>
      <c r="J539" s="6"/>
      <c r="K539" s="6"/>
      <c r="L539" s="6"/>
      <c r="M539" s="6"/>
      <c r="N539" s="6"/>
      <c r="O539" s="6"/>
      <c r="P539" s="6"/>
      <c r="Q539" s="6"/>
      <c r="R539" s="6"/>
      <c r="S539" s="6"/>
      <c r="T539" s="6"/>
      <c r="U539" s="6"/>
    </row>
    <row r="540" spans="1:21">
      <c r="A540" s="82"/>
      <c r="B540" s="83"/>
      <c r="C540" s="82"/>
      <c r="D540" s="82"/>
      <c r="E540" s="82"/>
      <c r="F540" s="82"/>
      <c r="G540" s="222"/>
      <c r="H540" s="222"/>
      <c r="I540" s="222"/>
      <c r="J540" s="6"/>
      <c r="K540" s="6"/>
      <c r="L540" s="6"/>
      <c r="M540" s="6"/>
      <c r="N540" s="6"/>
      <c r="O540" s="6"/>
      <c r="P540" s="6"/>
      <c r="Q540" s="6"/>
      <c r="R540" s="6"/>
      <c r="S540" s="6"/>
      <c r="T540" s="6"/>
      <c r="U540" s="6"/>
    </row>
    <row r="541" spans="1:21">
      <c r="A541" s="82"/>
      <c r="B541" s="83"/>
      <c r="C541" s="82"/>
      <c r="D541" s="82"/>
      <c r="E541" s="82"/>
      <c r="F541" s="82"/>
      <c r="G541" s="222"/>
      <c r="H541" s="222"/>
      <c r="I541" s="222"/>
      <c r="J541" s="6"/>
      <c r="K541" s="6"/>
      <c r="L541" s="6"/>
      <c r="M541" s="6"/>
      <c r="N541" s="6"/>
      <c r="O541" s="6"/>
      <c r="P541" s="6"/>
      <c r="Q541" s="6"/>
      <c r="R541" s="6"/>
      <c r="S541" s="6"/>
      <c r="T541" s="6"/>
      <c r="U541" s="6"/>
    </row>
    <row r="542" spans="1:21">
      <c r="A542" s="82"/>
      <c r="B542" s="83"/>
      <c r="C542" s="82"/>
      <c r="D542" s="82"/>
      <c r="E542" s="82"/>
      <c r="F542" s="82"/>
      <c r="G542" s="222"/>
      <c r="H542" s="222"/>
      <c r="I542" s="222"/>
      <c r="J542" s="6"/>
      <c r="K542" s="6"/>
      <c r="L542" s="6"/>
      <c r="M542" s="6"/>
      <c r="N542" s="6"/>
      <c r="O542" s="6"/>
      <c r="P542" s="6"/>
      <c r="Q542" s="6"/>
      <c r="R542" s="6"/>
      <c r="S542" s="6"/>
      <c r="T542" s="6"/>
      <c r="U542" s="6"/>
    </row>
    <row r="543" spans="1:21">
      <c r="A543" s="82"/>
      <c r="B543" s="83"/>
      <c r="C543" s="82"/>
      <c r="D543" s="82"/>
      <c r="E543" s="82"/>
      <c r="F543" s="82"/>
      <c r="G543" s="222"/>
      <c r="H543" s="222"/>
      <c r="I543" s="222"/>
      <c r="J543" s="6"/>
      <c r="K543" s="6"/>
      <c r="L543" s="6"/>
      <c r="M543" s="6"/>
      <c r="N543" s="6"/>
      <c r="O543" s="6"/>
      <c r="P543" s="6"/>
      <c r="Q543" s="6"/>
      <c r="R543" s="6"/>
      <c r="S543" s="6"/>
      <c r="T543" s="6"/>
      <c r="U543" s="6"/>
    </row>
    <row r="544" spans="1:21">
      <c r="A544" s="82"/>
      <c r="B544" s="83"/>
      <c r="C544" s="82"/>
      <c r="D544" s="82"/>
      <c r="E544" s="82"/>
      <c r="F544" s="82"/>
      <c r="G544" s="222"/>
      <c r="H544" s="222"/>
      <c r="I544" s="222"/>
      <c r="J544" s="6"/>
      <c r="K544" s="6"/>
      <c r="L544" s="6"/>
      <c r="M544" s="6"/>
      <c r="N544" s="6"/>
      <c r="O544" s="6"/>
      <c r="P544" s="6"/>
      <c r="Q544" s="6"/>
      <c r="R544" s="6"/>
      <c r="S544" s="6"/>
      <c r="T544" s="6"/>
      <c r="U544" s="6"/>
    </row>
    <row r="545" spans="1:21">
      <c r="A545" s="82"/>
      <c r="B545" s="83"/>
      <c r="C545" s="82"/>
      <c r="D545" s="82"/>
      <c r="E545" s="82"/>
      <c r="F545" s="82"/>
      <c r="G545" s="222"/>
      <c r="H545" s="222"/>
      <c r="I545" s="222"/>
      <c r="J545" s="6"/>
      <c r="K545" s="6"/>
      <c r="L545" s="6"/>
      <c r="M545" s="6"/>
      <c r="N545" s="6"/>
      <c r="O545" s="6"/>
      <c r="P545" s="6"/>
      <c r="Q545" s="6"/>
      <c r="R545" s="6"/>
      <c r="S545" s="6"/>
      <c r="T545" s="6"/>
      <c r="U545" s="6"/>
    </row>
    <row r="546" spans="1:21">
      <c r="A546" s="82"/>
      <c r="B546" s="83"/>
      <c r="C546" s="82"/>
      <c r="D546" s="82"/>
      <c r="E546" s="82"/>
      <c r="F546" s="82"/>
      <c r="G546" s="222"/>
      <c r="H546" s="222"/>
      <c r="I546" s="222"/>
      <c r="J546" s="6"/>
      <c r="K546" s="6"/>
      <c r="L546" s="6"/>
      <c r="M546" s="6"/>
      <c r="N546" s="6"/>
      <c r="O546" s="6"/>
      <c r="P546" s="6"/>
      <c r="Q546" s="6"/>
      <c r="R546" s="6"/>
      <c r="S546" s="6"/>
      <c r="T546" s="6"/>
      <c r="U546" s="6"/>
    </row>
    <row r="547" spans="1:21">
      <c r="A547" s="82"/>
      <c r="B547" s="83"/>
      <c r="C547" s="82"/>
      <c r="D547" s="82"/>
      <c r="E547" s="82"/>
      <c r="F547" s="82"/>
      <c r="G547" s="222"/>
      <c r="H547" s="222"/>
      <c r="I547" s="222"/>
      <c r="J547" s="6"/>
      <c r="K547" s="6"/>
      <c r="L547" s="6"/>
      <c r="M547" s="6"/>
      <c r="N547" s="6"/>
      <c r="O547" s="6"/>
      <c r="P547" s="6"/>
      <c r="Q547" s="6"/>
      <c r="R547" s="6"/>
      <c r="S547" s="6"/>
      <c r="T547" s="6"/>
      <c r="U547" s="6"/>
    </row>
    <row r="548" spans="1:21">
      <c r="A548" s="82"/>
      <c r="B548" s="83"/>
      <c r="C548" s="82"/>
      <c r="D548" s="82"/>
      <c r="E548" s="82"/>
      <c r="F548" s="82"/>
      <c r="G548" s="222"/>
      <c r="H548" s="222"/>
      <c r="I548" s="222"/>
      <c r="J548" s="6"/>
      <c r="K548" s="6"/>
      <c r="L548" s="6"/>
      <c r="M548" s="6"/>
      <c r="N548" s="6"/>
      <c r="O548" s="6"/>
      <c r="P548" s="6"/>
      <c r="Q548" s="6"/>
      <c r="R548" s="6"/>
      <c r="S548" s="6"/>
      <c r="T548" s="6"/>
      <c r="U548" s="6"/>
    </row>
    <row r="549" spans="1:21">
      <c r="A549" s="82"/>
      <c r="B549" s="83"/>
      <c r="C549" s="82"/>
      <c r="D549" s="82"/>
      <c r="E549" s="82"/>
      <c r="F549" s="82"/>
      <c r="G549" s="222"/>
      <c r="H549" s="222"/>
      <c r="I549" s="222"/>
      <c r="J549" s="6"/>
      <c r="K549" s="6"/>
      <c r="L549" s="6"/>
      <c r="M549" s="6"/>
      <c r="N549" s="6"/>
      <c r="O549" s="6"/>
      <c r="P549" s="6"/>
      <c r="Q549" s="6"/>
      <c r="R549" s="6"/>
      <c r="S549" s="6"/>
      <c r="T549" s="6"/>
      <c r="U549" s="6"/>
    </row>
    <row r="550" spans="1:21">
      <c r="A550" s="82"/>
      <c r="B550" s="83"/>
      <c r="C550" s="82"/>
      <c r="D550" s="82"/>
      <c r="E550" s="82"/>
      <c r="F550" s="82"/>
      <c r="G550" s="222"/>
      <c r="H550" s="222"/>
      <c r="I550" s="222"/>
      <c r="J550" s="6"/>
      <c r="K550" s="6"/>
      <c r="L550" s="6"/>
      <c r="M550" s="6"/>
      <c r="N550" s="6"/>
      <c r="O550" s="6"/>
      <c r="P550" s="6"/>
      <c r="Q550" s="6"/>
      <c r="R550" s="6"/>
      <c r="S550" s="6"/>
      <c r="T550" s="6"/>
      <c r="U550" s="6"/>
    </row>
    <row r="551" spans="1:21">
      <c r="A551" s="82"/>
      <c r="B551" s="83"/>
      <c r="C551" s="82"/>
      <c r="D551" s="82"/>
      <c r="E551" s="82"/>
      <c r="F551" s="82"/>
      <c r="G551" s="222"/>
      <c r="H551" s="222"/>
      <c r="I551" s="222"/>
      <c r="J551" s="6"/>
      <c r="K551" s="6"/>
      <c r="L551" s="6"/>
      <c r="M551" s="6"/>
      <c r="N551" s="6"/>
      <c r="O551" s="6"/>
      <c r="P551" s="6"/>
      <c r="Q551" s="6"/>
      <c r="R551" s="6"/>
      <c r="S551" s="6"/>
      <c r="T551" s="6"/>
      <c r="U551" s="6"/>
    </row>
    <row r="552" spans="1:21">
      <c r="A552" s="82"/>
      <c r="B552" s="83"/>
      <c r="C552" s="82"/>
      <c r="D552" s="82"/>
      <c r="E552" s="82"/>
      <c r="F552" s="82"/>
      <c r="G552" s="222"/>
      <c r="H552" s="222"/>
      <c r="I552" s="222"/>
      <c r="J552" s="6"/>
      <c r="K552" s="6"/>
      <c r="L552" s="6"/>
      <c r="M552" s="6"/>
      <c r="N552" s="6"/>
      <c r="O552" s="6"/>
      <c r="P552" s="6"/>
      <c r="Q552" s="6"/>
      <c r="R552" s="6"/>
      <c r="S552" s="6"/>
      <c r="T552" s="6"/>
      <c r="U552" s="6"/>
    </row>
    <row r="553" spans="1:21">
      <c r="A553" s="82"/>
      <c r="B553" s="83"/>
      <c r="C553" s="82"/>
      <c r="D553" s="82"/>
      <c r="E553" s="82"/>
      <c r="F553" s="82"/>
      <c r="G553" s="222"/>
      <c r="H553" s="222"/>
      <c r="I553" s="222"/>
      <c r="J553" s="6"/>
      <c r="K553" s="6"/>
      <c r="L553" s="6"/>
      <c r="M553" s="6"/>
      <c r="N553" s="6"/>
      <c r="O553" s="6"/>
      <c r="P553" s="6"/>
      <c r="Q553" s="6"/>
      <c r="R553" s="6"/>
      <c r="S553" s="6"/>
      <c r="T553" s="6"/>
      <c r="U553" s="6"/>
    </row>
    <row r="554" spans="1:21">
      <c r="A554" s="82"/>
      <c r="B554" s="83"/>
      <c r="C554" s="82"/>
      <c r="D554" s="82"/>
      <c r="E554" s="82"/>
      <c r="F554" s="82"/>
      <c r="G554" s="222"/>
      <c r="H554" s="222"/>
      <c r="I554" s="222"/>
      <c r="J554" s="6"/>
      <c r="K554" s="6"/>
      <c r="L554" s="6"/>
      <c r="M554" s="6"/>
      <c r="N554" s="6"/>
      <c r="O554" s="6"/>
      <c r="P554" s="6"/>
      <c r="Q554" s="6"/>
      <c r="R554" s="6"/>
      <c r="S554" s="6"/>
      <c r="T554" s="6"/>
      <c r="U554" s="6"/>
    </row>
    <row r="555" spans="1:21">
      <c r="A555" s="82"/>
      <c r="B555" s="83"/>
      <c r="C555" s="82"/>
      <c r="D555" s="82"/>
      <c r="E555" s="82"/>
      <c r="F555" s="82"/>
      <c r="G555" s="222"/>
      <c r="H555" s="222"/>
      <c r="I555" s="222"/>
      <c r="J555" s="6"/>
      <c r="K555" s="6"/>
      <c r="L555" s="6"/>
      <c r="M555" s="6"/>
      <c r="N555" s="6"/>
      <c r="O555" s="6"/>
      <c r="P555" s="6"/>
      <c r="Q555" s="6"/>
      <c r="R555" s="6"/>
      <c r="S555" s="6"/>
      <c r="T555" s="6"/>
      <c r="U555" s="6"/>
    </row>
    <row r="556" spans="1:21">
      <c r="A556" s="82"/>
      <c r="B556" s="83"/>
      <c r="C556" s="82"/>
      <c r="D556" s="82"/>
      <c r="E556" s="82"/>
      <c r="F556" s="82"/>
      <c r="G556" s="222"/>
      <c r="H556" s="222"/>
      <c r="I556" s="222"/>
      <c r="J556" s="6"/>
      <c r="K556" s="6"/>
      <c r="L556" s="6"/>
      <c r="M556" s="6"/>
      <c r="N556" s="6"/>
      <c r="O556" s="6"/>
      <c r="P556" s="6"/>
      <c r="Q556" s="6"/>
      <c r="R556" s="6"/>
      <c r="S556" s="6"/>
      <c r="T556" s="6"/>
      <c r="U556" s="6"/>
    </row>
    <row r="557" spans="1:21">
      <c r="A557" s="82"/>
      <c r="B557" s="83"/>
      <c r="C557" s="82"/>
      <c r="D557" s="82"/>
      <c r="E557" s="82"/>
      <c r="F557" s="82"/>
      <c r="G557" s="222"/>
      <c r="H557" s="222"/>
      <c r="I557" s="222"/>
      <c r="J557" s="6"/>
      <c r="K557" s="6"/>
      <c r="L557" s="6"/>
      <c r="M557" s="6"/>
      <c r="N557" s="6"/>
      <c r="O557" s="6"/>
      <c r="P557" s="6"/>
      <c r="Q557" s="6"/>
      <c r="R557" s="6"/>
      <c r="S557" s="6"/>
      <c r="T557" s="6"/>
      <c r="U557" s="6"/>
    </row>
    <row r="558" spans="1:21">
      <c r="A558" s="82"/>
      <c r="B558" s="83"/>
      <c r="C558" s="82"/>
      <c r="D558" s="82"/>
      <c r="E558" s="82"/>
      <c r="F558" s="82"/>
      <c r="G558" s="222"/>
      <c r="H558" s="222"/>
      <c r="I558" s="222"/>
      <c r="J558" s="6"/>
      <c r="K558" s="6"/>
      <c r="L558" s="6"/>
      <c r="M558" s="6"/>
      <c r="N558" s="6"/>
      <c r="O558" s="6"/>
      <c r="P558" s="6"/>
      <c r="Q558" s="6"/>
      <c r="R558" s="6"/>
      <c r="S558" s="6"/>
      <c r="T558" s="6"/>
      <c r="U558" s="6"/>
    </row>
    <row r="559" spans="1:21">
      <c r="A559" s="82"/>
      <c r="B559" s="83"/>
      <c r="C559" s="82"/>
      <c r="D559" s="82"/>
      <c r="E559" s="82"/>
      <c r="F559" s="82"/>
      <c r="G559" s="222"/>
      <c r="H559" s="222"/>
      <c r="I559" s="222"/>
      <c r="J559" s="6"/>
      <c r="K559" s="6"/>
      <c r="L559" s="6"/>
      <c r="M559" s="6"/>
      <c r="N559" s="6"/>
      <c r="O559" s="6"/>
      <c r="P559" s="6"/>
      <c r="Q559" s="6"/>
      <c r="R559" s="6"/>
      <c r="S559" s="6"/>
      <c r="T559" s="6"/>
      <c r="U559" s="6"/>
    </row>
    <row r="560" spans="1:21">
      <c r="A560" s="82"/>
      <c r="B560" s="83"/>
      <c r="C560" s="82"/>
      <c r="D560" s="82"/>
      <c r="E560" s="82"/>
      <c r="F560" s="82"/>
      <c r="G560" s="222"/>
      <c r="H560" s="222"/>
      <c r="I560" s="222"/>
      <c r="J560" s="6"/>
      <c r="K560" s="6"/>
      <c r="L560" s="6"/>
      <c r="M560" s="6"/>
      <c r="N560" s="6"/>
      <c r="O560" s="6"/>
      <c r="P560" s="6"/>
      <c r="Q560" s="6"/>
      <c r="R560" s="6"/>
      <c r="S560" s="6"/>
      <c r="T560" s="6"/>
      <c r="U560" s="6"/>
    </row>
    <row r="561" spans="1:21">
      <c r="A561" s="82"/>
      <c r="B561" s="83"/>
      <c r="C561" s="82"/>
      <c r="D561" s="82"/>
      <c r="E561" s="82"/>
      <c r="F561" s="82"/>
      <c r="G561" s="222"/>
      <c r="H561" s="222"/>
      <c r="I561" s="222"/>
      <c r="J561" s="6"/>
      <c r="K561" s="6"/>
      <c r="L561" s="6"/>
      <c r="M561" s="6"/>
      <c r="N561" s="6"/>
      <c r="O561" s="6"/>
      <c r="P561" s="6"/>
      <c r="Q561" s="6"/>
      <c r="R561" s="6"/>
      <c r="S561" s="6"/>
      <c r="T561" s="6"/>
      <c r="U561" s="6"/>
    </row>
    <row r="562" spans="1:21">
      <c r="A562" s="82"/>
      <c r="B562" s="83"/>
      <c r="C562" s="82"/>
      <c r="D562" s="82"/>
      <c r="E562" s="82"/>
      <c r="F562" s="82"/>
      <c r="G562" s="222"/>
      <c r="H562" s="222"/>
      <c r="I562" s="222"/>
      <c r="J562" s="6"/>
      <c r="K562" s="6"/>
      <c r="L562" s="6"/>
      <c r="M562" s="6"/>
      <c r="N562" s="6"/>
      <c r="O562" s="6"/>
      <c r="P562" s="6"/>
      <c r="Q562" s="6"/>
      <c r="R562" s="6"/>
      <c r="S562" s="6"/>
      <c r="T562" s="6"/>
      <c r="U562" s="6"/>
    </row>
    <row r="563" spans="1:21">
      <c r="A563" s="82"/>
      <c r="B563" s="83"/>
      <c r="C563" s="82"/>
      <c r="D563" s="82"/>
      <c r="E563" s="82"/>
      <c r="F563" s="82"/>
      <c r="G563" s="222"/>
      <c r="H563" s="222"/>
      <c r="I563" s="222"/>
      <c r="J563" s="6"/>
      <c r="K563" s="6"/>
      <c r="L563" s="6"/>
      <c r="M563" s="6"/>
      <c r="N563" s="6"/>
      <c r="O563" s="6"/>
      <c r="P563" s="6"/>
      <c r="Q563" s="6"/>
      <c r="R563" s="6"/>
      <c r="S563" s="6"/>
      <c r="T563" s="6"/>
      <c r="U563" s="6"/>
    </row>
    <row r="564" spans="1:21">
      <c r="A564" s="82"/>
      <c r="B564" s="83"/>
      <c r="C564" s="82"/>
      <c r="D564" s="82"/>
      <c r="E564" s="82"/>
      <c r="F564" s="82"/>
      <c r="G564" s="222"/>
      <c r="H564" s="222"/>
      <c r="I564" s="222"/>
      <c r="J564" s="6"/>
      <c r="K564" s="6"/>
      <c r="L564" s="6"/>
      <c r="M564" s="6"/>
      <c r="N564" s="6"/>
      <c r="O564" s="6"/>
      <c r="P564" s="6"/>
      <c r="Q564" s="6"/>
      <c r="R564" s="6"/>
      <c r="S564" s="6"/>
      <c r="T564" s="6"/>
      <c r="U564" s="6"/>
    </row>
    <row r="565" spans="1:21">
      <c r="A565" s="82"/>
      <c r="B565" s="83"/>
      <c r="C565" s="82"/>
      <c r="D565" s="82"/>
      <c r="E565" s="82"/>
      <c r="F565" s="82"/>
      <c r="G565" s="222"/>
      <c r="H565" s="222"/>
      <c r="I565" s="222"/>
      <c r="J565" s="6"/>
      <c r="K565" s="6"/>
      <c r="L565" s="6"/>
      <c r="M565" s="6"/>
      <c r="N565" s="6"/>
      <c r="O565" s="6"/>
      <c r="P565" s="6"/>
      <c r="Q565" s="6"/>
      <c r="R565" s="6"/>
      <c r="S565" s="6"/>
      <c r="T565" s="6"/>
      <c r="U565" s="6"/>
    </row>
    <row r="566" spans="1:21">
      <c r="A566" s="82"/>
      <c r="B566" s="83"/>
      <c r="C566" s="82"/>
      <c r="D566" s="82"/>
      <c r="E566" s="82"/>
      <c r="F566" s="82"/>
      <c r="G566" s="222"/>
      <c r="H566" s="222"/>
      <c r="I566" s="222"/>
      <c r="J566" s="6"/>
      <c r="K566" s="6"/>
      <c r="L566" s="6"/>
      <c r="M566" s="6"/>
      <c r="N566" s="6"/>
      <c r="O566" s="6"/>
      <c r="P566" s="6"/>
      <c r="Q566" s="6"/>
      <c r="R566" s="6"/>
      <c r="S566" s="6"/>
      <c r="T566" s="6"/>
      <c r="U566" s="6"/>
    </row>
    <row r="567" spans="1:21">
      <c r="A567" s="82"/>
      <c r="B567" s="83"/>
      <c r="C567" s="82"/>
      <c r="D567" s="82"/>
      <c r="E567" s="82"/>
      <c r="F567" s="82"/>
      <c r="G567" s="222"/>
      <c r="H567" s="222"/>
      <c r="I567" s="222"/>
      <c r="J567" s="6"/>
      <c r="K567" s="6"/>
      <c r="L567" s="6"/>
      <c r="M567" s="6"/>
      <c r="N567" s="6"/>
      <c r="O567" s="6"/>
      <c r="P567" s="6"/>
      <c r="Q567" s="6"/>
      <c r="R567" s="6"/>
      <c r="S567" s="6"/>
      <c r="T567" s="6"/>
      <c r="U567" s="6"/>
    </row>
    <row r="568" spans="1:21">
      <c r="A568" s="82"/>
      <c r="B568" s="83"/>
      <c r="C568" s="82"/>
      <c r="D568" s="82"/>
      <c r="E568" s="82"/>
      <c r="F568" s="82"/>
      <c r="G568" s="222"/>
      <c r="H568" s="222"/>
      <c r="I568" s="222"/>
      <c r="J568" s="6"/>
      <c r="K568" s="6"/>
      <c r="L568" s="6"/>
      <c r="M568" s="6"/>
      <c r="N568" s="6"/>
      <c r="O568" s="6"/>
      <c r="P568" s="6"/>
      <c r="Q568" s="6"/>
      <c r="R568" s="6"/>
      <c r="S568" s="6"/>
      <c r="T568" s="6"/>
      <c r="U568" s="6"/>
    </row>
    <row r="569" spans="1:21">
      <c r="A569" s="82"/>
      <c r="B569" s="83"/>
      <c r="C569" s="82"/>
      <c r="D569" s="82"/>
      <c r="E569" s="82"/>
      <c r="F569" s="82"/>
      <c r="G569" s="222"/>
      <c r="H569" s="222"/>
      <c r="I569" s="222"/>
      <c r="J569" s="6"/>
      <c r="K569" s="6"/>
      <c r="L569" s="6"/>
      <c r="M569" s="6"/>
      <c r="N569" s="6"/>
      <c r="O569" s="6"/>
      <c r="P569" s="6"/>
      <c r="Q569" s="6"/>
      <c r="R569" s="6"/>
      <c r="S569" s="6"/>
      <c r="T569" s="6"/>
      <c r="U569" s="6"/>
    </row>
    <row r="570" spans="1:21">
      <c r="A570" s="82"/>
      <c r="B570" s="83"/>
      <c r="C570" s="82"/>
      <c r="D570" s="82"/>
      <c r="E570" s="82"/>
      <c r="F570" s="82"/>
      <c r="G570" s="222"/>
      <c r="H570" s="222"/>
      <c r="I570" s="222"/>
      <c r="J570" s="6"/>
      <c r="K570" s="6"/>
      <c r="L570" s="6"/>
      <c r="M570" s="6"/>
      <c r="N570" s="6"/>
      <c r="O570" s="6"/>
      <c r="P570" s="6"/>
      <c r="Q570" s="6"/>
      <c r="R570" s="6"/>
      <c r="S570" s="6"/>
      <c r="T570" s="6"/>
      <c r="U570" s="6"/>
    </row>
    <row r="571" spans="1:21">
      <c r="A571" s="82"/>
      <c r="B571" s="83"/>
      <c r="C571" s="82"/>
      <c r="D571" s="82"/>
      <c r="E571" s="82"/>
      <c r="F571" s="82"/>
      <c r="G571" s="222"/>
      <c r="H571" s="222"/>
      <c r="I571" s="222"/>
      <c r="J571" s="6"/>
      <c r="K571" s="6"/>
      <c r="L571" s="6"/>
      <c r="M571" s="6"/>
      <c r="N571" s="6"/>
      <c r="O571" s="6"/>
      <c r="P571" s="6"/>
      <c r="Q571" s="6"/>
      <c r="R571" s="6"/>
      <c r="S571" s="6"/>
      <c r="T571" s="6"/>
      <c r="U571" s="6"/>
    </row>
    <row r="572" spans="1:21">
      <c r="A572" s="82"/>
      <c r="B572" s="83"/>
      <c r="C572" s="82"/>
      <c r="D572" s="82"/>
      <c r="E572" s="82"/>
      <c r="F572" s="82"/>
      <c r="G572" s="222"/>
      <c r="H572" s="222"/>
      <c r="I572" s="222"/>
      <c r="J572" s="6"/>
      <c r="K572" s="6"/>
      <c r="L572" s="6"/>
      <c r="M572" s="6"/>
      <c r="N572" s="6"/>
      <c r="O572" s="6"/>
      <c r="P572" s="6"/>
      <c r="Q572" s="6"/>
      <c r="R572" s="6"/>
      <c r="S572" s="6"/>
      <c r="T572" s="6"/>
      <c r="U572" s="6"/>
    </row>
    <row r="573" spans="1:21">
      <c r="A573" s="82"/>
      <c r="B573" s="83"/>
      <c r="C573" s="82"/>
      <c r="D573" s="82"/>
      <c r="E573" s="82"/>
      <c r="F573" s="82"/>
      <c r="G573" s="222"/>
      <c r="H573" s="222"/>
      <c r="I573" s="222"/>
      <c r="J573" s="6"/>
      <c r="K573" s="6"/>
      <c r="L573" s="6"/>
      <c r="M573" s="6"/>
      <c r="N573" s="6"/>
      <c r="O573" s="6"/>
      <c r="P573" s="6"/>
      <c r="Q573" s="6"/>
      <c r="R573" s="6"/>
      <c r="S573" s="6"/>
      <c r="T573" s="6"/>
      <c r="U573" s="6"/>
    </row>
    <row r="574" spans="1:21">
      <c r="A574" s="82"/>
      <c r="B574" s="83"/>
      <c r="C574" s="82"/>
      <c r="D574" s="82"/>
      <c r="E574" s="82"/>
      <c r="F574" s="82"/>
      <c r="G574" s="222"/>
      <c r="H574" s="222"/>
      <c r="I574" s="222"/>
      <c r="J574" s="6"/>
      <c r="K574" s="6"/>
      <c r="L574" s="6"/>
      <c r="M574" s="6"/>
      <c r="N574" s="6"/>
      <c r="O574" s="6"/>
      <c r="P574" s="6"/>
      <c r="Q574" s="6"/>
      <c r="R574" s="6"/>
      <c r="S574" s="6"/>
      <c r="T574" s="6"/>
      <c r="U574" s="6"/>
    </row>
    <row r="575" spans="1:21">
      <c r="A575" s="82"/>
      <c r="B575" s="83"/>
      <c r="C575" s="82"/>
      <c r="D575" s="82"/>
      <c r="E575" s="82"/>
      <c r="F575" s="82"/>
      <c r="G575" s="222"/>
      <c r="H575" s="222"/>
      <c r="I575" s="222"/>
      <c r="J575" s="6"/>
      <c r="K575" s="6"/>
      <c r="L575" s="6"/>
      <c r="M575" s="6"/>
      <c r="N575" s="6"/>
      <c r="O575" s="6"/>
      <c r="P575" s="6"/>
      <c r="Q575" s="6"/>
      <c r="R575" s="6"/>
      <c r="S575" s="6"/>
      <c r="T575" s="6"/>
      <c r="U575" s="6"/>
    </row>
    <row r="576" spans="1:21">
      <c r="A576" s="82"/>
      <c r="B576" s="83"/>
      <c r="C576" s="82"/>
      <c r="D576" s="82"/>
      <c r="E576" s="82"/>
      <c r="F576" s="82"/>
      <c r="G576" s="222"/>
      <c r="H576" s="222"/>
      <c r="I576" s="222"/>
      <c r="J576" s="6"/>
      <c r="K576" s="6"/>
      <c r="L576" s="6"/>
      <c r="M576" s="6"/>
      <c r="N576" s="6"/>
      <c r="O576" s="6"/>
      <c r="P576" s="6"/>
      <c r="Q576" s="6"/>
      <c r="R576" s="6"/>
      <c r="S576" s="6"/>
      <c r="T576" s="6"/>
      <c r="U576" s="6"/>
    </row>
    <row r="577" spans="1:21">
      <c r="A577" s="82"/>
      <c r="B577" s="83"/>
      <c r="C577" s="82"/>
      <c r="D577" s="82"/>
      <c r="E577" s="82"/>
      <c r="F577" s="82"/>
      <c r="G577" s="222"/>
      <c r="H577" s="222"/>
      <c r="I577" s="222"/>
      <c r="J577" s="6"/>
      <c r="K577" s="6"/>
      <c r="L577" s="6"/>
      <c r="M577" s="6"/>
      <c r="N577" s="6"/>
      <c r="O577" s="6"/>
      <c r="P577" s="6"/>
      <c r="Q577" s="6"/>
      <c r="R577" s="6"/>
      <c r="S577" s="6"/>
      <c r="T577" s="6"/>
      <c r="U577" s="6"/>
    </row>
    <row r="578" spans="1:21">
      <c r="A578" s="82"/>
      <c r="B578" s="83"/>
      <c r="C578" s="82"/>
      <c r="D578" s="82"/>
      <c r="E578" s="82"/>
      <c r="F578" s="82"/>
      <c r="G578" s="222"/>
      <c r="H578" s="222"/>
      <c r="I578" s="222"/>
      <c r="J578" s="6"/>
      <c r="K578" s="6"/>
      <c r="L578" s="6"/>
      <c r="M578" s="6"/>
      <c r="N578" s="6"/>
      <c r="O578" s="6"/>
      <c r="P578" s="6"/>
      <c r="Q578" s="6"/>
      <c r="R578" s="6"/>
      <c r="S578" s="6"/>
      <c r="T578" s="6"/>
      <c r="U578" s="6"/>
    </row>
    <row r="579" spans="1:21">
      <c r="A579" s="82"/>
      <c r="B579" s="83"/>
      <c r="C579" s="82"/>
      <c r="D579" s="82"/>
      <c r="E579" s="82"/>
      <c r="F579" s="82"/>
      <c r="G579" s="222"/>
      <c r="H579" s="222"/>
      <c r="I579" s="222"/>
      <c r="J579" s="6"/>
      <c r="K579" s="6"/>
      <c r="L579" s="6"/>
      <c r="M579" s="6"/>
      <c r="N579" s="6"/>
      <c r="O579" s="6"/>
      <c r="P579" s="6"/>
      <c r="Q579" s="6"/>
      <c r="R579" s="6"/>
      <c r="S579" s="6"/>
      <c r="T579" s="6"/>
      <c r="U579" s="6"/>
    </row>
    <row r="580" spans="1:21">
      <c r="A580" s="82"/>
      <c r="B580" s="83"/>
      <c r="C580" s="82"/>
      <c r="D580" s="82"/>
      <c r="E580" s="82"/>
      <c r="F580" s="82"/>
      <c r="G580" s="222"/>
      <c r="H580" s="222"/>
      <c r="I580" s="222"/>
      <c r="J580" s="6"/>
      <c r="K580" s="6"/>
      <c r="L580" s="6"/>
      <c r="M580" s="6"/>
      <c r="N580" s="6"/>
      <c r="O580" s="6"/>
      <c r="P580" s="6"/>
      <c r="Q580" s="6"/>
      <c r="R580" s="6"/>
      <c r="S580" s="6"/>
      <c r="T580" s="6"/>
      <c r="U580" s="6"/>
    </row>
    <row r="581" spans="1:21">
      <c r="A581" s="82"/>
      <c r="B581" s="83"/>
      <c r="C581" s="82"/>
      <c r="D581" s="82"/>
      <c r="E581" s="82"/>
      <c r="F581" s="82"/>
      <c r="G581" s="222"/>
      <c r="H581" s="222"/>
      <c r="I581" s="222"/>
      <c r="J581" s="6"/>
      <c r="K581" s="6"/>
      <c r="L581" s="6"/>
      <c r="M581" s="6"/>
      <c r="N581" s="6"/>
      <c r="O581" s="6"/>
      <c r="P581" s="6"/>
      <c r="Q581" s="6"/>
      <c r="R581" s="6"/>
      <c r="S581" s="6"/>
      <c r="T581" s="6"/>
      <c r="U581" s="6"/>
    </row>
    <row r="582" spans="1:21">
      <c r="A582" s="82"/>
      <c r="B582" s="83"/>
      <c r="C582" s="82"/>
      <c r="D582" s="82"/>
      <c r="E582" s="82"/>
      <c r="F582" s="82"/>
      <c r="G582" s="222"/>
      <c r="H582" s="222"/>
      <c r="I582" s="222"/>
      <c r="J582" s="6"/>
      <c r="K582" s="6"/>
      <c r="L582" s="6"/>
      <c r="M582" s="6"/>
      <c r="N582" s="6"/>
      <c r="O582" s="6"/>
      <c r="P582" s="6"/>
      <c r="Q582" s="6"/>
      <c r="R582" s="6"/>
      <c r="S582" s="6"/>
      <c r="T582" s="6"/>
      <c r="U582" s="6"/>
    </row>
    <row r="583" spans="1:21">
      <c r="A583" s="82"/>
      <c r="B583" s="83"/>
      <c r="C583" s="82"/>
      <c r="D583" s="82"/>
      <c r="E583" s="82"/>
      <c r="F583" s="82"/>
      <c r="G583" s="222"/>
      <c r="H583" s="222"/>
      <c r="I583" s="222"/>
      <c r="J583" s="6"/>
      <c r="K583" s="6"/>
      <c r="L583" s="6"/>
      <c r="M583" s="6"/>
      <c r="N583" s="6"/>
      <c r="O583" s="6"/>
      <c r="P583" s="6"/>
      <c r="Q583" s="6"/>
      <c r="R583" s="6"/>
      <c r="S583" s="6"/>
      <c r="T583" s="6"/>
      <c r="U583" s="6"/>
    </row>
    <row r="584" spans="1:21">
      <c r="A584" s="82"/>
      <c r="B584" s="83"/>
      <c r="C584" s="82"/>
      <c r="D584" s="82"/>
      <c r="E584" s="82"/>
      <c r="F584" s="82"/>
      <c r="G584" s="222"/>
      <c r="H584" s="222"/>
      <c r="I584" s="222"/>
      <c r="J584" s="6"/>
      <c r="K584" s="6"/>
      <c r="L584" s="6"/>
      <c r="M584" s="6"/>
      <c r="N584" s="6"/>
      <c r="O584" s="6"/>
      <c r="P584" s="6"/>
      <c r="Q584" s="6"/>
      <c r="R584" s="6"/>
      <c r="S584" s="6"/>
      <c r="T584" s="6"/>
      <c r="U584" s="6"/>
    </row>
    <row r="585" spans="1:21">
      <c r="A585" s="82"/>
      <c r="B585" s="83"/>
      <c r="C585" s="82"/>
      <c r="D585" s="82"/>
      <c r="E585" s="82"/>
      <c r="F585" s="82"/>
      <c r="G585" s="222"/>
      <c r="H585" s="222"/>
      <c r="I585" s="222"/>
      <c r="J585" s="6"/>
      <c r="K585" s="6"/>
      <c r="L585" s="6"/>
      <c r="M585" s="6"/>
      <c r="N585" s="6"/>
      <c r="O585" s="6"/>
      <c r="P585" s="6"/>
      <c r="Q585" s="6"/>
      <c r="R585" s="6"/>
      <c r="S585" s="6"/>
      <c r="T585" s="6"/>
      <c r="U585" s="6"/>
    </row>
    <row r="586" spans="1:21">
      <c r="A586" s="82"/>
      <c r="B586" s="83"/>
      <c r="C586" s="82"/>
      <c r="D586" s="82"/>
      <c r="E586" s="82"/>
      <c r="F586" s="82"/>
      <c r="G586" s="222"/>
      <c r="H586" s="222"/>
      <c r="I586" s="222"/>
      <c r="J586" s="6"/>
      <c r="K586" s="6"/>
      <c r="L586" s="6"/>
      <c r="M586" s="6"/>
      <c r="N586" s="6"/>
      <c r="O586" s="6"/>
      <c r="P586" s="6"/>
      <c r="Q586" s="6"/>
      <c r="R586" s="6"/>
      <c r="S586" s="6"/>
      <c r="T586" s="6"/>
      <c r="U586" s="6"/>
    </row>
    <row r="587" spans="1:21">
      <c r="A587" s="82"/>
      <c r="B587" s="83"/>
      <c r="C587" s="82"/>
      <c r="D587" s="82"/>
      <c r="E587" s="82"/>
      <c r="F587" s="82"/>
      <c r="G587" s="222"/>
      <c r="H587" s="222"/>
      <c r="I587" s="222"/>
      <c r="J587" s="6"/>
      <c r="K587" s="6"/>
      <c r="L587" s="6"/>
      <c r="M587" s="6"/>
      <c r="N587" s="6"/>
      <c r="O587" s="6"/>
      <c r="P587" s="6"/>
      <c r="Q587" s="6"/>
      <c r="R587" s="6"/>
      <c r="S587" s="6"/>
      <c r="T587" s="6"/>
      <c r="U587" s="6"/>
    </row>
    <row r="588" spans="1:21">
      <c r="A588" s="82"/>
      <c r="B588" s="83"/>
      <c r="C588" s="82"/>
      <c r="D588" s="82"/>
      <c r="E588" s="82"/>
      <c r="F588" s="82"/>
      <c r="G588" s="222"/>
      <c r="H588" s="222"/>
      <c r="I588" s="222"/>
      <c r="J588" s="6"/>
      <c r="K588" s="6"/>
      <c r="L588" s="6"/>
      <c r="M588" s="6"/>
      <c r="N588" s="6"/>
      <c r="O588" s="6"/>
      <c r="P588" s="6"/>
      <c r="Q588" s="6"/>
      <c r="R588" s="6"/>
      <c r="S588" s="6"/>
      <c r="T588" s="6"/>
      <c r="U588" s="6"/>
    </row>
    <row r="589" spans="1:21">
      <c r="A589" s="82"/>
      <c r="B589" s="83"/>
      <c r="C589" s="82"/>
      <c r="D589" s="82"/>
      <c r="E589" s="82"/>
      <c r="F589" s="82"/>
      <c r="G589" s="222"/>
      <c r="H589" s="222"/>
      <c r="I589" s="222"/>
      <c r="J589" s="6"/>
      <c r="K589" s="6"/>
      <c r="L589" s="6"/>
      <c r="M589" s="6"/>
      <c r="N589" s="6"/>
      <c r="O589" s="6"/>
      <c r="P589" s="6"/>
      <c r="Q589" s="6"/>
      <c r="R589" s="6"/>
      <c r="S589" s="6"/>
      <c r="T589" s="6"/>
      <c r="U589" s="6"/>
    </row>
    <row r="590" spans="1:21">
      <c r="A590" s="82"/>
      <c r="B590" s="83"/>
      <c r="C590" s="82"/>
      <c r="D590" s="82"/>
      <c r="E590" s="82"/>
      <c r="F590" s="82"/>
      <c r="G590" s="222"/>
      <c r="H590" s="222"/>
      <c r="I590" s="222"/>
      <c r="J590" s="6"/>
      <c r="K590" s="6"/>
      <c r="L590" s="6"/>
      <c r="M590" s="6"/>
      <c r="N590" s="6"/>
      <c r="O590" s="6"/>
      <c r="P590" s="6"/>
      <c r="Q590" s="6"/>
      <c r="R590" s="6"/>
      <c r="S590" s="6"/>
      <c r="T590" s="6"/>
      <c r="U590" s="6"/>
    </row>
    <row r="591" spans="1:21">
      <c r="A591" s="82"/>
      <c r="B591" s="83"/>
      <c r="C591" s="82"/>
      <c r="D591" s="82"/>
      <c r="E591" s="82"/>
      <c r="F591" s="82"/>
      <c r="G591" s="222"/>
      <c r="H591" s="222"/>
      <c r="I591" s="222"/>
      <c r="J591" s="6"/>
      <c r="K591" s="6"/>
      <c r="L591" s="6"/>
      <c r="M591" s="6"/>
      <c r="N591" s="6"/>
      <c r="O591" s="6"/>
      <c r="P591" s="6"/>
      <c r="Q591" s="6"/>
      <c r="R591" s="6"/>
      <c r="S591" s="6"/>
      <c r="T591" s="6"/>
      <c r="U591" s="6"/>
    </row>
    <row r="592" spans="1:21">
      <c r="A592" s="82"/>
      <c r="B592" s="83"/>
      <c r="C592" s="82"/>
      <c r="D592" s="82"/>
      <c r="E592" s="82"/>
      <c r="F592" s="82"/>
      <c r="G592" s="222"/>
      <c r="H592" s="222"/>
      <c r="I592" s="222"/>
      <c r="J592" s="6"/>
      <c r="K592" s="6"/>
      <c r="L592" s="6"/>
      <c r="M592" s="6"/>
      <c r="N592" s="6"/>
      <c r="O592" s="6"/>
      <c r="P592" s="6"/>
      <c r="Q592" s="6"/>
      <c r="R592" s="6"/>
      <c r="S592" s="6"/>
      <c r="T592" s="6"/>
      <c r="U592" s="6"/>
    </row>
    <row r="593" spans="1:21">
      <c r="A593" s="82"/>
      <c r="B593" s="83"/>
      <c r="C593" s="82"/>
      <c r="D593" s="82"/>
      <c r="E593" s="82"/>
      <c r="F593" s="82"/>
      <c r="G593" s="222"/>
      <c r="H593" s="222"/>
      <c r="I593" s="222"/>
      <c r="J593" s="6"/>
      <c r="K593" s="6"/>
      <c r="L593" s="6"/>
      <c r="M593" s="6"/>
      <c r="N593" s="6"/>
      <c r="O593" s="6"/>
      <c r="P593" s="6"/>
      <c r="Q593" s="6"/>
      <c r="R593" s="6"/>
      <c r="S593" s="6"/>
      <c r="T593" s="6"/>
      <c r="U593" s="6"/>
    </row>
    <row r="594" spans="1:21">
      <c r="A594" s="82"/>
      <c r="B594" s="83"/>
      <c r="C594" s="82"/>
      <c r="D594" s="82"/>
      <c r="E594" s="82"/>
      <c r="F594" s="82"/>
      <c r="G594" s="222"/>
      <c r="H594" s="222"/>
      <c r="I594" s="222"/>
      <c r="J594" s="6"/>
      <c r="K594" s="6"/>
      <c r="L594" s="6"/>
      <c r="M594" s="6"/>
      <c r="N594" s="6"/>
      <c r="O594" s="6"/>
      <c r="P594" s="6"/>
      <c r="Q594" s="6"/>
      <c r="R594" s="6"/>
      <c r="S594" s="6"/>
      <c r="T594" s="6"/>
      <c r="U594" s="6"/>
    </row>
    <row r="595" spans="1:21">
      <c r="A595" s="82"/>
      <c r="B595" s="83"/>
      <c r="C595" s="82"/>
      <c r="D595" s="82"/>
      <c r="E595" s="82"/>
      <c r="F595" s="82"/>
      <c r="G595" s="222"/>
      <c r="H595" s="222"/>
      <c r="I595" s="222"/>
      <c r="J595" s="6"/>
      <c r="K595" s="6"/>
      <c r="L595" s="6"/>
      <c r="M595" s="6"/>
      <c r="N595" s="6"/>
      <c r="O595" s="6"/>
      <c r="P595" s="6"/>
      <c r="Q595" s="6"/>
      <c r="R595" s="6"/>
      <c r="S595" s="6"/>
      <c r="T595" s="6"/>
      <c r="U595" s="6"/>
    </row>
    <row r="596" spans="1:21">
      <c r="A596" s="82"/>
      <c r="B596" s="83"/>
      <c r="C596" s="82"/>
      <c r="D596" s="82"/>
      <c r="E596" s="82"/>
      <c r="F596" s="82"/>
      <c r="G596" s="222"/>
      <c r="H596" s="222"/>
      <c r="I596" s="222"/>
      <c r="J596" s="6"/>
      <c r="K596" s="6"/>
      <c r="L596" s="6"/>
      <c r="M596" s="6"/>
      <c r="N596" s="6"/>
      <c r="O596" s="6"/>
      <c r="P596" s="6"/>
      <c r="Q596" s="6"/>
      <c r="R596" s="6"/>
      <c r="S596" s="6"/>
      <c r="T596" s="6"/>
      <c r="U596" s="6"/>
    </row>
    <row r="597" spans="1:21">
      <c r="A597" s="82"/>
      <c r="B597" s="83"/>
      <c r="C597" s="82"/>
      <c r="D597" s="82"/>
      <c r="E597" s="82"/>
      <c r="F597" s="82"/>
      <c r="G597" s="222"/>
      <c r="H597" s="222"/>
      <c r="I597" s="222"/>
      <c r="J597" s="6"/>
      <c r="K597" s="6"/>
      <c r="L597" s="6"/>
      <c r="M597" s="6"/>
      <c r="N597" s="6"/>
      <c r="O597" s="6"/>
      <c r="P597" s="6"/>
      <c r="Q597" s="6"/>
      <c r="R597" s="6"/>
      <c r="S597" s="6"/>
      <c r="T597" s="6"/>
      <c r="U597" s="6"/>
    </row>
    <row r="598" spans="1:21">
      <c r="A598" s="82"/>
      <c r="B598" s="83"/>
      <c r="C598" s="82"/>
      <c r="D598" s="82"/>
      <c r="E598" s="82"/>
      <c r="F598" s="82"/>
      <c r="G598" s="222"/>
      <c r="H598" s="222"/>
      <c r="I598" s="222"/>
      <c r="J598" s="6"/>
      <c r="K598" s="6"/>
      <c r="L598" s="6"/>
      <c r="M598" s="6"/>
      <c r="N598" s="6"/>
      <c r="O598" s="6"/>
      <c r="P598" s="6"/>
      <c r="Q598" s="6"/>
      <c r="R598" s="6"/>
      <c r="S598" s="6"/>
      <c r="T598" s="6"/>
      <c r="U598" s="6"/>
    </row>
    <row r="599" spans="1:21">
      <c r="A599" s="82"/>
      <c r="B599" s="83"/>
      <c r="C599" s="82"/>
      <c r="D599" s="82"/>
      <c r="E599" s="82"/>
      <c r="F599" s="82"/>
      <c r="G599" s="222"/>
      <c r="H599" s="222"/>
      <c r="I599" s="222"/>
      <c r="J599" s="6"/>
      <c r="K599" s="6"/>
      <c r="L599" s="6"/>
      <c r="M599" s="6"/>
      <c r="N599" s="6"/>
      <c r="O599" s="6"/>
      <c r="P599" s="6"/>
      <c r="Q599" s="6"/>
      <c r="R599" s="6"/>
      <c r="S599" s="6"/>
      <c r="T599" s="6"/>
      <c r="U599" s="6"/>
    </row>
    <row r="600" spans="1:21">
      <c r="A600" s="82"/>
      <c r="B600" s="83"/>
      <c r="C600" s="82"/>
      <c r="D600" s="82"/>
      <c r="E600" s="82"/>
      <c r="F600" s="82"/>
      <c r="G600" s="222"/>
      <c r="H600" s="222"/>
      <c r="I600" s="222"/>
      <c r="J600" s="6"/>
      <c r="K600" s="6"/>
      <c r="L600" s="6"/>
      <c r="M600" s="6"/>
      <c r="N600" s="6"/>
      <c r="O600" s="6"/>
      <c r="P600" s="6"/>
      <c r="Q600" s="6"/>
      <c r="R600" s="6"/>
      <c r="S600" s="6"/>
      <c r="T600" s="6"/>
      <c r="U600" s="6"/>
    </row>
    <row r="601" spans="1:21">
      <c r="A601" s="82"/>
      <c r="B601" s="83"/>
      <c r="C601" s="82"/>
      <c r="D601" s="82"/>
      <c r="E601" s="82"/>
      <c r="F601" s="82"/>
      <c r="G601" s="222"/>
      <c r="H601" s="222"/>
      <c r="I601" s="222"/>
      <c r="J601" s="6"/>
      <c r="K601" s="6"/>
      <c r="L601" s="6"/>
      <c r="M601" s="6"/>
      <c r="N601" s="6"/>
      <c r="O601" s="6"/>
      <c r="P601" s="6"/>
      <c r="Q601" s="6"/>
      <c r="R601" s="6"/>
      <c r="S601" s="6"/>
      <c r="T601" s="6"/>
      <c r="U601" s="6"/>
    </row>
    <row r="602" spans="1:21">
      <c r="A602" s="82"/>
      <c r="B602" s="83"/>
      <c r="C602" s="82"/>
      <c r="D602" s="82"/>
      <c r="E602" s="82"/>
      <c r="F602" s="82"/>
      <c r="G602" s="222"/>
      <c r="H602" s="222"/>
      <c r="I602" s="222"/>
      <c r="J602" s="6"/>
      <c r="K602" s="6"/>
      <c r="L602" s="6"/>
      <c r="M602" s="6"/>
      <c r="N602" s="6"/>
      <c r="O602" s="6"/>
      <c r="P602" s="6"/>
      <c r="Q602" s="6"/>
      <c r="R602" s="6"/>
      <c r="S602" s="6"/>
      <c r="T602" s="6"/>
      <c r="U602" s="6"/>
    </row>
    <row r="603" spans="1:21">
      <c r="A603" s="82"/>
      <c r="B603" s="83"/>
      <c r="C603" s="82"/>
      <c r="D603" s="82"/>
      <c r="E603" s="82"/>
      <c r="F603" s="82"/>
      <c r="G603" s="222"/>
      <c r="H603" s="222"/>
      <c r="I603" s="222"/>
      <c r="J603" s="6"/>
      <c r="K603" s="6"/>
      <c r="L603" s="6"/>
      <c r="M603" s="6"/>
      <c r="N603" s="6"/>
      <c r="O603" s="6"/>
      <c r="P603" s="6"/>
      <c r="Q603" s="6"/>
      <c r="R603" s="6"/>
      <c r="S603" s="6"/>
      <c r="T603" s="6"/>
      <c r="U603" s="6"/>
    </row>
    <row r="604" spans="1:21">
      <c r="A604" s="82"/>
      <c r="B604" s="83"/>
      <c r="C604" s="82"/>
      <c r="D604" s="82"/>
      <c r="E604" s="82"/>
      <c r="F604" s="82"/>
      <c r="G604" s="222"/>
      <c r="H604" s="222"/>
      <c r="I604" s="222"/>
      <c r="J604" s="6"/>
      <c r="K604" s="6"/>
      <c r="L604" s="6"/>
      <c r="M604" s="6"/>
      <c r="N604" s="6"/>
      <c r="O604" s="6"/>
      <c r="P604" s="6"/>
      <c r="Q604" s="6"/>
      <c r="R604" s="6"/>
      <c r="S604" s="6"/>
      <c r="T604" s="6"/>
      <c r="U604" s="6"/>
    </row>
    <row r="605" spans="1:21">
      <c r="A605" s="82"/>
      <c r="B605" s="83"/>
      <c r="C605" s="82"/>
      <c r="D605" s="82"/>
      <c r="E605" s="82"/>
      <c r="F605" s="82"/>
      <c r="G605" s="222"/>
      <c r="H605" s="222"/>
      <c r="I605" s="222"/>
      <c r="J605" s="6"/>
      <c r="K605" s="6"/>
      <c r="L605" s="6"/>
      <c r="M605" s="6"/>
      <c r="N605" s="6"/>
      <c r="O605" s="6"/>
      <c r="P605" s="6"/>
      <c r="Q605" s="6"/>
      <c r="R605" s="6"/>
      <c r="S605" s="6"/>
      <c r="T605" s="6"/>
      <c r="U605" s="6"/>
    </row>
    <row r="606" spans="1:21">
      <c r="A606" s="82"/>
      <c r="B606" s="83"/>
      <c r="C606" s="82"/>
      <c r="D606" s="82"/>
      <c r="E606" s="82"/>
      <c r="F606" s="82"/>
      <c r="G606" s="222"/>
      <c r="H606" s="222"/>
      <c r="I606" s="222"/>
      <c r="J606" s="6"/>
      <c r="K606" s="6"/>
      <c r="L606" s="6"/>
      <c r="M606" s="6"/>
      <c r="N606" s="6"/>
      <c r="O606" s="6"/>
      <c r="P606" s="6"/>
      <c r="Q606" s="6"/>
      <c r="R606" s="6"/>
      <c r="S606" s="6"/>
      <c r="T606" s="6"/>
      <c r="U606" s="6"/>
    </row>
    <row r="607" spans="1:21">
      <c r="A607" s="82"/>
      <c r="B607" s="83"/>
      <c r="C607" s="82"/>
      <c r="D607" s="82"/>
      <c r="E607" s="82"/>
      <c r="F607" s="82"/>
      <c r="G607" s="222"/>
      <c r="H607" s="222"/>
      <c r="I607" s="222"/>
      <c r="J607" s="6"/>
      <c r="K607" s="6"/>
      <c r="L607" s="6"/>
      <c r="M607" s="6"/>
      <c r="N607" s="6"/>
      <c r="O607" s="6"/>
      <c r="P607" s="6"/>
      <c r="Q607" s="6"/>
      <c r="R607" s="6"/>
      <c r="S607" s="6"/>
      <c r="T607" s="6"/>
      <c r="U607" s="6"/>
    </row>
    <row r="608" spans="1:21">
      <c r="A608" s="82"/>
      <c r="B608" s="83"/>
      <c r="C608" s="82"/>
      <c r="D608" s="82"/>
      <c r="E608" s="82"/>
      <c r="F608" s="82"/>
      <c r="G608" s="222"/>
      <c r="H608" s="222"/>
      <c r="I608" s="222"/>
      <c r="J608" s="6"/>
      <c r="K608" s="6"/>
      <c r="L608" s="6"/>
      <c r="M608" s="6"/>
      <c r="N608" s="6"/>
      <c r="O608" s="6"/>
      <c r="P608" s="6"/>
      <c r="Q608" s="6"/>
      <c r="R608" s="6"/>
      <c r="S608" s="6"/>
      <c r="T608" s="6"/>
      <c r="U608" s="6"/>
    </row>
    <row r="609" spans="1:21">
      <c r="A609" s="82"/>
      <c r="B609" s="83"/>
      <c r="C609" s="82"/>
      <c r="D609" s="82"/>
      <c r="E609" s="82"/>
      <c r="F609" s="82"/>
      <c r="G609" s="222"/>
      <c r="H609" s="222"/>
      <c r="I609" s="222"/>
      <c r="J609" s="6"/>
      <c r="K609" s="6"/>
      <c r="L609" s="6"/>
      <c r="M609" s="6"/>
      <c r="N609" s="6"/>
      <c r="O609" s="6"/>
      <c r="P609" s="6"/>
      <c r="Q609" s="6"/>
      <c r="R609" s="6"/>
      <c r="S609" s="6"/>
      <c r="T609" s="6"/>
      <c r="U609" s="6"/>
    </row>
    <row r="610" spans="1:21">
      <c r="A610" s="82"/>
      <c r="B610" s="83"/>
      <c r="C610" s="82"/>
      <c r="D610" s="82"/>
      <c r="E610" s="82"/>
      <c r="F610" s="82"/>
      <c r="G610" s="222"/>
      <c r="H610" s="222"/>
      <c r="I610" s="222"/>
      <c r="J610" s="6"/>
      <c r="K610" s="6"/>
      <c r="L610" s="6"/>
      <c r="M610" s="6"/>
      <c r="N610" s="6"/>
      <c r="O610" s="6"/>
      <c r="P610" s="6"/>
      <c r="Q610" s="6"/>
      <c r="R610" s="6"/>
      <c r="S610" s="6"/>
      <c r="T610" s="6"/>
      <c r="U610" s="6"/>
    </row>
    <row r="611" spans="1:21">
      <c r="A611" s="82"/>
      <c r="B611" s="83"/>
      <c r="C611" s="82"/>
      <c r="D611" s="82"/>
      <c r="E611" s="82"/>
      <c r="F611" s="82"/>
      <c r="G611" s="222"/>
      <c r="H611" s="222"/>
      <c r="I611" s="222"/>
      <c r="J611" s="6"/>
      <c r="K611" s="6"/>
      <c r="L611" s="6"/>
      <c r="M611" s="6"/>
      <c r="N611" s="6"/>
      <c r="O611" s="6"/>
      <c r="P611" s="6"/>
      <c r="Q611" s="6"/>
      <c r="R611" s="6"/>
      <c r="S611" s="6"/>
      <c r="T611" s="6"/>
      <c r="U611" s="6"/>
    </row>
    <row r="612" spans="1:21">
      <c r="A612" s="82"/>
      <c r="B612" s="83"/>
      <c r="C612" s="82"/>
      <c r="D612" s="82"/>
      <c r="E612" s="82"/>
      <c r="F612" s="82"/>
      <c r="G612" s="222"/>
      <c r="H612" s="222"/>
      <c r="I612" s="222"/>
      <c r="J612" s="6"/>
      <c r="K612" s="6"/>
      <c r="L612" s="6"/>
      <c r="M612" s="6"/>
      <c r="N612" s="6"/>
      <c r="O612" s="6"/>
      <c r="P612" s="6"/>
      <c r="Q612" s="6"/>
      <c r="R612" s="6"/>
      <c r="S612" s="6"/>
      <c r="T612" s="6"/>
      <c r="U612" s="6"/>
    </row>
    <row r="613" spans="1:21">
      <c r="A613" s="82"/>
      <c r="B613" s="83"/>
      <c r="C613" s="82"/>
      <c r="D613" s="82"/>
      <c r="E613" s="82"/>
      <c r="F613" s="82"/>
      <c r="G613" s="222"/>
      <c r="H613" s="222"/>
      <c r="I613" s="222"/>
      <c r="J613" s="6"/>
      <c r="K613" s="6"/>
      <c r="L613" s="6"/>
      <c r="M613" s="6"/>
      <c r="N613" s="6"/>
      <c r="O613" s="6"/>
      <c r="P613" s="6"/>
      <c r="Q613" s="6"/>
      <c r="R613" s="6"/>
      <c r="S613" s="6"/>
      <c r="T613" s="6"/>
      <c r="U613" s="6"/>
    </row>
    <row r="614" spans="1:21">
      <c r="A614" s="82"/>
      <c r="B614" s="83"/>
      <c r="C614" s="82"/>
      <c r="D614" s="82"/>
      <c r="E614" s="82"/>
      <c r="F614" s="82"/>
      <c r="G614" s="222"/>
      <c r="H614" s="222"/>
      <c r="I614" s="222"/>
      <c r="J614" s="6"/>
      <c r="K614" s="6"/>
      <c r="L614" s="6"/>
      <c r="M614" s="6"/>
      <c r="N614" s="6"/>
      <c r="O614" s="6"/>
      <c r="P614" s="6"/>
      <c r="Q614" s="6"/>
      <c r="R614" s="6"/>
      <c r="S614" s="6"/>
      <c r="T614" s="6"/>
      <c r="U614" s="6"/>
    </row>
    <row r="615" spans="1:21">
      <c r="A615" s="82"/>
      <c r="B615" s="83"/>
      <c r="C615" s="82"/>
      <c r="D615" s="82"/>
      <c r="E615" s="82"/>
      <c r="F615" s="82"/>
      <c r="G615" s="222"/>
      <c r="H615" s="222"/>
      <c r="I615" s="222"/>
      <c r="J615" s="6"/>
      <c r="K615" s="6"/>
      <c r="L615" s="6"/>
      <c r="M615" s="6"/>
      <c r="N615" s="6"/>
      <c r="O615" s="6"/>
      <c r="P615" s="6"/>
      <c r="Q615" s="6"/>
      <c r="R615" s="6"/>
      <c r="S615" s="6"/>
      <c r="T615" s="6"/>
      <c r="U615" s="6"/>
    </row>
    <row r="616" spans="1:21">
      <c r="A616" s="82"/>
      <c r="B616" s="83"/>
      <c r="C616" s="82"/>
      <c r="D616" s="82"/>
      <c r="E616" s="82"/>
      <c r="F616" s="82"/>
      <c r="G616" s="222"/>
      <c r="H616" s="222"/>
      <c r="I616" s="222"/>
      <c r="J616" s="6"/>
      <c r="K616" s="6"/>
      <c r="L616" s="6"/>
      <c r="M616" s="6"/>
      <c r="N616" s="6"/>
      <c r="O616" s="6"/>
      <c r="P616" s="6"/>
      <c r="Q616" s="6"/>
      <c r="R616" s="6"/>
      <c r="S616" s="6"/>
      <c r="T616" s="6"/>
      <c r="U616" s="6"/>
    </row>
    <row r="617" spans="1:21">
      <c r="A617" s="82"/>
      <c r="B617" s="83"/>
      <c r="C617" s="82"/>
      <c r="D617" s="82"/>
      <c r="E617" s="82"/>
      <c r="F617" s="82"/>
      <c r="G617" s="222"/>
      <c r="H617" s="222"/>
      <c r="I617" s="222"/>
      <c r="J617" s="6"/>
      <c r="K617" s="6"/>
      <c r="L617" s="6"/>
      <c r="M617" s="6"/>
      <c r="N617" s="6"/>
      <c r="O617" s="6"/>
      <c r="P617" s="6"/>
      <c r="Q617" s="6"/>
      <c r="R617" s="6"/>
      <c r="S617" s="6"/>
      <c r="T617" s="6"/>
      <c r="U617" s="6"/>
    </row>
    <row r="618" spans="1:21">
      <c r="A618" s="82"/>
      <c r="B618" s="83"/>
      <c r="C618" s="82"/>
      <c r="D618" s="82"/>
      <c r="E618" s="82"/>
      <c r="F618" s="82"/>
      <c r="G618" s="222"/>
      <c r="H618" s="222"/>
      <c r="I618" s="222"/>
      <c r="J618" s="6"/>
      <c r="K618" s="6"/>
      <c r="L618" s="6"/>
      <c r="M618" s="6"/>
      <c r="N618" s="6"/>
      <c r="O618" s="6"/>
      <c r="P618" s="6"/>
      <c r="Q618" s="6"/>
      <c r="R618" s="6"/>
      <c r="S618" s="6"/>
      <c r="T618" s="6"/>
      <c r="U618" s="6"/>
    </row>
    <row r="619" spans="1:21">
      <c r="A619" s="82"/>
      <c r="B619" s="83"/>
      <c r="C619" s="82"/>
      <c r="D619" s="82"/>
      <c r="E619" s="82"/>
      <c r="F619" s="82"/>
      <c r="G619" s="222"/>
      <c r="H619" s="222"/>
      <c r="I619" s="222"/>
      <c r="J619" s="6"/>
      <c r="K619" s="6"/>
      <c r="L619" s="6"/>
      <c r="M619" s="6"/>
      <c r="N619" s="6"/>
      <c r="O619" s="6"/>
      <c r="P619" s="6"/>
      <c r="Q619" s="6"/>
      <c r="R619" s="6"/>
      <c r="S619" s="6"/>
      <c r="T619" s="6"/>
      <c r="U619" s="6"/>
    </row>
    <row r="620" spans="1:21">
      <c r="A620" s="82"/>
      <c r="B620" s="83"/>
      <c r="C620" s="82"/>
      <c r="D620" s="82"/>
      <c r="E620" s="82"/>
      <c r="F620" s="82"/>
      <c r="G620" s="222"/>
      <c r="H620" s="222"/>
      <c r="I620" s="222"/>
      <c r="J620" s="6"/>
      <c r="K620" s="6"/>
      <c r="L620" s="6"/>
      <c r="M620" s="6"/>
      <c r="N620" s="6"/>
      <c r="O620" s="6"/>
      <c r="P620" s="6"/>
      <c r="Q620" s="6"/>
      <c r="R620" s="6"/>
      <c r="S620" s="6"/>
      <c r="T620" s="6"/>
      <c r="U620" s="6"/>
    </row>
    <row r="621" spans="1:21">
      <c r="A621" s="82"/>
      <c r="B621" s="83"/>
      <c r="C621" s="82"/>
      <c r="D621" s="82"/>
      <c r="E621" s="82"/>
      <c r="F621" s="82"/>
      <c r="G621" s="222"/>
      <c r="H621" s="222"/>
      <c r="I621" s="222"/>
      <c r="J621" s="6"/>
      <c r="K621" s="6"/>
      <c r="L621" s="6"/>
      <c r="M621" s="6"/>
      <c r="N621" s="6"/>
      <c r="O621" s="6"/>
      <c r="P621" s="6"/>
      <c r="Q621" s="6"/>
      <c r="R621" s="6"/>
      <c r="S621" s="6"/>
      <c r="T621" s="6"/>
      <c r="U621" s="6"/>
    </row>
    <row r="622" spans="1:21">
      <c r="A622" s="82"/>
      <c r="B622" s="83"/>
      <c r="C622" s="82"/>
      <c r="D622" s="82"/>
      <c r="E622" s="82"/>
      <c r="F622" s="82"/>
      <c r="G622" s="222"/>
      <c r="H622" s="222"/>
      <c r="I622" s="222"/>
      <c r="J622" s="6"/>
      <c r="K622" s="6"/>
      <c r="L622" s="6"/>
      <c r="M622" s="6"/>
      <c r="N622" s="6"/>
      <c r="O622" s="6"/>
      <c r="P622" s="6"/>
      <c r="Q622" s="6"/>
      <c r="R622" s="6"/>
      <c r="S622" s="6"/>
      <c r="T622" s="6"/>
      <c r="U622" s="6"/>
    </row>
    <row r="623" spans="1:21">
      <c r="A623" s="82"/>
      <c r="B623" s="83"/>
      <c r="C623" s="82"/>
      <c r="D623" s="82"/>
      <c r="E623" s="82"/>
      <c r="F623" s="82"/>
      <c r="G623" s="222"/>
      <c r="H623" s="222"/>
      <c r="I623" s="222"/>
      <c r="J623" s="6"/>
      <c r="K623" s="6"/>
      <c r="L623" s="6"/>
      <c r="M623" s="6"/>
      <c r="N623" s="6"/>
      <c r="O623" s="6"/>
      <c r="P623" s="6"/>
      <c r="Q623" s="6"/>
      <c r="R623" s="6"/>
      <c r="S623" s="6"/>
      <c r="T623" s="6"/>
      <c r="U623" s="6"/>
    </row>
    <row r="624" spans="1:21">
      <c r="A624" s="82"/>
      <c r="B624" s="83"/>
      <c r="C624" s="82"/>
      <c r="D624" s="82"/>
      <c r="E624" s="82"/>
      <c r="F624" s="82"/>
      <c r="G624" s="222"/>
      <c r="H624" s="222"/>
      <c r="I624" s="222"/>
      <c r="J624" s="6"/>
      <c r="K624" s="6"/>
      <c r="L624" s="6"/>
      <c r="M624" s="6"/>
      <c r="N624" s="6"/>
      <c r="O624" s="6"/>
      <c r="P624" s="6"/>
      <c r="Q624" s="6"/>
      <c r="R624" s="6"/>
      <c r="S624" s="6"/>
      <c r="T624" s="6"/>
      <c r="U624" s="6"/>
    </row>
    <row r="625" spans="1:21">
      <c r="A625" s="82"/>
      <c r="B625" s="83"/>
      <c r="C625" s="82"/>
      <c r="D625" s="82"/>
      <c r="E625" s="82"/>
      <c r="F625" s="82"/>
      <c r="G625" s="222"/>
      <c r="H625" s="222"/>
      <c r="I625" s="222"/>
      <c r="J625" s="6"/>
      <c r="K625" s="6"/>
      <c r="L625" s="6"/>
      <c r="M625" s="6"/>
      <c r="N625" s="6"/>
      <c r="O625" s="6"/>
      <c r="P625" s="6"/>
      <c r="Q625" s="6"/>
      <c r="R625" s="6"/>
      <c r="S625" s="6"/>
      <c r="T625" s="6"/>
      <c r="U625" s="6"/>
    </row>
    <row r="626" spans="1:21">
      <c r="A626" s="82"/>
      <c r="B626" s="83"/>
      <c r="C626" s="82"/>
      <c r="D626" s="82"/>
      <c r="E626" s="82"/>
      <c r="F626" s="82"/>
      <c r="G626" s="222"/>
      <c r="H626" s="222"/>
      <c r="I626" s="222"/>
      <c r="J626" s="6"/>
      <c r="K626" s="6"/>
      <c r="L626" s="6"/>
      <c r="M626" s="6"/>
      <c r="N626" s="6"/>
      <c r="O626" s="6"/>
      <c r="P626" s="6"/>
      <c r="Q626" s="6"/>
      <c r="R626" s="6"/>
      <c r="S626" s="6"/>
      <c r="T626" s="6"/>
      <c r="U626" s="6"/>
    </row>
    <row r="627" spans="1:21">
      <c r="A627" s="82"/>
      <c r="B627" s="83"/>
      <c r="C627" s="82"/>
      <c r="D627" s="82"/>
      <c r="E627" s="82"/>
      <c r="F627" s="82"/>
      <c r="G627" s="222"/>
      <c r="H627" s="222"/>
      <c r="I627" s="222"/>
      <c r="J627" s="6"/>
      <c r="K627" s="6"/>
      <c r="L627" s="6"/>
      <c r="M627" s="6"/>
      <c r="N627" s="6"/>
      <c r="O627" s="6"/>
      <c r="P627" s="6"/>
      <c r="Q627" s="6"/>
      <c r="R627" s="6"/>
      <c r="S627" s="6"/>
      <c r="T627" s="6"/>
      <c r="U627" s="6"/>
    </row>
    <row r="628" spans="1:21">
      <c r="A628" s="82"/>
      <c r="B628" s="83"/>
      <c r="C628" s="82"/>
      <c r="D628" s="82"/>
      <c r="E628" s="82"/>
      <c r="F628" s="82"/>
      <c r="G628" s="222"/>
      <c r="H628" s="222"/>
      <c r="I628" s="222"/>
      <c r="J628" s="6"/>
      <c r="K628" s="6"/>
      <c r="L628" s="6"/>
      <c r="M628" s="6"/>
      <c r="N628" s="6"/>
      <c r="O628" s="6"/>
      <c r="P628" s="6"/>
      <c r="Q628" s="6"/>
      <c r="R628" s="6"/>
      <c r="S628" s="6"/>
      <c r="T628" s="6"/>
      <c r="U628" s="6"/>
    </row>
    <row r="629" spans="1:21">
      <c r="A629" s="82"/>
      <c r="B629" s="83"/>
      <c r="C629" s="82"/>
      <c r="D629" s="82"/>
      <c r="E629" s="82"/>
      <c r="F629" s="82"/>
      <c r="G629" s="222"/>
      <c r="H629" s="222"/>
      <c r="I629" s="222"/>
      <c r="J629" s="6"/>
      <c r="K629" s="6"/>
      <c r="L629" s="6"/>
      <c r="M629" s="6"/>
      <c r="N629" s="6"/>
      <c r="O629" s="6"/>
      <c r="P629" s="6"/>
      <c r="Q629" s="6"/>
      <c r="R629" s="6"/>
      <c r="S629" s="6"/>
      <c r="T629" s="6"/>
      <c r="U629" s="6"/>
    </row>
    <row r="630" spans="1:21">
      <c r="A630" s="82"/>
      <c r="B630" s="83"/>
      <c r="C630" s="82"/>
      <c r="D630" s="82"/>
      <c r="E630" s="82"/>
      <c r="F630" s="82"/>
      <c r="G630" s="222"/>
      <c r="H630" s="222"/>
      <c r="I630" s="222"/>
      <c r="J630" s="6"/>
      <c r="K630" s="6"/>
      <c r="L630" s="6"/>
      <c r="M630" s="6"/>
      <c r="N630" s="6"/>
      <c r="O630" s="6"/>
      <c r="P630" s="6"/>
      <c r="Q630" s="6"/>
      <c r="R630" s="6"/>
      <c r="S630" s="6"/>
      <c r="T630" s="6"/>
      <c r="U630" s="6"/>
    </row>
    <row r="631" spans="1:21">
      <c r="A631" s="82"/>
      <c r="B631" s="83"/>
      <c r="C631" s="82"/>
      <c r="D631" s="82"/>
      <c r="E631" s="82"/>
      <c r="F631" s="82"/>
      <c r="G631" s="222"/>
      <c r="H631" s="222"/>
      <c r="I631" s="222"/>
      <c r="J631" s="6"/>
      <c r="K631" s="6"/>
      <c r="L631" s="6"/>
      <c r="M631" s="6"/>
      <c r="N631" s="6"/>
      <c r="O631" s="6"/>
      <c r="P631" s="6"/>
      <c r="Q631" s="6"/>
      <c r="R631" s="6"/>
      <c r="S631" s="6"/>
      <c r="T631" s="6"/>
      <c r="U631" s="6"/>
    </row>
    <row r="632" spans="1:21">
      <c r="A632" s="82"/>
      <c r="B632" s="83"/>
      <c r="C632" s="82"/>
      <c r="D632" s="82"/>
      <c r="E632" s="82"/>
      <c r="F632" s="82"/>
      <c r="G632" s="222"/>
      <c r="H632" s="222"/>
      <c r="I632" s="222"/>
      <c r="J632" s="6"/>
      <c r="K632" s="6"/>
      <c r="L632" s="6"/>
      <c r="M632" s="6"/>
      <c r="N632" s="6"/>
      <c r="O632" s="6"/>
      <c r="P632" s="6"/>
      <c r="Q632" s="6"/>
      <c r="R632" s="6"/>
      <c r="S632" s="6"/>
      <c r="T632" s="6"/>
      <c r="U632" s="6"/>
    </row>
    <row r="633" spans="1:21">
      <c r="A633" s="82"/>
      <c r="B633" s="83"/>
      <c r="C633" s="82"/>
      <c r="D633" s="82"/>
      <c r="E633" s="82"/>
      <c r="F633" s="82"/>
      <c r="G633" s="222"/>
      <c r="H633" s="222"/>
      <c r="I633" s="222"/>
      <c r="J633" s="6"/>
      <c r="K633" s="6"/>
      <c r="L633" s="6"/>
      <c r="M633" s="6"/>
      <c r="N633" s="6"/>
      <c r="O633" s="6"/>
      <c r="P633" s="6"/>
      <c r="Q633" s="6"/>
      <c r="R633" s="6"/>
      <c r="S633" s="6"/>
      <c r="T633" s="6"/>
      <c r="U633" s="6"/>
    </row>
    <row r="634" spans="1:21">
      <c r="A634" s="82"/>
      <c r="B634" s="83"/>
      <c r="C634" s="82"/>
      <c r="D634" s="82"/>
      <c r="E634" s="82"/>
      <c r="F634" s="82"/>
      <c r="G634" s="222"/>
      <c r="H634" s="222"/>
      <c r="I634" s="222"/>
      <c r="J634" s="6"/>
      <c r="K634" s="6"/>
      <c r="L634" s="6"/>
      <c r="M634" s="6"/>
      <c r="N634" s="6"/>
      <c r="O634" s="6"/>
      <c r="P634" s="6"/>
      <c r="Q634" s="6"/>
      <c r="R634" s="6"/>
      <c r="S634" s="6"/>
      <c r="T634" s="6"/>
      <c r="U634" s="6"/>
    </row>
    <row r="635" spans="1:21">
      <c r="A635" s="82"/>
      <c r="B635" s="83"/>
      <c r="C635" s="82"/>
      <c r="D635" s="82"/>
      <c r="E635" s="82"/>
      <c r="F635" s="82"/>
      <c r="G635" s="222"/>
      <c r="H635" s="222"/>
      <c r="I635" s="222"/>
      <c r="J635" s="6"/>
      <c r="K635" s="6"/>
      <c r="L635" s="6"/>
      <c r="M635" s="6"/>
      <c r="N635" s="6"/>
      <c r="O635" s="6"/>
      <c r="P635" s="6"/>
      <c r="Q635" s="6"/>
      <c r="R635" s="6"/>
      <c r="S635" s="6"/>
      <c r="T635" s="6"/>
      <c r="U635" s="6"/>
    </row>
    <row r="636" spans="1:21">
      <c r="A636" s="82"/>
      <c r="B636" s="83"/>
      <c r="C636" s="82"/>
      <c r="D636" s="82"/>
      <c r="E636" s="82"/>
      <c r="F636" s="82"/>
      <c r="G636" s="222"/>
      <c r="H636" s="222"/>
      <c r="I636" s="222"/>
      <c r="J636" s="6"/>
      <c r="K636" s="6"/>
      <c r="L636" s="6"/>
      <c r="M636" s="6"/>
      <c r="N636" s="6"/>
      <c r="O636" s="6"/>
      <c r="P636" s="6"/>
      <c r="Q636" s="6"/>
      <c r="R636" s="6"/>
      <c r="S636" s="6"/>
      <c r="T636" s="6"/>
      <c r="U636" s="6"/>
    </row>
    <row r="637" spans="1:21">
      <c r="A637" s="82"/>
      <c r="B637" s="83"/>
      <c r="C637" s="82"/>
      <c r="D637" s="82"/>
      <c r="E637" s="82"/>
      <c r="F637" s="82"/>
      <c r="G637" s="222"/>
      <c r="H637" s="222"/>
      <c r="I637" s="222"/>
      <c r="J637" s="6"/>
      <c r="K637" s="6"/>
      <c r="L637" s="6"/>
      <c r="M637" s="6"/>
      <c r="N637" s="6"/>
      <c r="O637" s="6"/>
      <c r="P637" s="6"/>
      <c r="Q637" s="6"/>
      <c r="R637" s="6"/>
      <c r="S637" s="6"/>
      <c r="T637" s="6"/>
      <c r="U637" s="6"/>
    </row>
    <row r="638" spans="1:21">
      <c r="A638" s="82"/>
      <c r="B638" s="83"/>
      <c r="C638" s="82"/>
      <c r="D638" s="82"/>
      <c r="E638" s="82"/>
      <c r="F638" s="82"/>
      <c r="G638" s="222"/>
      <c r="H638" s="222"/>
      <c r="I638" s="222"/>
      <c r="J638" s="6"/>
      <c r="K638" s="6"/>
      <c r="L638" s="6"/>
      <c r="M638" s="6"/>
      <c r="N638" s="6"/>
      <c r="O638" s="6"/>
      <c r="P638" s="6"/>
      <c r="Q638" s="6"/>
      <c r="R638" s="6"/>
      <c r="S638" s="6"/>
      <c r="T638" s="6"/>
      <c r="U638" s="6"/>
    </row>
    <row r="639" spans="1:21">
      <c r="A639" s="82"/>
      <c r="B639" s="83"/>
      <c r="C639" s="82"/>
      <c r="D639" s="82"/>
      <c r="E639" s="82"/>
      <c r="F639" s="82"/>
      <c r="G639" s="222"/>
      <c r="H639" s="222"/>
      <c r="I639" s="222"/>
      <c r="J639" s="6"/>
      <c r="K639" s="6"/>
      <c r="L639" s="6"/>
      <c r="M639" s="6"/>
      <c r="N639" s="6"/>
      <c r="O639" s="6"/>
      <c r="P639" s="6"/>
      <c r="Q639" s="6"/>
      <c r="R639" s="6"/>
      <c r="S639" s="6"/>
      <c r="T639" s="6"/>
      <c r="U639" s="6"/>
    </row>
    <row r="640" spans="1:21">
      <c r="A640" s="82"/>
      <c r="B640" s="83"/>
      <c r="C640" s="82"/>
      <c r="D640" s="82"/>
      <c r="E640" s="82"/>
      <c r="F640" s="82"/>
      <c r="G640" s="222"/>
      <c r="H640" s="222"/>
      <c r="I640" s="222"/>
      <c r="J640" s="6"/>
      <c r="K640" s="6"/>
      <c r="L640" s="6"/>
      <c r="M640" s="6"/>
      <c r="N640" s="6"/>
      <c r="O640" s="6"/>
      <c r="P640" s="6"/>
      <c r="Q640" s="6"/>
      <c r="R640" s="6"/>
      <c r="S640" s="6"/>
      <c r="T640" s="6"/>
      <c r="U640" s="6"/>
    </row>
    <row r="641" spans="1:21">
      <c r="A641" s="82"/>
      <c r="B641" s="83"/>
      <c r="C641" s="82"/>
      <c r="D641" s="82"/>
      <c r="E641" s="82"/>
      <c r="F641" s="82"/>
      <c r="G641" s="222"/>
      <c r="H641" s="222"/>
      <c r="I641" s="222"/>
      <c r="J641" s="6"/>
      <c r="K641" s="6"/>
      <c r="L641" s="6"/>
      <c r="M641" s="6"/>
      <c r="N641" s="6"/>
      <c r="O641" s="6"/>
      <c r="P641" s="6"/>
      <c r="Q641" s="6"/>
      <c r="R641" s="6"/>
      <c r="S641" s="6"/>
      <c r="T641" s="6"/>
      <c r="U641" s="6"/>
    </row>
    <row r="642" spans="1:21">
      <c r="A642" s="82"/>
      <c r="B642" s="83"/>
      <c r="C642" s="82"/>
      <c r="D642" s="82"/>
      <c r="E642" s="82"/>
      <c r="F642" s="82"/>
      <c r="G642" s="222"/>
      <c r="H642" s="222"/>
      <c r="I642" s="222"/>
      <c r="J642" s="6"/>
      <c r="K642" s="6"/>
      <c r="L642" s="6"/>
      <c r="M642" s="6"/>
      <c r="N642" s="6"/>
      <c r="O642" s="6"/>
      <c r="P642" s="6"/>
      <c r="Q642" s="6"/>
      <c r="R642" s="6"/>
      <c r="S642" s="6"/>
      <c r="T642" s="6"/>
      <c r="U642" s="6"/>
    </row>
    <row r="643" spans="1:21">
      <c r="A643" s="82"/>
      <c r="B643" s="83"/>
      <c r="C643" s="82"/>
      <c r="D643" s="82"/>
      <c r="E643" s="82"/>
      <c r="F643" s="82"/>
      <c r="G643" s="222"/>
      <c r="H643" s="222"/>
      <c r="I643" s="222"/>
      <c r="J643" s="6"/>
      <c r="K643" s="6"/>
      <c r="L643" s="6"/>
      <c r="M643" s="6"/>
      <c r="N643" s="6"/>
      <c r="O643" s="6"/>
      <c r="P643" s="6"/>
      <c r="Q643" s="6"/>
      <c r="R643" s="6"/>
      <c r="S643" s="6"/>
      <c r="T643" s="6"/>
      <c r="U643" s="6"/>
    </row>
    <row r="644" spans="1:21">
      <c r="A644" s="82"/>
      <c r="B644" s="83"/>
      <c r="C644" s="82"/>
      <c r="D644" s="82"/>
      <c r="E644" s="82"/>
      <c r="F644" s="82"/>
      <c r="G644" s="222"/>
      <c r="H644" s="222"/>
      <c r="I644" s="222"/>
      <c r="J644" s="6"/>
      <c r="K644" s="6"/>
      <c r="L644" s="6"/>
      <c r="M644" s="6"/>
      <c r="N644" s="6"/>
      <c r="O644" s="6"/>
      <c r="P644" s="6"/>
      <c r="Q644" s="6"/>
      <c r="R644" s="6"/>
      <c r="S644" s="6"/>
      <c r="T644" s="6"/>
      <c r="U644" s="6"/>
    </row>
    <row r="645" spans="1:21">
      <c r="A645" s="82"/>
      <c r="B645" s="83"/>
      <c r="C645" s="82"/>
      <c r="D645" s="82"/>
      <c r="E645" s="82"/>
      <c r="F645" s="82"/>
      <c r="G645" s="222"/>
      <c r="H645" s="222"/>
      <c r="I645" s="222"/>
      <c r="J645" s="6"/>
      <c r="K645" s="6"/>
      <c r="L645" s="6"/>
      <c r="M645" s="6"/>
      <c r="N645" s="6"/>
      <c r="O645" s="6"/>
      <c r="P645" s="6"/>
      <c r="Q645" s="6"/>
      <c r="R645" s="6"/>
      <c r="S645" s="6"/>
      <c r="T645" s="6"/>
      <c r="U645" s="6"/>
    </row>
    <row r="646" spans="1:21">
      <c r="A646" s="82"/>
      <c r="B646" s="83"/>
      <c r="C646" s="82"/>
      <c r="D646" s="82"/>
      <c r="E646" s="82"/>
      <c r="F646" s="82"/>
      <c r="G646" s="222"/>
      <c r="H646" s="222"/>
      <c r="I646" s="222"/>
      <c r="J646" s="6"/>
      <c r="K646" s="6"/>
      <c r="L646" s="6"/>
      <c r="M646" s="6"/>
      <c r="N646" s="6"/>
      <c r="O646" s="6"/>
      <c r="P646" s="6"/>
      <c r="Q646" s="6"/>
      <c r="R646" s="6"/>
      <c r="S646" s="6"/>
      <c r="T646" s="6"/>
      <c r="U646" s="6"/>
    </row>
    <row r="647" spans="1:21">
      <c r="A647" s="82"/>
      <c r="B647" s="83"/>
      <c r="C647" s="82"/>
      <c r="D647" s="82"/>
      <c r="E647" s="82"/>
      <c r="F647" s="82"/>
      <c r="G647" s="222"/>
      <c r="H647" s="222"/>
      <c r="I647" s="222"/>
      <c r="J647" s="6"/>
      <c r="K647" s="6"/>
      <c r="L647" s="6"/>
      <c r="M647" s="6"/>
      <c r="N647" s="6"/>
      <c r="O647" s="6"/>
      <c r="P647" s="6"/>
      <c r="Q647" s="6"/>
      <c r="R647" s="6"/>
      <c r="S647" s="6"/>
      <c r="T647" s="6"/>
      <c r="U647" s="6"/>
    </row>
    <row r="648" spans="1:21">
      <c r="A648" s="82"/>
      <c r="B648" s="83"/>
      <c r="C648" s="82"/>
      <c r="D648" s="82"/>
      <c r="E648" s="82"/>
      <c r="F648" s="82"/>
      <c r="G648" s="222"/>
      <c r="H648" s="222"/>
      <c r="I648" s="222"/>
      <c r="J648" s="6"/>
      <c r="K648" s="6"/>
      <c r="L648" s="6"/>
      <c r="M648" s="6"/>
      <c r="N648" s="6"/>
      <c r="O648" s="6"/>
      <c r="P648" s="6"/>
      <c r="Q648" s="6"/>
      <c r="R648" s="6"/>
      <c r="S648" s="6"/>
      <c r="T648" s="6"/>
      <c r="U648" s="6"/>
    </row>
    <row r="649" spans="1:21">
      <c r="A649" s="82"/>
      <c r="B649" s="83"/>
      <c r="C649" s="82"/>
      <c r="D649" s="82"/>
      <c r="E649" s="82"/>
      <c r="F649" s="82"/>
      <c r="G649" s="222"/>
      <c r="H649" s="222"/>
      <c r="I649" s="222"/>
      <c r="J649" s="6"/>
      <c r="K649" s="6"/>
      <c r="L649" s="6"/>
      <c r="M649" s="6"/>
      <c r="N649" s="6"/>
      <c r="O649" s="6"/>
      <c r="P649" s="6"/>
      <c r="Q649" s="6"/>
      <c r="R649" s="6"/>
      <c r="S649" s="6"/>
      <c r="T649" s="6"/>
      <c r="U649" s="6"/>
    </row>
    <row r="650" spans="1:21">
      <c r="A650" s="82"/>
      <c r="B650" s="83"/>
      <c r="C650" s="82"/>
      <c r="D650" s="82"/>
      <c r="E650" s="82"/>
      <c r="F650" s="82"/>
      <c r="G650" s="222"/>
      <c r="H650" s="222"/>
      <c r="I650" s="222"/>
      <c r="J650" s="6"/>
      <c r="K650" s="6"/>
      <c r="L650" s="6"/>
      <c r="M650" s="6"/>
      <c r="N650" s="6"/>
      <c r="O650" s="6"/>
      <c r="P650" s="6"/>
      <c r="Q650" s="6"/>
      <c r="R650" s="6"/>
      <c r="S650" s="6"/>
      <c r="T650" s="6"/>
      <c r="U650" s="6"/>
    </row>
    <row r="651" spans="1:21">
      <c r="A651" s="82"/>
      <c r="B651" s="83"/>
      <c r="C651" s="82"/>
      <c r="D651" s="82"/>
      <c r="E651" s="82"/>
      <c r="F651" s="82"/>
      <c r="G651" s="222"/>
      <c r="H651" s="222"/>
      <c r="I651" s="222"/>
      <c r="J651" s="6"/>
      <c r="K651" s="6"/>
      <c r="L651" s="6"/>
      <c r="M651" s="6"/>
      <c r="N651" s="6"/>
      <c r="O651" s="6"/>
      <c r="P651" s="6"/>
      <c r="Q651" s="6"/>
      <c r="R651" s="6"/>
      <c r="S651" s="6"/>
      <c r="T651" s="6"/>
      <c r="U651" s="6"/>
    </row>
    <row r="652" spans="1:21">
      <c r="A652" s="82"/>
      <c r="B652" s="83"/>
      <c r="C652" s="82"/>
      <c r="D652" s="82"/>
      <c r="E652" s="82"/>
      <c r="F652" s="82"/>
      <c r="G652" s="222"/>
      <c r="H652" s="222"/>
      <c r="I652" s="222"/>
      <c r="J652" s="6"/>
      <c r="K652" s="6"/>
      <c r="L652" s="6"/>
      <c r="M652" s="6"/>
      <c r="N652" s="6"/>
      <c r="O652" s="6"/>
      <c r="P652" s="6"/>
      <c r="Q652" s="6"/>
      <c r="R652" s="6"/>
      <c r="S652" s="6"/>
      <c r="T652" s="6"/>
      <c r="U652" s="6"/>
    </row>
    <row r="653" spans="1:21">
      <c r="A653" s="82"/>
      <c r="B653" s="83"/>
      <c r="C653" s="82"/>
      <c r="D653" s="82"/>
      <c r="E653" s="82"/>
      <c r="F653" s="82"/>
      <c r="G653" s="222"/>
      <c r="H653" s="222"/>
      <c r="I653" s="222"/>
      <c r="J653" s="6"/>
      <c r="K653" s="6"/>
      <c r="L653" s="6"/>
      <c r="M653" s="6"/>
      <c r="N653" s="6"/>
      <c r="O653" s="6"/>
      <c r="P653" s="6"/>
      <c r="Q653" s="6"/>
      <c r="R653" s="6"/>
      <c r="S653" s="6"/>
      <c r="T653" s="6"/>
      <c r="U653" s="6"/>
    </row>
    <row r="654" spans="1:21">
      <c r="A654" s="82"/>
      <c r="B654" s="83"/>
      <c r="C654" s="82"/>
      <c r="D654" s="82"/>
      <c r="E654" s="82"/>
      <c r="F654" s="82"/>
      <c r="G654" s="222"/>
      <c r="H654" s="222"/>
      <c r="I654" s="222"/>
      <c r="J654" s="6"/>
      <c r="K654" s="6"/>
      <c r="L654" s="6"/>
      <c r="M654" s="6"/>
      <c r="N654" s="6"/>
      <c r="O654" s="6"/>
      <c r="P654" s="6"/>
      <c r="Q654" s="6"/>
      <c r="R654" s="6"/>
      <c r="S654" s="6"/>
      <c r="T654" s="6"/>
      <c r="U654" s="6"/>
    </row>
    <row r="655" spans="1:21">
      <c r="A655" s="82"/>
      <c r="B655" s="83"/>
      <c r="C655" s="82"/>
      <c r="D655" s="82"/>
      <c r="E655" s="82"/>
      <c r="F655" s="82"/>
      <c r="G655" s="222"/>
      <c r="H655" s="222"/>
      <c r="I655" s="222"/>
      <c r="J655" s="6"/>
      <c r="K655" s="6"/>
      <c r="L655" s="6"/>
      <c r="M655" s="6"/>
      <c r="N655" s="6"/>
      <c r="O655" s="6"/>
      <c r="P655" s="6"/>
      <c r="Q655" s="6"/>
      <c r="R655" s="6"/>
      <c r="S655" s="6"/>
      <c r="T655" s="6"/>
      <c r="U655" s="6"/>
    </row>
    <row r="656" spans="1:21">
      <c r="A656" s="82"/>
      <c r="B656" s="83"/>
      <c r="C656" s="82"/>
      <c r="D656" s="82"/>
      <c r="E656" s="82"/>
      <c r="F656" s="82"/>
      <c r="G656" s="222"/>
      <c r="H656" s="222"/>
      <c r="I656" s="222"/>
      <c r="J656" s="6"/>
      <c r="K656" s="6"/>
      <c r="L656" s="6"/>
      <c r="M656" s="6"/>
      <c r="N656" s="6"/>
      <c r="O656" s="6"/>
      <c r="P656" s="6"/>
      <c r="Q656" s="6"/>
      <c r="R656" s="6"/>
      <c r="S656" s="6"/>
      <c r="T656" s="6"/>
      <c r="U656" s="6"/>
    </row>
    <row r="657" spans="1:21">
      <c r="A657" s="82"/>
      <c r="B657" s="83"/>
      <c r="C657" s="82"/>
      <c r="D657" s="82"/>
      <c r="E657" s="82"/>
      <c r="F657" s="82"/>
      <c r="G657" s="222"/>
      <c r="H657" s="222"/>
      <c r="I657" s="222"/>
      <c r="J657" s="6"/>
      <c r="K657" s="6"/>
      <c r="L657" s="6"/>
      <c r="M657" s="6"/>
      <c r="N657" s="6"/>
      <c r="O657" s="6"/>
      <c r="P657" s="6"/>
      <c r="Q657" s="6"/>
      <c r="R657" s="6"/>
      <c r="S657" s="6"/>
      <c r="T657" s="6"/>
      <c r="U657" s="6"/>
    </row>
    <row r="658" spans="1:21">
      <c r="A658" s="82"/>
      <c r="B658" s="83"/>
      <c r="C658" s="82"/>
      <c r="D658" s="82"/>
      <c r="E658" s="82"/>
      <c r="F658" s="82"/>
      <c r="G658" s="222"/>
      <c r="H658" s="222"/>
      <c r="I658" s="222"/>
      <c r="J658" s="6"/>
      <c r="K658" s="6"/>
      <c r="L658" s="6"/>
      <c r="M658" s="6"/>
      <c r="N658" s="6"/>
      <c r="O658" s="6"/>
      <c r="P658" s="6"/>
      <c r="Q658" s="6"/>
      <c r="R658" s="6"/>
      <c r="S658" s="6"/>
      <c r="T658" s="6"/>
      <c r="U658" s="6"/>
    </row>
    <row r="659" spans="1:21">
      <c r="A659" s="82"/>
      <c r="B659" s="83"/>
      <c r="C659" s="82"/>
      <c r="D659" s="82"/>
      <c r="E659" s="82"/>
      <c r="F659" s="82"/>
      <c r="G659" s="222"/>
      <c r="H659" s="222"/>
      <c r="I659" s="222"/>
      <c r="J659" s="6"/>
      <c r="K659" s="6"/>
      <c r="L659" s="6"/>
      <c r="M659" s="6"/>
      <c r="N659" s="6"/>
      <c r="O659" s="6"/>
      <c r="P659" s="6"/>
      <c r="Q659" s="6"/>
      <c r="R659" s="6"/>
      <c r="S659" s="6"/>
      <c r="T659" s="6"/>
      <c r="U659" s="6"/>
    </row>
    <row r="660" spans="1:21">
      <c r="A660" s="82"/>
      <c r="B660" s="83"/>
      <c r="C660" s="82"/>
      <c r="D660" s="82"/>
      <c r="E660" s="82"/>
      <c r="F660" s="82"/>
      <c r="G660" s="222"/>
      <c r="H660" s="222"/>
      <c r="I660" s="222"/>
      <c r="J660" s="6"/>
      <c r="K660" s="6"/>
      <c r="L660" s="6"/>
      <c r="M660" s="6"/>
      <c r="N660" s="6"/>
      <c r="O660" s="6"/>
      <c r="P660" s="6"/>
      <c r="Q660" s="6"/>
      <c r="R660" s="6"/>
      <c r="S660" s="6"/>
      <c r="T660" s="6"/>
      <c r="U660" s="6"/>
    </row>
    <row r="661" spans="1:21">
      <c r="A661" s="82"/>
      <c r="B661" s="83"/>
      <c r="C661" s="82"/>
      <c r="D661" s="82"/>
      <c r="E661" s="82"/>
      <c r="F661" s="82"/>
      <c r="G661" s="222"/>
      <c r="H661" s="222"/>
      <c r="I661" s="222"/>
      <c r="J661" s="6"/>
      <c r="K661" s="6"/>
      <c r="L661" s="6"/>
      <c r="M661" s="6"/>
      <c r="N661" s="6"/>
      <c r="O661" s="6"/>
      <c r="P661" s="6"/>
      <c r="Q661" s="6"/>
      <c r="R661" s="6"/>
      <c r="S661" s="6"/>
      <c r="T661" s="6"/>
      <c r="U661" s="6"/>
    </row>
    <row r="662" spans="1:21">
      <c r="A662" s="82"/>
      <c r="B662" s="83"/>
      <c r="C662" s="82"/>
      <c r="D662" s="82"/>
      <c r="E662" s="82"/>
      <c r="F662" s="82"/>
      <c r="G662" s="222"/>
      <c r="H662" s="222"/>
      <c r="I662" s="222"/>
      <c r="J662" s="6"/>
      <c r="K662" s="6"/>
      <c r="L662" s="6"/>
      <c r="M662" s="6"/>
      <c r="N662" s="6"/>
      <c r="O662" s="6"/>
      <c r="P662" s="6"/>
      <c r="Q662" s="6"/>
      <c r="R662" s="6"/>
      <c r="S662" s="6"/>
      <c r="T662" s="6"/>
      <c r="U662" s="6"/>
    </row>
    <row r="663" spans="1:21">
      <c r="A663" s="82"/>
      <c r="B663" s="83"/>
      <c r="C663" s="82"/>
      <c r="D663" s="82"/>
      <c r="E663" s="82"/>
      <c r="F663" s="82"/>
      <c r="G663" s="222"/>
      <c r="H663" s="222"/>
      <c r="I663" s="222"/>
      <c r="J663" s="6"/>
      <c r="K663" s="6"/>
      <c r="L663" s="6"/>
      <c r="M663" s="6"/>
      <c r="N663" s="6"/>
      <c r="O663" s="6"/>
      <c r="P663" s="6"/>
      <c r="Q663" s="6"/>
      <c r="R663" s="6"/>
      <c r="S663" s="6"/>
      <c r="T663" s="6"/>
      <c r="U663" s="6"/>
    </row>
    <row r="664" spans="1:21">
      <c r="A664" s="82"/>
      <c r="B664" s="83"/>
      <c r="C664" s="82"/>
      <c r="D664" s="82"/>
      <c r="E664" s="82"/>
      <c r="F664" s="82"/>
      <c r="G664" s="222"/>
      <c r="H664" s="222"/>
      <c r="I664" s="222"/>
      <c r="J664" s="6"/>
      <c r="K664" s="6"/>
      <c r="L664" s="6"/>
      <c r="M664" s="6"/>
      <c r="N664" s="6"/>
      <c r="O664" s="6"/>
      <c r="P664" s="6"/>
      <c r="Q664" s="6"/>
      <c r="R664" s="6"/>
      <c r="S664" s="6"/>
      <c r="T664" s="6"/>
      <c r="U664" s="6"/>
    </row>
    <row r="665" spans="1:21">
      <c r="A665" s="82"/>
      <c r="B665" s="83"/>
      <c r="C665" s="82"/>
      <c r="D665" s="82"/>
      <c r="E665" s="82"/>
      <c r="F665" s="82"/>
      <c r="G665" s="222"/>
      <c r="H665" s="222"/>
      <c r="I665" s="222"/>
      <c r="J665" s="6"/>
      <c r="K665" s="6"/>
      <c r="L665" s="6"/>
      <c r="M665" s="6"/>
      <c r="N665" s="6"/>
      <c r="O665" s="6"/>
      <c r="P665" s="6"/>
      <c r="Q665" s="6"/>
      <c r="R665" s="6"/>
      <c r="S665" s="6"/>
      <c r="T665" s="6"/>
      <c r="U665" s="6"/>
    </row>
    <row r="666" spans="1:21">
      <c r="A666" s="82"/>
      <c r="B666" s="83"/>
      <c r="C666" s="82"/>
      <c r="D666" s="82"/>
      <c r="E666" s="82"/>
      <c r="F666" s="82"/>
      <c r="G666" s="222"/>
      <c r="H666" s="222"/>
      <c r="I666" s="222"/>
      <c r="J666" s="6"/>
      <c r="K666" s="6"/>
      <c r="L666" s="6"/>
      <c r="M666" s="6"/>
      <c r="N666" s="6"/>
      <c r="O666" s="6"/>
      <c r="P666" s="6"/>
      <c r="Q666" s="6"/>
      <c r="R666" s="6"/>
      <c r="S666" s="6"/>
      <c r="T666" s="6"/>
      <c r="U666" s="6"/>
    </row>
    <row r="667" spans="1:21">
      <c r="A667" s="82"/>
      <c r="B667" s="83"/>
      <c r="C667" s="82"/>
      <c r="D667" s="82"/>
      <c r="E667" s="82"/>
      <c r="F667" s="82"/>
      <c r="G667" s="222"/>
      <c r="H667" s="222"/>
      <c r="I667" s="222"/>
      <c r="J667" s="6"/>
      <c r="K667" s="6"/>
      <c r="L667" s="6"/>
      <c r="M667" s="6"/>
      <c r="N667" s="6"/>
      <c r="O667" s="6"/>
      <c r="P667" s="6"/>
      <c r="Q667" s="6"/>
      <c r="R667" s="6"/>
      <c r="S667" s="6"/>
      <c r="T667" s="6"/>
      <c r="U667" s="6"/>
    </row>
    <row r="668" spans="1:21">
      <c r="A668" s="82"/>
      <c r="B668" s="83"/>
      <c r="C668" s="82"/>
      <c r="D668" s="82"/>
      <c r="E668" s="82"/>
      <c r="F668" s="82"/>
      <c r="G668" s="222"/>
      <c r="H668" s="222"/>
      <c r="I668" s="222"/>
      <c r="J668" s="6"/>
      <c r="K668" s="6"/>
      <c r="L668" s="6"/>
      <c r="M668" s="6"/>
      <c r="N668" s="6"/>
      <c r="O668" s="6"/>
      <c r="P668" s="6"/>
      <c r="Q668" s="6"/>
      <c r="R668" s="6"/>
      <c r="S668" s="6"/>
      <c r="T668" s="6"/>
      <c r="U668" s="6"/>
    </row>
    <row r="669" spans="1:21">
      <c r="A669" s="82"/>
      <c r="B669" s="83"/>
      <c r="C669" s="82"/>
      <c r="D669" s="82"/>
      <c r="E669" s="82"/>
      <c r="F669" s="82"/>
      <c r="G669" s="222"/>
      <c r="H669" s="222"/>
      <c r="I669" s="222"/>
      <c r="J669" s="6"/>
      <c r="K669" s="6"/>
      <c r="L669" s="6"/>
      <c r="M669" s="6"/>
      <c r="N669" s="6"/>
      <c r="O669" s="6"/>
      <c r="P669" s="6"/>
      <c r="Q669" s="6"/>
      <c r="R669" s="6"/>
      <c r="S669" s="6"/>
      <c r="T669" s="6"/>
      <c r="U669" s="6"/>
    </row>
    <row r="670" spans="1:21">
      <c r="A670" s="82"/>
      <c r="B670" s="83"/>
      <c r="C670" s="82"/>
      <c r="D670" s="82"/>
      <c r="E670" s="82"/>
      <c r="F670" s="82"/>
      <c r="G670" s="222"/>
      <c r="H670" s="222"/>
      <c r="I670" s="222"/>
      <c r="J670" s="6"/>
      <c r="K670" s="6"/>
      <c r="L670" s="6"/>
      <c r="M670" s="6"/>
      <c r="N670" s="6"/>
      <c r="O670" s="6"/>
      <c r="P670" s="6"/>
      <c r="Q670" s="6"/>
      <c r="R670" s="6"/>
      <c r="S670" s="6"/>
      <c r="T670" s="6"/>
      <c r="U670" s="6"/>
    </row>
    <row r="671" spans="1:21">
      <c r="A671" s="82"/>
      <c r="B671" s="83"/>
      <c r="C671" s="82"/>
      <c r="D671" s="82"/>
      <c r="E671" s="82"/>
      <c r="F671" s="82"/>
      <c r="G671" s="222"/>
      <c r="H671" s="222"/>
      <c r="I671" s="222"/>
      <c r="J671" s="6"/>
      <c r="K671" s="6"/>
      <c r="L671" s="6"/>
      <c r="M671" s="6"/>
      <c r="N671" s="6"/>
      <c r="O671" s="6"/>
      <c r="P671" s="6"/>
      <c r="Q671" s="6"/>
      <c r="R671" s="6"/>
      <c r="S671" s="6"/>
      <c r="T671" s="6"/>
      <c r="U671" s="6"/>
    </row>
    <row r="672" spans="1:21">
      <c r="A672" s="82"/>
      <c r="B672" s="83"/>
      <c r="C672" s="82"/>
      <c r="D672" s="82"/>
      <c r="E672" s="82"/>
      <c r="F672" s="82"/>
      <c r="G672" s="222"/>
      <c r="H672" s="222"/>
      <c r="I672" s="222"/>
      <c r="J672" s="6"/>
      <c r="K672" s="6"/>
      <c r="L672" s="6"/>
      <c r="M672" s="6"/>
      <c r="N672" s="6"/>
      <c r="O672" s="6"/>
      <c r="P672" s="6"/>
      <c r="Q672" s="6"/>
      <c r="R672" s="6"/>
      <c r="S672" s="6"/>
      <c r="T672" s="6"/>
      <c r="U672" s="6"/>
    </row>
    <row r="673" spans="1:21">
      <c r="A673" s="82"/>
      <c r="B673" s="83"/>
      <c r="C673" s="82"/>
      <c r="D673" s="82"/>
      <c r="E673" s="82"/>
      <c r="F673" s="82"/>
      <c r="G673" s="222"/>
      <c r="H673" s="222"/>
      <c r="I673" s="222"/>
      <c r="J673" s="6"/>
      <c r="K673" s="6"/>
      <c r="L673" s="6"/>
      <c r="M673" s="6"/>
      <c r="N673" s="6"/>
      <c r="O673" s="6"/>
      <c r="P673" s="6"/>
      <c r="Q673" s="6"/>
      <c r="R673" s="6"/>
      <c r="S673" s="6"/>
      <c r="T673" s="6"/>
      <c r="U673" s="6"/>
    </row>
    <row r="674" spans="1:21">
      <c r="A674" s="82"/>
      <c r="B674" s="83"/>
      <c r="C674" s="82"/>
      <c r="D674" s="82"/>
      <c r="E674" s="82"/>
      <c r="F674" s="82"/>
      <c r="G674" s="222"/>
      <c r="H674" s="222"/>
      <c r="I674" s="222"/>
      <c r="J674" s="6"/>
      <c r="K674" s="6"/>
      <c r="L674" s="6"/>
      <c r="M674" s="6"/>
      <c r="N674" s="6"/>
      <c r="O674" s="6"/>
      <c r="P674" s="6"/>
      <c r="Q674" s="6"/>
      <c r="R674" s="6"/>
      <c r="S674" s="6"/>
      <c r="T674" s="6"/>
      <c r="U674" s="6"/>
    </row>
    <row r="675" spans="1:21">
      <c r="A675" s="82"/>
      <c r="B675" s="83"/>
      <c r="C675" s="82"/>
      <c r="D675" s="82"/>
      <c r="E675" s="82"/>
      <c r="F675" s="82"/>
      <c r="G675" s="222"/>
      <c r="H675" s="222"/>
      <c r="I675" s="222"/>
      <c r="J675" s="6"/>
      <c r="K675" s="6"/>
      <c r="L675" s="6"/>
      <c r="M675" s="6"/>
      <c r="N675" s="6"/>
      <c r="O675" s="6"/>
      <c r="P675" s="6"/>
      <c r="Q675" s="6"/>
      <c r="R675" s="6"/>
      <c r="S675" s="6"/>
      <c r="T675" s="6"/>
      <c r="U675" s="6"/>
    </row>
    <row r="676" spans="1:21">
      <c r="A676" s="82"/>
      <c r="B676" s="83"/>
      <c r="C676" s="82"/>
      <c r="D676" s="82"/>
      <c r="E676" s="82"/>
      <c r="F676" s="82"/>
      <c r="G676" s="222"/>
      <c r="H676" s="222"/>
      <c r="I676" s="222"/>
      <c r="J676" s="6"/>
      <c r="K676" s="6"/>
      <c r="L676" s="6"/>
      <c r="M676" s="6"/>
      <c r="N676" s="6"/>
      <c r="O676" s="6"/>
      <c r="P676" s="6"/>
      <c r="Q676" s="6"/>
      <c r="R676" s="6"/>
      <c r="S676" s="6"/>
      <c r="T676" s="6"/>
      <c r="U676" s="6"/>
    </row>
    <row r="677" spans="1:21">
      <c r="A677" s="82"/>
      <c r="B677" s="83"/>
      <c r="C677" s="82"/>
      <c r="D677" s="82"/>
      <c r="E677" s="82"/>
      <c r="F677" s="82"/>
      <c r="G677" s="222"/>
      <c r="H677" s="222"/>
      <c r="I677" s="222"/>
      <c r="J677" s="6"/>
      <c r="K677" s="6"/>
      <c r="L677" s="6"/>
      <c r="M677" s="6"/>
      <c r="N677" s="6"/>
      <c r="O677" s="6"/>
      <c r="P677" s="6"/>
      <c r="Q677" s="6"/>
      <c r="R677" s="6"/>
      <c r="S677" s="6"/>
      <c r="T677" s="6"/>
      <c r="U677" s="6"/>
    </row>
    <row r="678" spans="1:21">
      <c r="A678" s="82"/>
      <c r="B678" s="83"/>
      <c r="C678" s="82"/>
      <c r="D678" s="82"/>
      <c r="E678" s="82"/>
      <c r="F678" s="82"/>
      <c r="G678" s="222"/>
      <c r="H678" s="222"/>
      <c r="I678" s="222"/>
      <c r="J678" s="6"/>
      <c r="K678" s="6"/>
      <c r="L678" s="6"/>
      <c r="M678" s="6"/>
      <c r="N678" s="6"/>
      <c r="O678" s="6"/>
      <c r="P678" s="6"/>
      <c r="Q678" s="6"/>
      <c r="R678" s="6"/>
      <c r="S678" s="6"/>
      <c r="T678" s="6"/>
      <c r="U678" s="6"/>
    </row>
    <row r="679" spans="1:21">
      <c r="A679" s="82"/>
      <c r="B679" s="83"/>
      <c r="C679" s="82"/>
      <c r="D679" s="82"/>
      <c r="E679" s="82"/>
      <c r="F679" s="82"/>
      <c r="G679" s="222"/>
      <c r="H679" s="222"/>
      <c r="I679" s="222"/>
      <c r="J679" s="6"/>
      <c r="K679" s="6"/>
      <c r="L679" s="6"/>
      <c r="M679" s="6"/>
      <c r="N679" s="6"/>
      <c r="O679" s="6"/>
      <c r="P679" s="6"/>
      <c r="Q679" s="6"/>
      <c r="R679" s="6"/>
      <c r="S679" s="6"/>
      <c r="T679" s="6"/>
      <c r="U679" s="6"/>
    </row>
    <row r="680" spans="1:21">
      <c r="A680" s="82"/>
      <c r="B680" s="83"/>
      <c r="C680" s="82"/>
      <c r="D680" s="82"/>
      <c r="E680" s="82"/>
      <c r="F680" s="82"/>
      <c r="G680" s="222"/>
      <c r="H680" s="222"/>
      <c r="I680" s="222"/>
      <c r="J680" s="6"/>
      <c r="K680" s="6"/>
      <c r="L680" s="6"/>
      <c r="M680" s="6"/>
      <c r="N680" s="6"/>
      <c r="O680" s="6"/>
      <c r="P680" s="6"/>
      <c r="Q680" s="6"/>
      <c r="R680" s="6"/>
      <c r="S680" s="6"/>
      <c r="T680" s="6"/>
      <c r="U680" s="6"/>
    </row>
    <row r="681" spans="1:21">
      <c r="A681" s="82"/>
      <c r="B681" s="83"/>
      <c r="C681" s="82"/>
      <c r="D681" s="82"/>
      <c r="E681" s="82"/>
      <c r="F681" s="82"/>
      <c r="G681" s="222"/>
      <c r="H681" s="222"/>
      <c r="I681" s="222"/>
      <c r="J681" s="6"/>
      <c r="K681" s="6"/>
      <c r="L681" s="6"/>
      <c r="M681" s="6"/>
      <c r="N681" s="6"/>
      <c r="O681" s="6"/>
      <c r="P681" s="6"/>
      <c r="Q681" s="6"/>
      <c r="R681" s="6"/>
      <c r="S681" s="6"/>
      <c r="T681" s="6"/>
      <c r="U681" s="6"/>
    </row>
    <row r="682" spans="1:21">
      <c r="A682" s="82"/>
      <c r="B682" s="83"/>
      <c r="C682" s="82"/>
      <c r="D682" s="82"/>
      <c r="E682" s="82"/>
      <c r="F682" s="82"/>
      <c r="G682" s="222"/>
      <c r="H682" s="222"/>
      <c r="I682" s="222"/>
      <c r="J682" s="6"/>
      <c r="K682" s="6"/>
      <c r="L682" s="6"/>
      <c r="M682" s="6"/>
      <c r="N682" s="6"/>
      <c r="O682" s="6"/>
      <c r="P682" s="6"/>
      <c r="Q682" s="6"/>
      <c r="R682" s="6"/>
      <c r="S682" s="6"/>
      <c r="T682" s="6"/>
      <c r="U682" s="6"/>
    </row>
    <row r="683" spans="1:21">
      <c r="A683" s="82"/>
      <c r="B683" s="83"/>
      <c r="C683" s="82"/>
      <c r="D683" s="82"/>
      <c r="E683" s="82"/>
      <c r="F683" s="82"/>
      <c r="G683" s="222"/>
      <c r="H683" s="222"/>
      <c r="I683" s="222"/>
      <c r="J683" s="6"/>
      <c r="K683" s="6"/>
      <c r="L683" s="6"/>
      <c r="M683" s="6"/>
      <c r="N683" s="6"/>
      <c r="O683" s="6"/>
      <c r="P683" s="6"/>
      <c r="Q683" s="6"/>
      <c r="R683" s="6"/>
      <c r="S683" s="6"/>
      <c r="T683" s="6"/>
      <c r="U683" s="6"/>
    </row>
    <row r="684" spans="1:21">
      <c r="A684" s="82"/>
      <c r="B684" s="83"/>
      <c r="C684" s="82"/>
      <c r="D684" s="82"/>
      <c r="E684" s="82"/>
      <c r="F684" s="82"/>
      <c r="G684" s="222"/>
      <c r="H684" s="222"/>
      <c r="I684" s="222"/>
      <c r="J684" s="6"/>
      <c r="K684" s="6"/>
      <c r="L684" s="6"/>
      <c r="M684" s="6"/>
      <c r="N684" s="6"/>
      <c r="O684" s="6"/>
      <c r="P684" s="6"/>
      <c r="Q684" s="6"/>
      <c r="R684" s="6"/>
      <c r="S684" s="6"/>
      <c r="T684" s="6"/>
      <c r="U684" s="6"/>
    </row>
    <row r="685" spans="1:21">
      <c r="A685" s="82"/>
      <c r="B685" s="83"/>
      <c r="C685" s="82"/>
      <c r="D685" s="82"/>
      <c r="E685" s="82"/>
      <c r="F685" s="82"/>
      <c r="G685" s="222"/>
      <c r="H685" s="222"/>
      <c r="I685" s="222"/>
      <c r="J685" s="6"/>
      <c r="K685" s="6"/>
      <c r="L685" s="6"/>
      <c r="M685" s="6"/>
      <c r="N685" s="6"/>
      <c r="O685" s="6"/>
      <c r="P685" s="6"/>
      <c r="Q685" s="6"/>
      <c r="R685" s="6"/>
      <c r="S685" s="6"/>
      <c r="T685" s="6"/>
      <c r="U685" s="6"/>
    </row>
    <row r="686" spans="1:21">
      <c r="A686" s="82"/>
      <c r="B686" s="83"/>
      <c r="C686" s="82"/>
      <c r="D686" s="82"/>
      <c r="E686" s="82"/>
      <c r="F686" s="82"/>
      <c r="G686" s="222"/>
      <c r="H686" s="222"/>
      <c r="I686" s="222"/>
      <c r="J686" s="6"/>
      <c r="K686" s="6"/>
      <c r="L686" s="6"/>
      <c r="M686" s="6"/>
      <c r="N686" s="6"/>
      <c r="O686" s="6"/>
      <c r="P686" s="6"/>
      <c r="Q686" s="6"/>
      <c r="R686" s="6"/>
      <c r="S686" s="6"/>
      <c r="T686" s="6"/>
      <c r="U686" s="6"/>
    </row>
    <row r="687" spans="1:21">
      <c r="A687" s="82"/>
      <c r="B687" s="83"/>
      <c r="C687" s="82"/>
      <c r="D687" s="82"/>
      <c r="E687" s="82"/>
      <c r="F687" s="82"/>
      <c r="G687" s="222"/>
      <c r="H687" s="222"/>
      <c r="I687" s="222"/>
      <c r="J687" s="6"/>
      <c r="K687" s="6"/>
      <c r="L687" s="6"/>
      <c r="M687" s="6"/>
      <c r="N687" s="6"/>
      <c r="O687" s="6"/>
      <c r="P687" s="6"/>
      <c r="Q687" s="6"/>
      <c r="R687" s="6"/>
      <c r="S687" s="6"/>
      <c r="T687" s="6"/>
      <c r="U687" s="6"/>
    </row>
    <row r="688" spans="1:21">
      <c r="A688" s="82"/>
      <c r="B688" s="83"/>
      <c r="C688" s="82"/>
      <c r="D688" s="82"/>
      <c r="E688" s="82"/>
      <c r="F688" s="82"/>
      <c r="G688" s="222"/>
      <c r="H688" s="222"/>
      <c r="I688" s="222"/>
      <c r="J688" s="6"/>
      <c r="K688" s="6"/>
      <c r="L688" s="6"/>
      <c r="M688" s="6"/>
      <c r="N688" s="6"/>
      <c r="O688" s="6"/>
      <c r="P688" s="6"/>
      <c r="Q688" s="6"/>
      <c r="R688" s="6"/>
      <c r="S688" s="6"/>
      <c r="T688" s="6"/>
      <c r="U688" s="6"/>
    </row>
    <row r="689" spans="1:21">
      <c r="A689" s="82"/>
      <c r="B689" s="83"/>
      <c r="C689" s="82"/>
      <c r="D689" s="82"/>
      <c r="E689" s="82"/>
      <c r="F689" s="82"/>
      <c r="G689" s="222"/>
      <c r="H689" s="222"/>
      <c r="I689" s="222"/>
      <c r="J689" s="6"/>
      <c r="K689" s="6"/>
      <c r="L689" s="6"/>
      <c r="M689" s="6"/>
      <c r="N689" s="6"/>
      <c r="O689" s="6"/>
      <c r="P689" s="6"/>
      <c r="Q689" s="6"/>
      <c r="R689" s="6"/>
      <c r="S689" s="6"/>
      <c r="T689" s="6"/>
      <c r="U689" s="6"/>
    </row>
    <row r="690" spans="1:21">
      <c r="A690" s="82"/>
      <c r="B690" s="83"/>
      <c r="C690" s="82"/>
      <c r="D690" s="82"/>
      <c r="E690" s="82"/>
      <c r="F690" s="82"/>
      <c r="G690" s="222"/>
      <c r="H690" s="222"/>
      <c r="I690" s="222"/>
      <c r="J690" s="6"/>
      <c r="K690" s="6"/>
      <c r="L690" s="6"/>
      <c r="M690" s="6"/>
      <c r="N690" s="6"/>
      <c r="O690" s="6"/>
      <c r="P690" s="6"/>
      <c r="Q690" s="6"/>
      <c r="R690" s="6"/>
      <c r="S690" s="6"/>
      <c r="T690" s="6"/>
      <c r="U690" s="6"/>
    </row>
    <row r="691" spans="1:21">
      <c r="A691" s="82"/>
      <c r="B691" s="83"/>
      <c r="C691" s="82"/>
      <c r="D691" s="82"/>
      <c r="E691" s="82"/>
      <c r="F691" s="82"/>
      <c r="G691" s="222"/>
      <c r="H691" s="222"/>
      <c r="I691" s="222"/>
      <c r="J691" s="6"/>
      <c r="K691" s="6"/>
      <c r="L691" s="6"/>
      <c r="M691" s="6"/>
      <c r="N691" s="6"/>
      <c r="O691" s="6"/>
      <c r="P691" s="6"/>
      <c r="Q691" s="6"/>
      <c r="R691" s="6"/>
      <c r="S691" s="6"/>
      <c r="T691" s="6"/>
      <c r="U691" s="6"/>
    </row>
    <row r="692" spans="1:21">
      <c r="A692" s="82"/>
      <c r="B692" s="83"/>
      <c r="C692" s="82"/>
      <c r="D692" s="82"/>
      <c r="E692" s="82"/>
      <c r="F692" s="82"/>
      <c r="G692" s="222"/>
      <c r="H692" s="222"/>
      <c r="I692" s="222"/>
      <c r="J692" s="6"/>
      <c r="K692" s="6"/>
      <c r="L692" s="6"/>
      <c r="M692" s="6"/>
      <c r="N692" s="6"/>
      <c r="O692" s="6"/>
      <c r="P692" s="6"/>
      <c r="Q692" s="6"/>
      <c r="R692" s="6"/>
      <c r="S692" s="6"/>
      <c r="T692" s="6"/>
      <c r="U692" s="6"/>
    </row>
    <row r="693" spans="1:21">
      <c r="A693" s="82"/>
      <c r="B693" s="83"/>
      <c r="C693" s="82"/>
      <c r="D693" s="82"/>
      <c r="E693" s="82"/>
      <c r="F693" s="82"/>
      <c r="G693" s="222"/>
      <c r="H693" s="222"/>
      <c r="I693" s="222"/>
      <c r="J693" s="6"/>
      <c r="K693" s="6"/>
      <c r="L693" s="6"/>
      <c r="M693" s="6"/>
      <c r="N693" s="6"/>
      <c r="O693" s="6"/>
      <c r="P693" s="6"/>
      <c r="Q693" s="6"/>
      <c r="R693" s="6"/>
      <c r="S693" s="6"/>
      <c r="T693" s="6"/>
      <c r="U693" s="6"/>
    </row>
    <row r="694" spans="1:21">
      <c r="A694" s="82"/>
      <c r="B694" s="83"/>
      <c r="C694" s="82"/>
      <c r="D694" s="82"/>
      <c r="E694" s="82"/>
      <c r="F694" s="82"/>
      <c r="G694" s="222"/>
      <c r="H694" s="222"/>
      <c r="I694" s="222"/>
      <c r="J694" s="6"/>
      <c r="K694" s="6"/>
      <c r="L694" s="6"/>
      <c r="M694" s="6"/>
      <c r="N694" s="6"/>
      <c r="O694" s="6"/>
      <c r="P694" s="6"/>
      <c r="Q694" s="6"/>
      <c r="R694" s="6"/>
      <c r="S694" s="6"/>
      <c r="T694" s="6"/>
      <c r="U694" s="6"/>
    </row>
    <row r="695" spans="1:21">
      <c r="A695" s="82"/>
      <c r="B695" s="83"/>
      <c r="C695" s="82"/>
      <c r="D695" s="82"/>
      <c r="E695" s="82"/>
      <c r="F695" s="82"/>
      <c r="G695" s="222"/>
      <c r="H695" s="222"/>
      <c r="I695" s="222"/>
      <c r="J695" s="6"/>
      <c r="K695" s="6"/>
      <c r="L695" s="6"/>
      <c r="M695" s="6"/>
      <c r="N695" s="6"/>
      <c r="O695" s="6"/>
      <c r="P695" s="6"/>
      <c r="Q695" s="6"/>
      <c r="R695" s="6"/>
      <c r="S695" s="6"/>
      <c r="T695" s="6"/>
      <c r="U695" s="6"/>
    </row>
    <row r="696" spans="1:21">
      <c r="A696" s="82"/>
      <c r="B696" s="83"/>
      <c r="C696" s="82"/>
      <c r="D696" s="82"/>
      <c r="E696" s="82"/>
      <c r="F696" s="82"/>
      <c r="G696" s="222"/>
      <c r="H696" s="222"/>
      <c r="I696" s="222"/>
      <c r="J696" s="6"/>
      <c r="K696" s="6"/>
      <c r="L696" s="6"/>
      <c r="M696" s="6"/>
      <c r="N696" s="6"/>
      <c r="O696" s="6"/>
      <c r="P696" s="6"/>
      <c r="Q696" s="6"/>
      <c r="R696" s="6"/>
      <c r="S696" s="6"/>
      <c r="T696" s="6"/>
      <c r="U696" s="6"/>
    </row>
    <row r="697" spans="1:21">
      <c r="A697" s="82"/>
      <c r="B697" s="83"/>
      <c r="C697" s="82"/>
      <c r="D697" s="82"/>
      <c r="E697" s="82"/>
      <c r="F697" s="82"/>
      <c r="G697" s="222"/>
      <c r="H697" s="222"/>
      <c r="I697" s="222"/>
      <c r="J697" s="6"/>
      <c r="K697" s="6"/>
      <c r="L697" s="6"/>
      <c r="M697" s="6"/>
      <c r="N697" s="6"/>
      <c r="O697" s="6"/>
      <c r="P697" s="6"/>
      <c r="Q697" s="6"/>
      <c r="R697" s="6"/>
      <c r="S697" s="6"/>
      <c r="T697" s="6"/>
      <c r="U697" s="6"/>
    </row>
    <row r="698" spans="1:21">
      <c r="A698" s="82"/>
      <c r="B698" s="83"/>
      <c r="C698" s="82"/>
      <c r="D698" s="82"/>
      <c r="E698" s="82"/>
      <c r="F698" s="82"/>
      <c r="G698" s="222"/>
      <c r="H698" s="222"/>
      <c r="I698" s="222"/>
      <c r="J698" s="6"/>
      <c r="K698" s="6"/>
      <c r="L698" s="6"/>
      <c r="M698" s="6"/>
      <c r="N698" s="6"/>
      <c r="O698" s="6"/>
      <c r="P698" s="6"/>
      <c r="Q698" s="6"/>
      <c r="R698" s="6"/>
      <c r="S698" s="6"/>
      <c r="T698" s="6"/>
      <c r="U698" s="6"/>
    </row>
    <row r="699" spans="1:21">
      <c r="A699" s="82"/>
      <c r="B699" s="83"/>
      <c r="C699" s="82"/>
      <c r="D699" s="82"/>
      <c r="E699" s="82"/>
      <c r="F699" s="82"/>
      <c r="G699" s="222"/>
      <c r="H699" s="222"/>
      <c r="I699" s="222"/>
      <c r="J699" s="6"/>
      <c r="K699" s="6"/>
      <c r="L699" s="6"/>
      <c r="M699" s="6"/>
      <c r="N699" s="6"/>
      <c r="O699" s="6"/>
      <c r="P699" s="6"/>
      <c r="Q699" s="6"/>
      <c r="R699" s="6"/>
      <c r="S699" s="6"/>
      <c r="T699" s="6"/>
      <c r="U699" s="6"/>
    </row>
    <row r="700" spans="1:21">
      <c r="A700" s="82"/>
      <c r="B700" s="83"/>
      <c r="C700" s="82"/>
      <c r="D700" s="82"/>
      <c r="E700" s="82"/>
      <c r="F700" s="82"/>
      <c r="G700" s="222"/>
      <c r="H700" s="222"/>
      <c r="I700" s="222"/>
      <c r="J700" s="6"/>
      <c r="K700" s="6"/>
      <c r="L700" s="6"/>
      <c r="M700" s="6"/>
      <c r="N700" s="6"/>
      <c r="O700" s="6"/>
      <c r="P700" s="6"/>
      <c r="Q700" s="6"/>
      <c r="R700" s="6"/>
      <c r="S700" s="6"/>
      <c r="T700" s="6"/>
      <c r="U700" s="6"/>
    </row>
    <row r="701" spans="1:21">
      <c r="A701" s="82"/>
      <c r="B701" s="83"/>
      <c r="C701" s="82"/>
      <c r="D701" s="82"/>
      <c r="E701" s="82"/>
      <c r="F701" s="82"/>
      <c r="G701" s="222"/>
      <c r="H701" s="222"/>
      <c r="I701" s="222"/>
      <c r="J701" s="6"/>
      <c r="K701" s="6"/>
      <c r="L701" s="6"/>
      <c r="M701" s="6"/>
      <c r="N701" s="6"/>
      <c r="O701" s="6"/>
      <c r="P701" s="6"/>
      <c r="Q701" s="6"/>
      <c r="R701" s="6"/>
      <c r="S701" s="6"/>
      <c r="T701" s="6"/>
      <c r="U701" s="6"/>
    </row>
    <row r="702" spans="1:21">
      <c r="A702" s="82"/>
      <c r="B702" s="83"/>
      <c r="C702" s="82"/>
      <c r="D702" s="82"/>
      <c r="E702" s="82"/>
      <c r="F702" s="82"/>
      <c r="G702" s="222"/>
      <c r="H702" s="222"/>
      <c r="I702" s="222"/>
      <c r="J702" s="6"/>
      <c r="K702" s="6"/>
      <c r="L702" s="6"/>
      <c r="M702" s="6"/>
      <c r="N702" s="6"/>
      <c r="O702" s="6"/>
      <c r="P702" s="6"/>
      <c r="Q702" s="6"/>
      <c r="R702" s="6"/>
      <c r="S702" s="6"/>
      <c r="T702" s="6"/>
      <c r="U702" s="6"/>
    </row>
    <row r="703" spans="1:21">
      <c r="A703" s="82"/>
      <c r="B703" s="83"/>
      <c r="C703" s="82"/>
      <c r="D703" s="82"/>
      <c r="E703" s="82"/>
      <c r="F703" s="82"/>
      <c r="G703" s="222"/>
      <c r="H703" s="222"/>
      <c r="I703" s="222"/>
      <c r="J703" s="6"/>
      <c r="K703" s="6"/>
      <c r="L703" s="6"/>
      <c r="M703" s="6"/>
      <c r="N703" s="6"/>
      <c r="O703" s="6"/>
      <c r="P703" s="6"/>
      <c r="Q703" s="6"/>
      <c r="R703" s="6"/>
      <c r="S703" s="6"/>
      <c r="T703" s="6"/>
      <c r="U703" s="6"/>
    </row>
    <row r="704" spans="1:21">
      <c r="A704" s="82"/>
      <c r="B704" s="83"/>
      <c r="C704" s="82"/>
      <c r="D704" s="82"/>
      <c r="E704" s="82"/>
      <c r="F704" s="82"/>
      <c r="G704" s="222"/>
      <c r="H704" s="222"/>
      <c r="I704" s="222"/>
      <c r="J704" s="6"/>
      <c r="K704" s="6"/>
      <c r="L704" s="6"/>
      <c r="M704" s="6"/>
      <c r="N704" s="6"/>
      <c r="O704" s="6"/>
      <c r="P704" s="6"/>
      <c r="Q704" s="6"/>
      <c r="R704" s="6"/>
      <c r="S704" s="6"/>
      <c r="T704" s="6"/>
      <c r="U704" s="6"/>
    </row>
    <row r="705" spans="1:21">
      <c r="A705" s="82"/>
      <c r="B705" s="83"/>
      <c r="C705" s="82"/>
      <c r="D705" s="82"/>
      <c r="E705" s="82"/>
      <c r="F705" s="82"/>
      <c r="G705" s="222"/>
      <c r="H705" s="222"/>
      <c r="I705" s="222"/>
      <c r="J705" s="6"/>
      <c r="K705" s="6"/>
      <c r="L705" s="6"/>
      <c r="M705" s="6"/>
      <c r="N705" s="6"/>
      <c r="O705" s="6"/>
      <c r="P705" s="6"/>
      <c r="Q705" s="6"/>
      <c r="R705" s="6"/>
      <c r="S705" s="6"/>
      <c r="T705" s="6"/>
      <c r="U705" s="6"/>
    </row>
    <row r="706" spans="1:21">
      <c r="A706" s="82"/>
      <c r="B706" s="83"/>
      <c r="C706" s="82"/>
      <c r="D706" s="82"/>
      <c r="E706" s="82"/>
      <c r="F706" s="82"/>
      <c r="G706" s="222"/>
      <c r="H706" s="222"/>
      <c r="I706" s="222"/>
      <c r="J706" s="6"/>
      <c r="K706" s="6"/>
      <c r="L706" s="6"/>
      <c r="M706" s="6"/>
      <c r="N706" s="6"/>
      <c r="O706" s="6"/>
      <c r="P706" s="6"/>
      <c r="Q706" s="6"/>
      <c r="R706" s="6"/>
      <c r="S706" s="6"/>
      <c r="T706" s="6"/>
      <c r="U706" s="6"/>
    </row>
    <row r="707" spans="1:21">
      <c r="A707" s="82"/>
      <c r="B707" s="83"/>
      <c r="C707" s="82"/>
      <c r="D707" s="82"/>
      <c r="E707" s="82"/>
      <c r="F707" s="82"/>
      <c r="G707" s="222"/>
      <c r="H707" s="222"/>
      <c r="I707" s="222"/>
      <c r="J707" s="6"/>
      <c r="K707" s="6"/>
      <c r="L707" s="6"/>
      <c r="M707" s="6"/>
      <c r="N707" s="6"/>
      <c r="O707" s="6"/>
      <c r="P707" s="6"/>
      <c r="Q707" s="6"/>
      <c r="R707" s="6"/>
      <c r="S707" s="6"/>
      <c r="T707" s="6"/>
      <c r="U707" s="6"/>
    </row>
    <row r="708" spans="1:21">
      <c r="A708" s="82"/>
      <c r="B708" s="83"/>
      <c r="C708" s="82"/>
      <c r="D708" s="82"/>
      <c r="E708" s="82"/>
      <c r="F708" s="82"/>
      <c r="G708" s="222"/>
      <c r="H708" s="222"/>
      <c r="I708" s="222"/>
      <c r="J708" s="6"/>
      <c r="K708" s="6"/>
      <c r="L708" s="6"/>
      <c r="M708" s="6"/>
      <c r="N708" s="6"/>
      <c r="O708" s="6"/>
      <c r="P708" s="6"/>
      <c r="Q708" s="6"/>
      <c r="R708" s="6"/>
      <c r="S708" s="6"/>
      <c r="T708" s="6"/>
      <c r="U708" s="6"/>
    </row>
    <row r="709" spans="1:21">
      <c r="A709" s="82"/>
      <c r="B709" s="83"/>
      <c r="C709" s="82"/>
      <c r="D709" s="82"/>
      <c r="E709" s="82"/>
      <c r="F709" s="82"/>
      <c r="G709" s="222"/>
      <c r="H709" s="222"/>
      <c r="I709" s="222"/>
      <c r="J709" s="6"/>
      <c r="K709" s="6"/>
      <c r="L709" s="6"/>
      <c r="M709" s="6"/>
      <c r="N709" s="6"/>
      <c r="O709" s="6"/>
      <c r="P709" s="6"/>
      <c r="Q709" s="6"/>
      <c r="R709" s="6"/>
      <c r="S709" s="6"/>
      <c r="T709" s="6"/>
      <c r="U709" s="6"/>
    </row>
    <row r="710" spans="1:21">
      <c r="A710" s="82"/>
      <c r="B710" s="83"/>
      <c r="C710" s="82"/>
      <c r="D710" s="82"/>
      <c r="E710" s="82"/>
      <c r="F710" s="82"/>
      <c r="G710" s="222"/>
      <c r="H710" s="222"/>
      <c r="I710" s="222"/>
      <c r="J710" s="6"/>
      <c r="K710" s="6"/>
      <c r="L710" s="6"/>
      <c r="M710" s="6"/>
      <c r="N710" s="6"/>
      <c r="O710" s="6"/>
      <c r="P710" s="6"/>
      <c r="Q710" s="6"/>
      <c r="R710" s="6"/>
      <c r="S710" s="6"/>
      <c r="T710" s="6"/>
      <c r="U710" s="6"/>
    </row>
    <row r="711" spans="1:21">
      <c r="A711" s="82"/>
      <c r="B711" s="83"/>
      <c r="C711" s="82"/>
      <c r="D711" s="82"/>
      <c r="E711" s="82"/>
      <c r="F711" s="82"/>
      <c r="G711" s="222"/>
      <c r="H711" s="222"/>
      <c r="I711" s="222"/>
      <c r="J711" s="6"/>
      <c r="K711" s="6"/>
      <c r="L711" s="6"/>
      <c r="M711" s="6"/>
      <c r="N711" s="6"/>
      <c r="O711" s="6"/>
      <c r="P711" s="6"/>
      <c r="Q711" s="6"/>
      <c r="R711" s="6"/>
      <c r="S711" s="6"/>
      <c r="T711" s="6"/>
      <c r="U711" s="6"/>
    </row>
    <row r="712" spans="1:21">
      <c r="A712" s="82"/>
      <c r="B712" s="83"/>
      <c r="C712" s="82"/>
      <c r="D712" s="82"/>
      <c r="E712" s="82"/>
      <c r="F712" s="82"/>
      <c r="G712" s="222"/>
      <c r="H712" s="222"/>
      <c r="I712" s="222"/>
      <c r="J712" s="6"/>
      <c r="K712" s="6"/>
      <c r="L712" s="6"/>
      <c r="M712" s="6"/>
      <c r="N712" s="6"/>
      <c r="O712" s="6"/>
      <c r="P712" s="6"/>
      <c r="Q712" s="6"/>
      <c r="R712" s="6"/>
      <c r="S712" s="6"/>
      <c r="T712" s="6"/>
      <c r="U712" s="6"/>
    </row>
    <row r="713" spans="1:21">
      <c r="A713" s="82"/>
      <c r="B713" s="83"/>
      <c r="C713" s="82"/>
      <c r="D713" s="82"/>
      <c r="E713" s="82"/>
      <c r="F713" s="82"/>
      <c r="G713" s="222"/>
      <c r="H713" s="222"/>
      <c r="I713" s="222"/>
      <c r="J713" s="6"/>
      <c r="K713" s="6"/>
      <c r="L713" s="6"/>
      <c r="M713" s="6"/>
      <c r="N713" s="6"/>
      <c r="O713" s="6"/>
      <c r="P713" s="6"/>
      <c r="Q713" s="6"/>
      <c r="R713" s="6"/>
      <c r="S713" s="6"/>
      <c r="T713" s="6"/>
      <c r="U713" s="6"/>
    </row>
    <row r="714" spans="1:21">
      <c r="A714" s="82"/>
      <c r="B714" s="83"/>
      <c r="C714" s="82"/>
      <c r="D714" s="82"/>
      <c r="E714" s="82"/>
      <c r="F714" s="82"/>
      <c r="G714" s="222"/>
      <c r="H714" s="222"/>
      <c r="I714" s="222"/>
      <c r="J714" s="6"/>
      <c r="K714" s="6"/>
      <c r="L714" s="6"/>
      <c r="M714" s="6"/>
      <c r="N714" s="6"/>
      <c r="O714" s="6"/>
      <c r="P714" s="6"/>
      <c r="Q714" s="6"/>
      <c r="R714" s="6"/>
      <c r="S714" s="6"/>
      <c r="T714" s="6"/>
      <c r="U714" s="6"/>
    </row>
    <row r="715" spans="1:21">
      <c r="A715" s="82"/>
      <c r="B715" s="83"/>
      <c r="C715" s="82"/>
      <c r="D715" s="82"/>
      <c r="E715" s="82"/>
      <c r="F715" s="82"/>
      <c r="G715" s="222"/>
      <c r="H715" s="222"/>
      <c r="I715" s="222"/>
      <c r="J715" s="6"/>
      <c r="K715" s="6"/>
      <c r="L715" s="6"/>
      <c r="M715" s="6"/>
      <c r="N715" s="6"/>
      <c r="O715" s="6"/>
      <c r="P715" s="6"/>
      <c r="Q715" s="6"/>
      <c r="R715" s="6"/>
      <c r="S715" s="6"/>
      <c r="T715" s="6"/>
      <c r="U715" s="6"/>
    </row>
    <row r="716" spans="1:21">
      <c r="A716" s="82"/>
      <c r="B716" s="83"/>
      <c r="C716" s="82"/>
      <c r="D716" s="82"/>
      <c r="E716" s="82"/>
      <c r="F716" s="82"/>
      <c r="G716" s="222"/>
      <c r="H716" s="222"/>
      <c r="I716" s="222"/>
      <c r="J716" s="6"/>
      <c r="K716" s="6"/>
      <c r="L716" s="6"/>
      <c r="M716" s="6"/>
      <c r="N716" s="6"/>
      <c r="O716" s="6"/>
      <c r="P716" s="6"/>
      <c r="Q716" s="6"/>
      <c r="R716" s="6"/>
      <c r="S716" s="6"/>
      <c r="T716" s="6"/>
      <c r="U716" s="6"/>
    </row>
    <row r="717" spans="1:21">
      <c r="A717" s="82"/>
      <c r="B717" s="83"/>
      <c r="C717" s="82"/>
      <c r="D717" s="82"/>
      <c r="E717" s="82"/>
      <c r="F717" s="82"/>
      <c r="G717" s="222"/>
      <c r="H717" s="222"/>
      <c r="I717" s="222"/>
      <c r="J717" s="6"/>
      <c r="K717" s="6"/>
      <c r="L717" s="6"/>
      <c r="M717" s="6"/>
      <c r="N717" s="6"/>
      <c r="O717" s="6"/>
      <c r="P717" s="6"/>
      <c r="Q717" s="6"/>
      <c r="R717" s="6"/>
      <c r="S717" s="6"/>
      <c r="T717" s="6"/>
      <c r="U717" s="6"/>
    </row>
    <row r="718" spans="1:21">
      <c r="A718" s="82"/>
      <c r="B718" s="83"/>
      <c r="C718" s="82"/>
      <c r="D718" s="82"/>
      <c r="E718" s="82"/>
      <c r="F718" s="82"/>
      <c r="G718" s="222"/>
      <c r="H718" s="222"/>
      <c r="I718" s="222"/>
      <c r="J718" s="6"/>
      <c r="K718" s="6"/>
      <c r="L718" s="6"/>
      <c r="M718" s="6"/>
      <c r="N718" s="6"/>
      <c r="O718" s="6"/>
      <c r="P718" s="6"/>
      <c r="Q718" s="6"/>
      <c r="R718" s="6"/>
      <c r="S718" s="6"/>
      <c r="T718" s="6"/>
      <c r="U718" s="6"/>
    </row>
    <row r="719" spans="1:21">
      <c r="A719" s="82"/>
      <c r="B719" s="83"/>
      <c r="C719" s="82"/>
      <c r="D719" s="82"/>
      <c r="E719" s="82"/>
      <c r="F719" s="82"/>
      <c r="G719" s="222"/>
      <c r="H719" s="222"/>
      <c r="I719" s="222"/>
      <c r="J719" s="6"/>
      <c r="K719" s="6"/>
      <c r="L719" s="6"/>
      <c r="M719" s="6"/>
      <c r="N719" s="6"/>
      <c r="O719" s="6"/>
      <c r="P719" s="6"/>
      <c r="Q719" s="6"/>
      <c r="R719" s="6"/>
      <c r="S719" s="6"/>
      <c r="T719" s="6"/>
      <c r="U719" s="6"/>
    </row>
    <row r="720" spans="1:21">
      <c r="A720" s="82"/>
      <c r="B720" s="83"/>
      <c r="C720" s="82"/>
      <c r="D720" s="82"/>
      <c r="E720" s="82"/>
      <c r="F720" s="82"/>
      <c r="G720" s="222"/>
      <c r="H720" s="222"/>
      <c r="I720" s="222"/>
      <c r="J720" s="6"/>
      <c r="K720" s="6"/>
      <c r="L720" s="6"/>
      <c r="M720" s="6"/>
      <c r="N720" s="6"/>
      <c r="O720" s="6"/>
      <c r="P720" s="6"/>
      <c r="Q720" s="6"/>
      <c r="R720" s="6"/>
      <c r="S720" s="6"/>
      <c r="T720" s="6"/>
      <c r="U720" s="6"/>
    </row>
    <row r="721" spans="1:21">
      <c r="A721" s="82"/>
      <c r="B721" s="83"/>
      <c r="C721" s="82"/>
      <c r="D721" s="82"/>
      <c r="E721" s="82"/>
      <c r="F721" s="82"/>
      <c r="G721" s="222"/>
      <c r="H721" s="222"/>
      <c r="I721" s="222"/>
      <c r="J721" s="6"/>
      <c r="K721" s="6"/>
      <c r="L721" s="6"/>
      <c r="M721" s="6"/>
      <c r="N721" s="6"/>
      <c r="O721" s="6"/>
      <c r="P721" s="6"/>
      <c r="Q721" s="6"/>
      <c r="R721" s="6"/>
      <c r="S721" s="6"/>
      <c r="T721" s="6"/>
      <c r="U721" s="6"/>
    </row>
    <row r="722" spans="1:21">
      <c r="A722" s="82"/>
      <c r="B722" s="83"/>
      <c r="C722" s="82"/>
      <c r="D722" s="82"/>
      <c r="E722" s="82"/>
      <c r="F722" s="82"/>
      <c r="G722" s="222"/>
      <c r="H722" s="222"/>
      <c r="I722" s="222"/>
      <c r="J722" s="6"/>
      <c r="K722" s="6"/>
      <c r="L722" s="6"/>
      <c r="M722" s="6"/>
      <c r="N722" s="6"/>
      <c r="O722" s="6"/>
      <c r="P722" s="6"/>
      <c r="Q722" s="6"/>
      <c r="R722" s="6"/>
      <c r="S722" s="6"/>
      <c r="T722" s="6"/>
      <c r="U722" s="6"/>
    </row>
    <row r="723" spans="1:21">
      <c r="A723" s="82"/>
      <c r="B723" s="83"/>
      <c r="C723" s="82"/>
      <c r="D723" s="82"/>
      <c r="E723" s="82"/>
      <c r="F723" s="82"/>
      <c r="G723" s="222"/>
      <c r="H723" s="222"/>
      <c r="I723" s="222"/>
      <c r="J723" s="6"/>
      <c r="K723" s="6"/>
      <c r="L723" s="6"/>
      <c r="M723" s="6"/>
      <c r="N723" s="6"/>
      <c r="O723" s="6"/>
      <c r="P723" s="6"/>
      <c r="Q723" s="6"/>
      <c r="R723" s="6"/>
      <c r="S723" s="6"/>
      <c r="T723" s="6"/>
      <c r="U723" s="6"/>
    </row>
    <row r="724" spans="1:21">
      <c r="A724" s="82"/>
      <c r="B724" s="83"/>
      <c r="C724" s="82"/>
      <c r="D724" s="82"/>
      <c r="E724" s="82"/>
      <c r="F724" s="82"/>
      <c r="G724" s="222"/>
      <c r="H724" s="222"/>
      <c r="I724" s="222"/>
      <c r="J724" s="6"/>
      <c r="K724" s="6"/>
      <c r="L724" s="6"/>
      <c r="M724" s="6"/>
      <c r="N724" s="6"/>
      <c r="O724" s="6"/>
      <c r="P724" s="6"/>
      <c r="Q724" s="6"/>
      <c r="R724" s="6"/>
      <c r="S724" s="6"/>
      <c r="T724" s="6"/>
      <c r="U724" s="6"/>
    </row>
    <row r="725" spans="1:21">
      <c r="A725" s="82"/>
      <c r="B725" s="83"/>
      <c r="C725" s="82"/>
      <c r="D725" s="82"/>
      <c r="E725" s="82"/>
      <c r="F725" s="82"/>
      <c r="G725" s="222"/>
      <c r="H725" s="222"/>
      <c r="I725" s="222"/>
      <c r="J725" s="6"/>
      <c r="K725" s="6"/>
      <c r="L725" s="6"/>
      <c r="M725" s="6"/>
      <c r="N725" s="6"/>
      <c r="O725" s="6"/>
      <c r="P725" s="6"/>
      <c r="Q725" s="6"/>
      <c r="R725" s="6"/>
      <c r="S725" s="6"/>
      <c r="T725" s="6"/>
      <c r="U725" s="6"/>
    </row>
    <row r="726" spans="1:21">
      <c r="A726" s="82"/>
      <c r="B726" s="83"/>
      <c r="C726" s="82"/>
      <c r="D726" s="82"/>
      <c r="E726" s="82"/>
      <c r="F726" s="82"/>
      <c r="G726" s="222"/>
      <c r="H726" s="222"/>
      <c r="I726" s="222"/>
      <c r="J726" s="6"/>
      <c r="K726" s="6"/>
      <c r="L726" s="6"/>
      <c r="M726" s="6"/>
      <c r="N726" s="6"/>
      <c r="O726" s="6"/>
      <c r="P726" s="6"/>
      <c r="Q726" s="6"/>
      <c r="R726" s="6"/>
      <c r="S726" s="6"/>
      <c r="T726" s="6"/>
      <c r="U726" s="6"/>
    </row>
    <row r="727" spans="1:21">
      <c r="A727" s="82"/>
      <c r="B727" s="83"/>
      <c r="C727" s="82"/>
      <c r="D727" s="82"/>
      <c r="E727" s="82"/>
      <c r="F727" s="82"/>
      <c r="G727" s="222"/>
      <c r="H727" s="222"/>
      <c r="I727" s="222"/>
      <c r="J727" s="6"/>
      <c r="K727" s="6"/>
      <c r="L727" s="6"/>
      <c r="M727" s="6"/>
      <c r="N727" s="6"/>
      <c r="O727" s="6"/>
      <c r="P727" s="6"/>
      <c r="Q727" s="6"/>
      <c r="R727" s="6"/>
      <c r="S727" s="6"/>
      <c r="T727" s="6"/>
      <c r="U727" s="6"/>
    </row>
    <row r="728" spans="1:21">
      <c r="A728" s="82"/>
      <c r="B728" s="83"/>
      <c r="C728" s="82"/>
      <c r="D728" s="82"/>
      <c r="E728" s="82"/>
      <c r="F728" s="82"/>
      <c r="G728" s="222"/>
      <c r="H728" s="222"/>
      <c r="I728" s="222"/>
      <c r="J728" s="6"/>
      <c r="K728" s="6"/>
      <c r="L728" s="6"/>
      <c r="M728" s="6"/>
      <c r="N728" s="6"/>
      <c r="O728" s="6"/>
      <c r="P728" s="6"/>
      <c r="Q728" s="6"/>
      <c r="R728" s="6"/>
      <c r="S728" s="6"/>
      <c r="T728" s="6"/>
      <c r="U728" s="6"/>
    </row>
    <row r="729" spans="1:21">
      <c r="A729" s="82"/>
      <c r="B729" s="83"/>
      <c r="C729" s="82"/>
      <c r="D729" s="82"/>
      <c r="E729" s="82"/>
      <c r="F729" s="82"/>
      <c r="G729" s="222"/>
      <c r="H729" s="222"/>
      <c r="I729" s="222"/>
      <c r="J729" s="6"/>
      <c r="K729" s="6"/>
      <c r="L729" s="6"/>
      <c r="M729" s="6"/>
      <c r="N729" s="6"/>
      <c r="O729" s="6"/>
      <c r="P729" s="6"/>
      <c r="Q729" s="6"/>
      <c r="R729" s="6"/>
      <c r="S729" s="6"/>
      <c r="T729" s="6"/>
      <c r="U729" s="6"/>
    </row>
    <row r="730" spans="1:21">
      <c r="A730" s="82"/>
      <c r="B730" s="83"/>
      <c r="C730" s="82"/>
      <c r="D730" s="82"/>
      <c r="E730" s="82"/>
      <c r="F730" s="82"/>
      <c r="G730" s="222"/>
      <c r="H730" s="222"/>
      <c r="I730" s="222"/>
      <c r="J730" s="6"/>
      <c r="K730" s="6"/>
      <c r="L730" s="6"/>
      <c r="M730" s="6"/>
      <c r="N730" s="6"/>
      <c r="O730" s="6"/>
      <c r="P730" s="6"/>
      <c r="Q730" s="6"/>
      <c r="R730" s="6"/>
      <c r="S730" s="6"/>
      <c r="T730" s="6"/>
      <c r="U730" s="6"/>
    </row>
    <row r="731" spans="1:21">
      <c r="A731" s="82"/>
      <c r="B731" s="83"/>
      <c r="C731" s="82"/>
      <c r="D731" s="82"/>
      <c r="E731" s="82"/>
      <c r="F731" s="82"/>
      <c r="G731" s="222"/>
      <c r="H731" s="222"/>
      <c r="I731" s="222"/>
      <c r="J731" s="6"/>
      <c r="K731" s="6"/>
      <c r="L731" s="6"/>
      <c r="M731" s="6"/>
      <c r="N731" s="6"/>
      <c r="O731" s="6"/>
      <c r="P731" s="6"/>
      <c r="Q731" s="6"/>
      <c r="R731" s="6"/>
      <c r="S731" s="6"/>
      <c r="T731" s="6"/>
      <c r="U731" s="6"/>
    </row>
    <row r="732" spans="1:21">
      <c r="A732" s="82"/>
      <c r="B732" s="83"/>
      <c r="C732" s="82"/>
      <c r="D732" s="82"/>
      <c r="E732" s="82"/>
      <c r="F732" s="82"/>
      <c r="G732" s="222"/>
      <c r="H732" s="222"/>
      <c r="I732" s="222"/>
      <c r="J732" s="6"/>
      <c r="K732" s="6"/>
      <c r="L732" s="6"/>
      <c r="M732" s="6"/>
      <c r="N732" s="6"/>
      <c r="O732" s="6"/>
      <c r="P732" s="6"/>
      <c r="Q732" s="6"/>
      <c r="R732" s="6"/>
      <c r="S732" s="6"/>
      <c r="T732" s="6"/>
      <c r="U732" s="6"/>
    </row>
    <row r="733" spans="1:21">
      <c r="A733" s="82"/>
      <c r="B733" s="83"/>
      <c r="C733" s="82"/>
      <c r="D733" s="82"/>
      <c r="E733" s="82"/>
      <c r="F733" s="82"/>
      <c r="G733" s="222"/>
      <c r="H733" s="222"/>
      <c r="I733" s="222"/>
      <c r="J733" s="6"/>
      <c r="K733" s="6"/>
      <c r="L733" s="6"/>
      <c r="M733" s="6"/>
      <c r="N733" s="6"/>
      <c r="O733" s="6"/>
      <c r="P733" s="6"/>
      <c r="Q733" s="6"/>
      <c r="R733" s="6"/>
      <c r="S733" s="6"/>
      <c r="T733" s="6"/>
      <c r="U733" s="6"/>
    </row>
    <row r="734" spans="1:21">
      <c r="A734" s="82"/>
      <c r="B734" s="83"/>
      <c r="C734" s="82"/>
      <c r="D734" s="82"/>
      <c r="E734" s="82"/>
      <c r="F734" s="82"/>
      <c r="G734" s="222"/>
      <c r="H734" s="222"/>
      <c r="I734" s="222"/>
      <c r="J734" s="6"/>
      <c r="K734" s="6"/>
      <c r="L734" s="6"/>
      <c r="M734" s="6"/>
      <c r="N734" s="6"/>
      <c r="O734" s="6"/>
      <c r="P734" s="6"/>
      <c r="Q734" s="6"/>
      <c r="R734" s="6"/>
      <c r="S734" s="6"/>
      <c r="T734" s="6"/>
      <c r="U734" s="6"/>
    </row>
    <row r="735" spans="1:21">
      <c r="A735" s="82"/>
      <c r="B735" s="83"/>
      <c r="C735" s="82"/>
      <c r="D735" s="82"/>
      <c r="E735" s="82"/>
      <c r="F735" s="82"/>
      <c r="G735" s="222"/>
      <c r="H735" s="222"/>
      <c r="I735" s="222"/>
      <c r="J735" s="6"/>
      <c r="K735" s="6"/>
      <c r="L735" s="6"/>
      <c r="M735" s="6"/>
      <c r="N735" s="6"/>
      <c r="O735" s="6"/>
      <c r="P735" s="6"/>
      <c r="Q735" s="6"/>
      <c r="R735" s="6"/>
      <c r="S735" s="6"/>
      <c r="T735" s="6"/>
      <c r="U735" s="6"/>
    </row>
    <row r="736" spans="1:21">
      <c r="A736" s="82"/>
      <c r="B736" s="83"/>
      <c r="C736" s="82"/>
      <c r="D736" s="82"/>
      <c r="E736" s="82"/>
      <c r="F736" s="82"/>
      <c r="G736" s="222"/>
      <c r="H736" s="222"/>
      <c r="I736" s="222"/>
      <c r="J736" s="6"/>
      <c r="K736" s="6"/>
      <c r="L736" s="6"/>
      <c r="M736" s="6"/>
      <c r="N736" s="6"/>
      <c r="O736" s="6"/>
      <c r="P736" s="6"/>
      <c r="Q736" s="6"/>
      <c r="R736" s="6"/>
      <c r="S736" s="6"/>
      <c r="T736" s="6"/>
      <c r="U736" s="6"/>
    </row>
    <row r="737" spans="1:21">
      <c r="A737" s="82"/>
      <c r="B737" s="83"/>
      <c r="C737" s="82"/>
      <c r="D737" s="82"/>
      <c r="E737" s="82"/>
      <c r="F737" s="82"/>
      <c r="G737" s="222"/>
      <c r="H737" s="222"/>
      <c r="I737" s="222"/>
      <c r="J737" s="6"/>
      <c r="K737" s="6"/>
      <c r="L737" s="6"/>
      <c r="M737" s="6"/>
      <c r="N737" s="6"/>
      <c r="O737" s="6"/>
      <c r="P737" s="6"/>
      <c r="Q737" s="6"/>
      <c r="R737" s="6"/>
      <c r="S737" s="6"/>
      <c r="T737" s="6"/>
      <c r="U737" s="6"/>
    </row>
    <row r="738" spans="1:21">
      <c r="A738" s="82"/>
      <c r="B738" s="83"/>
      <c r="C738" s="82"/>
      <c r="D738" s="82"/>
      <c r="E738" s="82"/>
      <c r="F738" s="82"/>
      <c r="G738" s="222"/>
      <c r="H738" s="222"/>
      <c r="I738" s="222"/>
      <c r="J738" s="6"/>
      <c r="K738" s="6"/>
      <c r="L738" s="6"/>
      <c r="M738" s="6"/>
      <c r="N738" s="6"/>
      <c r="O738" s="6"/>
      <c r="P738" s="6"/>
      <c r="Q738" s="6"/>
      <c r="R738" s="6"/>
      <c r="S738" s="6"/>
      <c r="T738" s="6"/>
      <c r="U738" s="6"/>
    </row>
    <row r="739" spans="1:21">
      <c r="A739" s="82"/>
      <c r="B739" s="83"/>
      <c r="C739" s="82"/>
      <c r="D739" s="82"/>
      <c r="E739" s="82"/>
      <c r="F739" s="82"/>
      <c r="G739" s="222"/>
      <c r="H739" s="222"/>
      <c r="I739" s="222"/>
      <c r="J739" s="6"/>
      <c r="K739" s="6"/>
      <c r="L739" s="6"/>
      <c r="M739" s="6"/>
      <c r="N739" s="6"/>
      <c r="O739" s="6"/>
      <c r="P739" s="6"/>
      <c r="Q739" s="6"/>
      <c r="R739" s="6"/>
      <c r="S739" s="6"/>
      <c r="T739" s="6"/>
      <c r="U739" s="6"/>
    </row>
    <row r="740" spans="1:21">
      <c r="A740" s="82"/>
      <c r="B740" s="83"/>
      <c r="C740" s="82"/>
      <c r="D740" s="82"/>
      <c r="E740" s="82"/>
      <c r="F740" s="82"/>
      <c r="G740" s="222"/>
      <c r="H740" s="222"/>
      <c r="I740" s="222"/>
      <c r="J740" s="6"/>
      <c r="K740" s="6"/>
      <c r="L740" s="6"/>
      <c r="M740" s="6"/>
      <c r="N740" s="6"/>
      <c r="O740" s="6"/>
      <c r="P740" s="6"/>
      <c r="Q740" s="6"/>
      <c r="R740" s="6"/>
      <c r="S740" s="6"/>
      <c r="T740" s="6"/>
      <c r="U740" s="6"/>
    </row>
    <row r="741" spans="1:21">
      <c r="A741" s="82"/>
      <c r="B741" s="83"/>
      <c r="C741" s="82"/>
      <c r="D741" s="82"/>
      <c r="E741" s="82"/>
      <c r="F741" s="82"/>
      <c r="G741" s="222"/>
      <c r="H741" s="222"/>
      <c r="I741" s="222"/>
      <c r="J741" s="6"/>
      <c r="K741" s="6"/>
      <c r="L741" s="6"/>
      <c r="M741" s="6"/>
      <c r="N741" s="6"/>
      <c r="O741" s="6"/>
      <c r="P741" s="6"/>
      <c r="Q741" s="6"/>
      <c r="R741" s="6"/>
      <c r="S741" s="6"/>
      <c r="T741" s="6"/>
      <c r="U741" s="6"/>
    </row>
    <row r="742" spans="1:21">
      <c r="A742" s="82"/>
      <c r="B742" s="83"/>
      <c r="C742" s="82"/>
      <c r="D742" s="82"/>
      <c r="E742" s="82"/>
      <c r="F742" s="82"/>
      <c r="G742" s="222"/>
      <c r="H742" s="222"/>
      <c r="I742" s="222"/>
      <c r="J742" s="6"/>
      <c r="K742" s="6"/>
      <c r="L742" s="6"/>
      <c r="M742" s="6"/>
      <c r="N742" s="6"/>
      <c r="O742" s="6"/>
      <c r="P742" s="6"/>
      <c r="Q742" s="6"/>
      <c r="R742" s="6"/>
      <c r="S742" s="6"/>
      <c r="T742" s="6"/>
      <c r="U742" s="6"/>
    </row>
    <row r="743" spans="1:21">
      <c r="A743" s="82"/>
      <c r="B743" s="83"/>
      <c r="C743" s="82"/>
      <c r="D743" s="82"/>
      <c r="E743" s="82"/>
      <c r="F743" s="82"/>
      <c r="G743" s="222"/>
      <c r="H743" s="222"/>
      <c r="I743" s="222"/>
      <c r="J743" s="6"/>
      <c r="K743" s="6"/>
      <c r="L743" s="6"/>
      <c r="M743" s="6"/>
      <c r="N743" s="6"/>
      <c r="O743" s="6"/>
      <c r="P743" s="6"/>
      <c r="Q743" s="6"/>
      <c r="R743" s="6"/>
      <c r="S743" s="6"/>
      <c r="T743" s="6"/>
      <c r="U743" s="6"/>
    </row>
    <row r="744" spans="1:21">
      <c r="A744" s="82"/>
      <c r="B744" s="83"/>
      <c r="C744" s="82"/>
      <c r="D744" s="82"/>
      <c r="E744" s="82"/>
      <c r="F744" s="82"/>
      <c r="G744" s="222"/>
      <c r="H744" s="222"/>
      <c r="I744" s="222"/>
      <c r="J744" s="6"/>
      <c r="K744" s="6"/>
      <c r="L744" s="6"/>
      <c r="M744" s="6"/>
      <c r="N744" s="6"/>
      <c r="O744" s="6"/>
      <c r="P744" s="6"/>
      <c r="Q744" s="6"/>
      <c r="R744" s="6"/>
      <c r="S744" s="6"/>
      <c r="T744" s="6"/>
      <c r="U744" s="6"/>
    </row>
    <row r="745" spans="1:21">
      <c r="A745" s="82"/>
      <c r="B745" s="83"/>
      <c r="C745" s="82"/>
      <c r="D745" s="82"/>
      <c r="E745" s="82"/>
      <c r="F745" s="82"/>
      <c r="G745" s="222"/>
      <c r="H745" s="222"/>
      <c r="I745" s="222"/>
      <c r="J745" s="6"/>
      <c r="K745" s="6"/>
      <c r="L745" s="6"/>
      <c r="M745" s="6"/>
      <c r="N745" s="6"/>
      <c r="O745" s="6"/>
      <c r="P745" s="6"/>
      <c r="Q745" s="6"/>
      <c r="R745" s="6"/>
      <c r="S745" s="6"/>
      <c r="T745" s="6"/>
      <c r="U745" s="6"/>
    </row>
    <row r="746" spans="1:21">
      <c r="A746" s="82"/>
      <c r="B746" s="83"/>
      <c r="C746" s="82"/>
      <c r="D746" s="82"/>
      <c r="E746" s="82"/>
      <c r="F746" s="82"/>
      <c r="G746" s="222"/>
      <c r="H746" s="222"/>
      <c r="I746" s="222"/>
      <c r="J746" s="6"/>
      <c r="K746" s="6"/>
      <c r="L746" s="6"/>
      <c r="M746" s="6"/>
      <c r="N746" s="6"/>
      <c r="O746" s="6"/>
      <c r="P746" s="6"/>
      <c r="Q746" s="6"/>
      <c r="R746" s="6"/>
      <c r="S746" s="6"/>
      <c r="T746" s="6"/>
      <c r="U746" s="6"/>
    </row>
    <row r="747" spans="1:21">
      <c r="A747" s="82"/>
      <c r="B747" s="83"/>
      <c r="C747" s="82"/>
      <c r="D747" s="82"/>
      <c r="E747" s="82"/>
      <c r="F747" s="82"/>
      <c r="G747" s="222"/>
      <c r="H747" s="222"/>
      <c r="I747" s="222"/>
      <c r="J747" s="6"/>
      <c r="K747" s="6"/>
      <c r="L747" s="6"/>
      <c r="M747" s="6"/>
      <c r="N747" s="6"/>
      <c r="O747" s="6"/>
      <c r="P747" s="6"/>
      <c r="Q747" s="6"/>
      <c r="R747" s="6"/>
      <c r="S747" s="6"/>
      <c r="T747" s="6"/>
      <c r="U747" s="6"/>
    </row>
    <row r="748" spans="1:21">
      <c r="A748" s="82"/>
      <c r="B748" s="83"/>
      <c r="C748" s="82"/>
      <c r="D748" s="82"/>
      <c r="E748" s="82"/>
      <c r="F748" s="82"/>
      <c r="G748" s="222"/>
      <c r="H748" s="222"/>
      <c r="I748" s="222"/>
      <c r="J748" s="6"/>
      <c r="K748" s="6"/>
      <c r="L748" s="6"/>
      <c r="M748" s="6"/>
      <c r="N748" s="6"/>
      <c r="O748" s="6"/>
      <c r="P748" s="6"/>
      <c r="Q748" s="6"/>
      <c r="R748" s="6"/>
      <c r="S748" s="6"/>
      <c r="T748" s="6"/>
      <c r="U748" s="6"/>
    </row>
    <row r="749" spans="1:21">
      <c r="A749" s="82"/>
      <c r="B749" s="83"/>
      <c r="C749" s="82"/>
      <c r="D749" s="82"/>
      <c r="E749" s="82"/>
      <c r="F749" s="82"/>
      <c r="G749" s="222"/>
      <c r="H749" s="222"/>
      <c r="I749" s="222"/>
      <c r="J749" s="6"/>
      <c r="K749" s="6"/>
      <c r="L749" s="6"/>
      <c r="M749" s="6"/>
      <c r="N749" s="6"/>
      <c r="O749" s="6"/>
      <c r="P749" s="6"/>
      <c r="Q749" s="6"/>
      <c r="R749" s="6"/>
      <c r="S749" s="6"/>
      <c r="T749" s="6"/>
      <c r="U749" s="6"/>
    </row>
    <row r="750" spans="1:21">
      <c r="A750" s="82"/>
      <c r="B750" s="83"/>
      <c r="C750" s="82"/>
      <c r="D750" s="82"/>
      <c r="E750" s="82"/>
      <c r="F750" s="82"/>
      <c r="G750" s="222"/>
      <c r="H750" s="222"/>
      <c r="I750" s="222"/>
      <c r="J750" s="6"/>
      <c r="K750" s="6"/>
      <c r="L750" s="6"/>
      <c r="M750" s="6"/>
      <c r="N750" s="6"/>
      <c r="O750" s="6"/>
      <c r="P750" s="6"/>
      <c r="Q750" s="6"/>
      <c r="R750" s="6"/>
      <c r="S750" s="6"/>
      <c r="T750" s="6"/>
      <c r="U750" s="6"/>
    </row>
    <row r="751" spans="1:21">
      <c r="A751" s="82"/>
      <c r="B751" s="83"/>
      <c r="C751" s="82"/>
      <c r="D751" s="82"/>
      <c r="E751" s="82"/>
      <c r="F751" s="82"/>
      <c r="G751" s="222"/>
      <c r="H751" s="222"/>
      <c r="I751" s="222"/>
      <c r="J751" s="6"/>
      <c r="K751" s="6"/>
      <c r="L751" s="6"/>
      <c r="M751" s="6"/>
      <c r="N751" s="6"/>
      <c r="O751" s="6"/>
      <c r="P751" s="6"/>
      <c r="Q751" s="6"/>
      <c r="R751" s="6"/>
      <c r="S751" s="6"/>
      <c r="T751" s="6"/>
      <c r="U751" s="6"/>
    </row>
    <row r="752" spans="1:21">
      <c r="A752" s="82"/>
      <c r="B752" s="83"/>
      <c r="C752" s="82"/>
      <c r="D752" s="82"/>
      <c r="E752" s="82"/>
      <c r="F752" s="82"/>
      <c r="G752" s="222"/>
      <c r="H752" s="222"/>
      <c r="I752" s="222"/>
      <c r="J752" s="6"/>
      <c r="K752" s="6"/>
      <c r="L752" s="6"/>
      <c r="M752" s="6"/>
      <c r="N752" s="6"/>
      <c r="O752" s="6"/>
      <c r="P752" s="6"/>
      <c r="Q752" s="6"/>
      <c r="R752" s="6"/>
      <c r="S752" s="6"/>
      <c r="T752" s="6"/>
      <c r="U752" s="6"/>
    </row>
    <row r="753" spans="1:21">
      <c r="A753" s="82"/>
      <c r="B753" s="83"/>
      <c r="C753" s="82"/>
      <c r="D753" s="82"/>
      <c r="E753" s="82"/>
      <c r="F753" s="82"/>
      <c r="G753" s="222"/>
      <c r="H753" s="222"/>
      <c r="I753" s="222"/>
      <c r="J753" s="6"/>
      <c r="K753" s="6"/>
      <c r="L753" s="6"/>
      <c r="M753" s="6"/>
      <c r="N753" s="6"/>
      <c r="O753" s="6"/>
      <c r="P753" s="6"/>
      <c r="Q753" s="6"/>
      <c r="R753" s="6"/>
      <c r="S753" s="6"/>
      <c r="T753" s="6"/>
      <c r="U753" s="6"/>
    </row>
    <row r="754" spans="1:21">
      <c r="A754" s="82"/>
      <c r="B754" s="83"/>
      <c r="C754" s="82"/>
      <c r="D754" s="82"/>
      <c r="E754" s="82"/>
      <c r="F754" s="82"/>
      <c r="G754" s="222"/>
      <c r="H754" s="222"/>
      <c r="I754" s="222"/>
      <c r="J754" s="6"/>
      <c r="K754" s="6"/>
      <c r="L754" s="6"/>
      <c r="M754" s="6"/>
      <c r="N754" s="6"/>
      <c r="O754" s="6"/>
      <c r="P754" s="6"/>
      <c r="Q754" s="6"/>
      <c r="R754" s="6"/>
      <c r="S754" s="6"/>
      <c r="T754" s="6"/>
      <c r="U754" s="6"/>
    </row>
    <row r="755" spans="1:21">
      <c r="A755" s="82"/>
      <c r="B755" s="83"/>
      <c r="C755" s="82"/>
      <c r="D755" s="82"/>
      <c r="E755" s="82"/>
      <c r="F755" s="82"/>
      <c r="G755" s="222"/>
      <c r="H755" s="222"/>
      <c r="I755" s="222"/>
      <c r="J755" s="6"/>
      <c r="K755" s="6"/>
      <c r="L755" s="6"/>
      <c r="M755" s="6"/>
      <c r="N755" s="6"/>
      <c r="O755" s="6"/>
      <c r="P755" s="6"/>
      <c r="Q755" s="6"/>
      <c r="R755" s="6"/>
      <c r="S755" s="6"/>
      <c r="T755" s="6"/>
      <c r="U755" s="6"/>
    </row>
    <row r="756" spans="1:21">
      <c r="A756" s="82"/>
      <c r="B756" s="83"/>
      <c r="C756" s="82"/>
      <c r="D756" s="82"/>
      <c r="E756" s="82"/>
      <c r="F756" s="82"/>
      <c r="G756" s="222"/>
      <c r="H756" s="222"/>
      <c r="I756" s="222"/>
      <c r="J756" s="6"/>
      <c r="K756" s="6"/>
      <c r="L756" s="6"/>
      <c r="M756" s="6"/>
      <c r="N756" s="6"/>
      <c r="O756" s="6"/>
      <c r="P756" s="6"/>
      <c r="Q756" s="6"/>
      <c r="R756" s="6"/>
      <c r="S756" s="6"/>
      <c r="T756" s="6"/>
      <c r="U756" s="6"/>
    </row>
    <row r="757" spans="1:21">
      <c r="A757" s="82"/>
      <c r="B757" s="83"/>
      <c r="C757" s="82"/>
      <c r="D757" s="82"/>
      <c r="E757" s="82"/>
      <c r="F757" s="82"/>
      <c r="G757" s="222"/>
      <c r="H757" s="222"/>
      <c r="I757" s="222"/>
      <c r="J757" s="6"/>
      <c r="K757" s="6"/>
      <c r="L757" s="6"/>
      <c r="M757" s="6"/>
      <c r="N757" s="6"/>
      <c r="O757" s="6"/>
      <c r="P757" s="6"/>
      <c r="Q757" s="6"/>
      <c r="R757" s="6"/>
      <c r="S757" s="6"/>
      <c r="T757" s="6"/>
      <c r="U757" s="6"/>
    </row>
    <row r="758" spans="1:21">
      <c r="A758" s="82"/>
      <c r="B758" s="83"/>
      <c r="C758" s="82"/>
      <c r="D758" s="82"/>
      <c r="E758" s="82"/>
      <c r="F758" s="82"/>
      <c r="G758" s="222"/>
      <c r="H758" s="222"/>
      <c r="I758" s="222"/>
      <c r="J758" s="6"/>
      <c r="K758" s="6"/>
      <c r="L758" s="6"/>
      <c r="M758" s="6"/>
      <c r="N758" s="6"/>
      <c r="O758" s="6"/>
      <c r="P758" s="6"/>
      <c r="Q758" s="6"/>
      <c r="R758" s="6"/>
      <c r="S758" s="6"/>
      <c r="T758" s="6"/>
      <c r="U758" s="6"/>
    </row>
    <row r="759" spans="1:21">
      <c r="A759" s="82"/>
      <c r="B759" s="83"/>
      <c r="C759" s="82"/>
      <c r="D759" s="82"/>
      <c r="E759" s="82"/>
      <c r="F759" s="82"/>
      <c r="G759" s="222"/>
      <c r="H759" s="222"/>
      <c r="I759" s="222"/>
      <c r="J759" s="6"/>
      <c r="K759" s="6"/>
      <c r="L759" s="6"/>
      <c r="M759" s="6"/>
      <c r="N759" s="6"/>
      <c r="O759" s="6"/>
      <c r="P759" s="6"/>
      <c r="Q759" s="6"/>
      <c r="R759" s="6"/>
      <c r="S759" s="6"/>
      <c r="T759" s="6"/>
      <c r="U759" s="6"/>
    </row>
    <row r="760" spans="1:21">
      <c r="A760" s="82"/>
      <c r="B760" s="83"/>
      <c r="C760" s="82"/>
      <c r="D760" s="82"/>
      <c r="E760" s="82"/>
      <c r="F760" s="82"/>
      <c r="G760" s="222"/>
      <c r="H760" s="222"/>
      <c r="I760" s="222"/>
      <c r="J760" s="6"/>
      <c r="K760" s="6"/>
      <c r="L760" s="6"/>
      <c r="M760" s="6"/>
      <c r="N760" s="6"/>
      <c r="O760" s="6"/>
      <c r="P760" s="6"/>
      <c r="Q760" s="6"/>
      <c r="R760" s="6"/>
      <c r="S760" s="6"/>
      <c r="T760" s="6"/>
      <c r="U760" s="6"/>
    </row>
    <row r="761" spans="1:21">
      <c r="A761" s="82"/>
      <c r="B761" s="83"/>
      <c r="C761" s="82"/>
      <c r="D761" s="82"/>
      <c r="E761" s="82"/>
      <c r="F761" s="82"/>
      <c r="G761" s="222"/>
      <c r="H761" s="222"/>
      <c r="I761" s="222"/>
      <c r="J761" s="6"/>
      <c r="K761" s="6"/>
      <c r="L761" s="6"/>
      <c r="M761" s="6"/>
      <c r="N761" s="6"/>
      <c r="O761" s="6"/>
      <c r="P761" s="6"/>
      <c r="Q761" s="6"/>
      <c r="R761" s="6"/>
      <c r="S761" s="6"/>
      <c r="T761" s="6"/>
      <c r="U761" s="6"/>
    </row>
    <row r="762" spans="1:21">
      <c r="A762" s="82"/>
      <c r="B762" s="83"/>
      <c r="C762" s="82"/>
      <c r="D762" s="82"/>
      <c r="E762" s="82"/>
      <c r="F762" s="82"/>
      <c r="G762" s="222"/>
      <c r="H762" s="222"/>
      <c r="I762" s="222"/>
      <c r="J762" s="6"/>
      <c r="K762" s="6"/>
      <c r="L762" s="6"/>
      <c r="M762" s="6"/>
      <c r="N762" s="6"/>
      <c r="O762" s="6"/>
      <c r="P762" s="6"/>
      <c r="Q762" s="6"/>
      <c r="R762" s="6"/>
      <c r="S762" s="6"/>
      <c r="T762" s="6"/>
      <c r="U762" s="6"/>
    </row>
    <row r="763" spans="1:21">
      <c r="A763" s="82"/>
      <c r="B763" s="83"/>
      <c r="C763" s="82"/>
      <c r="D763" s="82"/>
      <c r="E763" s="82"/>
      <c r="F763" s="82"/>
      <c r="G763" s="222"/>
      <c r="H763" s="222"/>
      <c r="I763" s="222"/>
      <c r="J763" s="6"/>
      <c r="K763" s="6"/>
      <c r="L763" s="6"/>
      <c r="M763" s="6"/>
      <c r="N763" s="6"/>
      <c r="O763" s="6"/>
      <c r="P763" s="6"/>
      <c r="Q763" s="6"/>
      <c r="R763" s="6"/>
      <c r="S763" s="6"/>
      <c r="T763" s="6"/>
      <c r="U763" s="6"/>
    </row>
    <row r="764" spans="1:21">
      <c r="A764" s="82"/>
      <c r="B764" s="83"/>
      <c r="C764" s="82"/>
      <c r="D764" s="82"/>
      <c r="E764" s="82"/>
      <c r="F764" s="82"/>
      <c r="G764" s="222"/>
      <c r="H764" s="222"/>
      <c r="I764" s="222"/>
      <c r="J764" s="6"/>
      <c r="K764" s="6"/>
      <c r="L764" s="6"/>
      <c r="M764" s="6"/>
      <c r="N764" s="6"/>
      <c r="O764" s="6"/>
      <c r="P764" s="6"/>
      <c r="Q764" s="6"/>
      <c r="R764" s="6"/>
      <c r="S764" s="6"/>
      <c r="T764" s="6"/>
      <c r="U764" s="6"/>
    </row>
    <row r="765" spans="1:21">
      <c r="A765" s="82"/>
      <c r="B765" s="83"/>
      <c r="C765" s="82"/>
      <c r="D765" s="82"/>
      <c r="E765" s="82"/>
      <c r="F765" s="82"/>
      <c r="G765" s="222"/>
      <c r="H765" s="222"/>
      <c r="I765" s="222"/>
      <c r="J765" s="6"/>
      <c r="K765" s="6"/>
      <c r="L765" s="6"/>
      <c r="M765" s="6"/>
      <c r="N765" s="6"/>
      <c r="O765" s="6"/>
      <c r="P765" s="6"/>
      <c r="Q765" s="6"/>
      <c r="R765" s="6"/>
      <c r="S765" s="6"/>
      <c r="T765" s="6"/>
      <c r="U765" s="6"/>
    </row>
    <row r="766" spans="1:21">
      <c r="A766" s="82"/>
      <c r="B766" s="83"/>
      <c r="C766" s="82"/>
      <c r="D766" s="82"/>
      <c r="E766" s="82"/>
      <c r="F766" s="82"/>
      <c r="G766" s="222"/>
      <c r="H766" s="222"/>
      <c r="I766" s="222"/>
      <c r="J766" s="6"/>
      <c r="K766" s="6"/>
      <c r="L766" s="6"/>
      <c r="M766" s="6"/>
      <c r="N766" s="6"/>
      <c r="O766" s="6"/>
      <c r="P766" s="6"/>
      <c r="Q766" s="6"/>
      <c r="R766" s="6"/>
      <c r="S766" s="6"/>
      <c r="T766" s="6"/>
      <c r="U766" s="6"/>
    </row>
    <row r="767" spans="1:21">
      <c r="A767" s="82"/>
      <c r="B767" s="83"/>
      <c r="C767" s="82"/>
      <c r="D767" s="82"/>
      <c r="E767" s="82"/>
      <c r="F767" s="82"/>
      <c r="G767" s="222"/>
      <c r="H767" s="222"/>
      <c r="I767" s="222"/>
      <c r="J767" s="6"/>
      <c r="K767" s="6"/>
      <c r="L767" s="6"/>
      <c r="M767" s="6"/>
      <c r="N767" s="6"/>
      <c r="O767" s="6"/>
      <c r="P767" s="6"/>
      <c r="Q767" s="6"/>
      <c r="R767" s="6"/>
      <c r="S767" s="6"/>
      <c r="T767" s="6"/>
      <c r="U767" s="6"/>
    </row>
    <row r="768" spans="1:21">
      <c r="A768" s="82"/>
      <c r="B768" s="83"/>
      <c r="C768" s="82"/>
      <c r="D768" s="82"/>
      <c r="E768" s="82"/>
      <c r="F768" s="82"/>
      <c r="G768" s="222"/>
      <c r="H768" s="222"/>
      <c r="I768" s="222"/>
      <c r="J768" s="6"/>
      <c r="K768" s="6"/>
      <c r="L768" s="6"/>
      <c r="M768" s="6"/>
      <c r="N768" s="6"/>
      <c r="O768" s="6"/>
      <c r="P768" s="6"/>
      <c r="Q768" s="6"/>
      <c r="R768" s="6"/>
      <c r="S768" s="6"/>
      <c r="T768" s="6"/>
      <c r="U768" s="6"/>
    </row>
    <row r="769" spans="1:21">
      <c r="A769" s="82"/>
      <c r="B769" s="83"/>
      <c r="C769" s="82"/>
      <c r="D769" s="82"/>
      <c r="E769" s="82"/>
      <c r="F769" s="82"/>
      <c r="G769" s="222"/>
      <c r="H769" s="222"/>
      <c r="I769" s="222"/>
      <c r="J769" s="6"/>
      <c r="K769" s="6"/>
      <c r="L769" s="6"/>
      <c r="M769" s="6"/>
      <c r="N769" s="6"/>
      <c r="O769" s="6"/>
      <c r="P769" s="6"/>
      <c r="Q769" s="6"/>
      <c r="R769" s="6"/>
      <c r="S769" s="6"/>
      <c r="T769" s="6"/>
      <c r="U769" s="6"/>
    </row>
    <row r="770" spans="1:21">
      <c r="A770" s="82"/>
      <c r="B770" s="83"/>
      <c r="C770" s="82"/>
      <c r="D770" s="82"/>
      <c r="E770" s="82"/>
      <c r="F770" s="82"/>
      <c r="G770" s="222"/>
      <c r="H770" s="222"/>
      <c r="I770" s="222"/>
      <c r="J770" s="6"/>
      <c r="K770" s="6"/>
      <c r="L770" s="6"/>
      <c r="M770" s="6"/>
      <c r="N770" s="6"/>
      <c r="O770" s="6"/>
      <c r="P770" s="6"/>
      <c r="Q770" s="6"/>
      <c r="R770" s="6"/>
      <c r="S770" s="6"/>
      <c r="T770" s="6"/>
      <c r="U770" s="6"/>
    </row>
    <row r="771" spans="1:21">
      <c r="A771" s="82"/>
      <c r="B771" s="83"/>
      <c r="C771" s="82"/>
      <c r="D771" s="82"/>
      <c r="E771" s="82"/>
      <c r="F771" s="82"/>
      <c r="G771" s="222"/>
      <c r="H771" s="222"/>
      <c r="I771" s="222"/>
      <c r="J771" s="6"/>
      <c r="K771" s="6"/>
      <c r="L771" s="6"/>
      <c r="M771" s="6"/>
      <c r="N771" s="6"/>
      <c r="O771" s="6"/>
      <c r="P771" s="6"/>
      <c r="Q771" s="6"/>
      <c r="R771" s="6"/>
      <c r="S771" s="6"/>
      <c r="T771" s="6"/>
      <c r="U771" s="6"/>
    </row>
    <row r="772" spans="1:21">
      <c r="A772" s="82"/>
      <c r="B772" s="83"/>
      <c r="C772" s="82"/>
      <c r="D772" s="82"/>
      <c r="E772" s="82"/>
      <c r="F772" s="82"/>
      <c r="G772" s="222"/>
      <c r="H772" s="222"/>
      <c r="I772" s="222"/>
      <c r="J772" s="6"/>
      <c r="K772" s="6"/>
      <c r="L772" s="6"/>
      <c r="M772" s="6"/>
      <c r="N772" s="6"/>
      <c r="O772" s="6"/>
      <c r="P772" s="6"/>
      <c r="Q772" s="6"/>
      <c r="R772" s="6"/>
      <c r="S772" s="6"/>
      <c r="T772" s="6"/>
      <c r="U772" s="6"/>
    </row>
    <row r="773" spans="1:21">
      <c r="A773" s="82"/>
      <c r="B773" s="83"/>
      <c r="C773" s="82"/>
      <c r="D773" s="82"/>
      <c r="E773" s="82"/>
      <c r="F773" s="82"/>
      <c r="G773" s="222"/>
      <c r="H773" s="222"/>
      <c r="I773" s="222"/>
      <c r="J773" s="6"/>
      <c r="K773" s="6"/>
      <c r="L773" s="6"/>
      <c r="M773" s="6"/>
      <c r="N773" s="6"/>
      <c r="O773" s="6"/>
      <c r="P773" s="6"/>
      <c r="Q773" s="6"/>
      <c r="R773" s="6"/>
      <c r="S773" s="6"/>
      <c r="T773" s="6"/>
      <c r="U773" s="6"/>
    </row>
    <row r="774" spans="1:21">
      <c r="A774" s="82"/>
      <c r="B774" s="83"/>
      <c r="C774" s="82"/>
      <c r="D774" s="82"/>
      <c r="E774" s="82"/>
      <c r="F774" s="82"/>
      <c r="G774" s="222"/>
      <c r="H774" s="222"/>
      <c r="I774" s="222"/>
      <c r="J774" s="6"/>
      <c r="K774" s="6"/>
      <c r="L774" s="6"/>
      <c r="M774" s="6"/>
      <c r="N774" s="6"/>
      <c r="O774" s="6"/>
      <c r="P774" s="6"/>
      <c r="Q774" s="6"/>
      <c r="R774" s="6"/>
      <c r="S774" s="6"/>
      <c r="T774" s="6"/>
      <c r="U774" s="6"/>
    </row>
    <row r="775" spans="1:21">
      <c r="A775" s="82"/>
      <c r="B775" s="83"/>
      <c r="C775" s="82"/>
      <c r="D775" s="82"/>
      <c r="E775" s="82"/>
      <c r="F775" s="82"/>
      <c r="G775" s="222"/>
      <c r="H775" s="222"/>
      <c r="I775" s="222"/>
      <c r="J775" s="6"/>
      <c r="K775" s="6"/>
      <c r="L775" s="6"/>
      <c r="M775" s="6"/>
      <c r="N775" s="6"/>
      <c r="O775" s="6"/>
      <c r="P775" s="6"/>
      <c r="Q775" s="6"/>
      <c r="R775" s="6"/>
      <c r="S775" s="6"/>
      <c r="T775" s="6"/>
      <c r="U775" s="6"/>
    </row>
    <row r="776" spans="1:21">
      <c r="A776" s="82"/>
      <c r="B776" s="83"/>
      <c r="C776" s="82"/>
      <c r="D776" s="82"/>
      <c r="E776" s="82"/>
      <c r="F776" s="82"/>
      <c r="G776" s="222"/>
      <c r="H776" s="222"/>
      <c r="I776" s="222"/>
      <c r="J776" s="6"/>
      <c r="K776" s="6"/>
      <c r="L776" s="6"/>
      <c r="M776" s="6"/>
      <c r="N776" s="6"/>
      <c r="O776" s="6"/>
      <c r="P776" s="6"/>
      <c r="Q776" s="6"/>
      <c r="R776" s="6"/>
      <c r="S776" s="6"/>
      <c r="T776" s="6"/>
      <c r="U776" s="6"/>
    </row>
    <row r="777" spans="1:21">
      <c r="A777" s="82"/>
      <c r="B777" s="83"/>
      <c r="C777" s="82"/>
      <c r="D777" s="82"/>
      <c r="E777" s="82"/>
      <c r="F777" s="82"/>
      <c r="G777" s="222"/>
      <c r="H777" s="222"/>
      <c r="I777" s="222"/>
      <c r="J777" s="6"/>
      <c r="K777" s="6"/>
      <c r="L777" s="6"/>
      <c r="M777" s="6"/>
      <c r="N777" s="6"/>
      <c r="O777" s="6"/>
      <c r="P777" s="6"/>
      <c r="Q777" s="6"/>
      <c r="R777" s="6"/>
      <c r="S777" s="6"/>
      <c r="T777" s="6"/>
      <c r="U777" s="6"/>
    </row>
    <row r="778" spans="1:21">
      <c r="A778" s="82"/>
      <c r="B778" s="83"/>
      <c r="C778" s="82"/>
      <c r="D778" s="82"/>
      <c r="E778" s="82"/>
      <c r="F778" s="82"/>
      <c r="G778" s="222"/>
      <c r="H778" s="222"/>
      <c r="I778" s="222"/>
      <c r="J778" s="6"/>
      <c r="K778" s="6"/>
      <c r="L778" s="6"/>
      <c r="M778" s="6"/>
      <c r="N778" s="6"/>
      <c r="O778" s="6"/>
      <c r="P778" s="6"/>
      <c r="Q778" s="6"/>
      <c r="R778" s="6"/>
      <c r="S778" s="6"/>
      <c r="T778" s="6"/>
      <c r="U778" s="6"/>
    </row>
    <row r="779" spans="1:21">
      <c r="A779" s="82"/>
      <c r="B779" s="83"/>
      <c r="C779" s="82"/>
      <c r="D779" s="82"/>
      <c r="E779" s="82"/>
      <c r="F779" s="82"/>
      <c r="G779" s="222"/>
      <c r="H779" s="222"/>
      <c r="I779" s="222"/>
      <c r="J779" s="6"/>
      <c r="K779" s="6"/>
      <c r="L779" s="6"/>
      <c r="M779" s="6"/>
      <c r="N779" s="6"/>
      <c r="O779" s="6"/>
      <c r="P779" s="6"/>
      <c r="Q779" s="6"/>
      <c r="R779" s="6"/>
      <c r="S779" s="6"/>
      <c r="T779" s="6"/>
      <c r="U779" s="6"/>
    </row>
    <row r="780" spans="1:21">
      <c r="A780" s="82"/>
      <c r="B780" s="83"/>
      <c r="C780" s="82"/>
      <c r="D780" s="82"/>
      <c r="E780" s="82"/>
      <c r="F780" s="82"/>
      <c r="G780" s="222"/>
      <c r="H780" s="222"/>
      <c r="I780" s="222"/>
      <c r="J780" s="6"/>
      <c r="K780" s="6"/>
      <c r="L780" s="6"/>
      <c r="M780" s="6"/>
      <c r="N780" s="6"/>
      <c r="O780" s="6"/>
      <c r="P780" s="6"/>
      <c r="Q780" s="6"/>
      <c r="R780" s="6"/>
      <c r="S780" s="6"/>
      <c r="T780" s="6"/>
      <c r="U780" s="6"/>
    </row>
    <row r="781" spans="1:21">
      <c r="A781" s="82"/>
      <c r="B781" s="83"/>
      <c r="C781" s="82"/>
      <c r="D781" s="82"/>
      <c r="E781" s="82"/>
      <c r="F781" s="82"/>
      <c r="G781" s="222"/>
      <c r="H781" s="222"/>
      <c r="I781" s="222"/>
      <c r="J781" s="6"/>
      <c r="K781" s="6"/>
      <c r="L781" s="6"/>
      <c r="M781" s="6"/>
      <c r="N781" s="6"/>
      <c r="O781" s="6"/>
      <c r="P781" s="6"/>
      <c r="Q781" s="6"/>
      <c r="R781" s="6"/>
      <c r="S781" s="6"/>
      <c r="T781" s="6"/>
      <c r="U781" s="6"/>
    </row>
    <row r="782" spans="1:21">
      <c r="A782" s="82"/>
      <c r="B782" s="83"/>
      <c r="C782" s="82"/>
      <c r="D782" s="82"/>
      <c r="E782" s="82"/>
      <c r="F782" s="82"/>
      <c r="G782" s="222"/>
      <c r="H782" s="222"/>
      <c r="I782" s="222"/>
      <c r="J782" s="6"/>
      <c r="K782" s="6"/>
      <c r="L782" s="6"/>
      <c r="M782" s="6"/>
      <c r="N782" s="6"/>
      <c r="O782" s="6"/>
      <c r="P782" s="6"/>
      <c r="Q782" s="6"/>
      <c r="R782" s="6"/>
      <c r="S782" s="6"/>
      <c r="T782" s="6"/>
      <c r="U782" s="6"/>
    </row>
    <row r="783" spans="1:21">
      <c r="A783" s="82"/>
      <c r="B783" s="83"/>
      <c r="C783" s="82"/>
      <c r="D783" s="82"/>
      <c r="E783" s="82"/>
      <c r="F783" s="82"/>
      <c r="G783" s="222"/>
      <c r="H783" s="222"/>
      <c r="I783" s="222"/>
      <c r="J783" s="6"/>
      <c r="K783" s="6"/>
      <c r="L783" s="6"/>
      <c r="M783" s="6"/>
      <c r="N783" s="6"/>
      <c r="O783" s="6"/>
      <c r="P783" s="6"/>
      <c r="Q783" s="6"/>
      <c r="R783" s="6"/>
      <c r="S783" s="6"/>
      <c r="T783" s="6"/>
      <c r="U783" s="6"/>
    </row>
    <row r="784" spans="1:21">
      <c r="A784" s="82"/>
      <c r="B784" s="83"/>
      <c r="C784" s="82"/>
      <c r="D784" s="82"/>
      <c r="E784" s="82"/>
      <c r="F784" s="82"/>
      <c r="G784" s="222"/>
      <c r="H784" s="222"/>
      <c r="I784" s="222"/>
      <c r="J784" s="6"/>
      <c r="K784" s="6"/>
      <c r="L784" s="6"/>
      <c r="M784" s="6"/>
      <c r="N784" s="6"/>
      <c r="O784" s="6"/>
      <c r="P784" s="6"/>
      <c r="Q784" s="6"/>
      <c r="R784" s="6"/>
      <c r="S784" s="6"/>
      <c r="T784" s="6"/>
      <c r="U784" s="6"/>
    </row>
    <row r="785" spans="1:21">
      <c r="A785" s="82"/>
      <c r="B785" s="83"/>
      <c r="C785" s="82"/>
      <c r="D785" s="82"/>
      <c r="E785" s="82"/>
      <c r="F785" s="82"/>
      <c r="G785" s="222"/>
      <c r="H785" s="222"/>
      <c r="I785" s="222"/>
      <c r="J785" s="6"/>
      <c r="K785" s="6"/>
      <c r="L785" s="6"/>
      <c r="M785" s="6"/>
      <c r="N785" s="6"/>
      <c r="O785" s="6"/>
      <c r="P785" s="6"/>
      <c r="Q785" s="6"/>
      <c r="R785" s="6"/>
      <c r="S785" s="6"/>
      <c r="T785" s="6"/>
      <c r="U785" s="6"/>
    </row>
    <row r="786" spans="1:21">
      <c r="A786" s="82"/>
      <c r="B786" s="83"/>
      <c r="C786" s="82"/>
      <c r="D786" s="82"/>
      <c r="E786" s="82"/>
      <c r="F786" s="82"/>
      <c r="G786" s="222"/>
      <c r="H786" s="222"/>
      <c r="I786" s="222"/>
      <c r="J786" s="6"/>
      <c r="K786" s="6"/>
      <c r="L786" s="6"/>
      <c r="M786" s="6"/>
      <c r="N786" s="6"/>
      <c r="O786" s="6"/>
      <c r="P786" s="6"/>
      <c r="Q786" s="6"/>
      <c r="R786" s="6"/>
      <c r="S786" s="6"/>
      <c r="T786" s="6"/>
      <c r="U786" s="6"/>
    </row>
    <row r="787" spans="1:21">
      <c r="A787" s="82"/>
      <c r="B787" s="83"/>
      <c r="C787" s="82"/>
      <c r="D787" s="82"/>
      <c r="E787" s="82"/>
      <c r="F787" s="82"/>
      <c r="G787" s="222"/>
      <c r="H787" s="222"/>
      <c r="I787" s="222"/>
      <c r="J787" s="6"/>
      <c r="K787" s="6"/>
      <c r="L787" s="6"/>
      <c r="M787" s="6"/>
      <c r="N787" s="6"/>
      <c r="O787" s="6"/>
      <c r="P787" s="6"/>
      <c r="Q787" s="6"/>
      <c r="R787" s="6"/>
      <c r="S787" s="6"/>
      <c r="T787" s="6"/>
      <c r="U787" s="6"/>
    </row>
    <row r="788" spans="1:21">
      <c r="A788" s="82"/>
      <c r="B788" s="83"/>
      <c r="C788" s="82"/>
      <c r="D788" s="82"/>
      <c r="E788" s="82"/>
      <c r="F788" s="82"/>
      <c r="G788" s="222"/>
      <c r="H788" s="222"/>
      <c r="I788" s="222"/>
      <c r="J788" s="6"/>
      <c r="K788" s="6"/>
      <c r="L788" s="6"/>
      <c r="M788" s="6"/>
      <c r="N788" s="6"/>
      <c r="O788" s="6"/>
      <c r="P788" s="6"/>
      <c r="Q788" s="6"/>
      <c r="R788" s="6"/>
      <c r="S788" s="6"/>
      <c r="T788" s="6"/>
      <c r="U788" s="6"/>
    </row>
    <row r="789" spans="1:21">
      <c r="A789" s="82"/>
      <c r="B789" s="83"/>
      <c r="C789" s="82"/>
      <c r="D789" s="82"/>
      <c r="E789" s="82"/>
      <c r="F789" s="82"/>
      <c r="G789" s="222"/>
      <c r="H789" s="222"/>
      <c r="I789" s="222"/>
      <c r="J789" s="6"/>
      <c r="K789" s="6"/>
      <c r="L789" s="6"/>
      <c r="M789" s="6"/>
      <c r="N789" s="6"/>
      <c r="O789" s="6"/>
      <c r="P789" s="6"/>
      <c r="Q789" s="6"/>
      <c r="R789" s="6"/>
      <c r="S789" s="6"/>
      <c r="T789" s="6"/>
      <c r="U789" s="6"/>
    </row>
    <row r="790" spans="1:21">
      <c r="A790" s="82"/>
      <c r="B790" s="83"/>
      <c r="C790" s="82"/>
      <c r="D790" s="82"/>
      <c r="E790" s="82"/>
      <c r="F790" s="82"/>
      <c r="G790" s="222"/>
      <c r="H790" s="222"/>
      <c r="I790" s="222"/>
      <c r="J790" s="6"/>
      <c r="K790" s="6"/>
      <c r="L790" s="6"/>
      <c r="M790" s="6"/>
      <c r="N790" s="6"/>
      <c r="O790" s="6"/>
      <c r="P790" s="6"/>
      <c r="Q790" s="6"/>
      <c r="R790" s="6"/>
      <c r="S790" s="6"/>
      <c r="T790" s="6"/>
      <c r="U790" s="6"/>
    </row>
    <row r="791" spans="1:21">
      <c r="A791" s="82"/>
      <c r="B791" s="83"/>
      <c r="C791" s="82"/>
      <c r="D791" s="82"/>
      <c r="E791" s="82"/>
      <c r="F791" s="82"/>
      <c r="G791" s="222"/>
      <c r="H791" s="222"/>
      <c r="I791" s="222"/>
      <c r="J791" s="6"/>
      <c r="K791" s="6"/>
      <c r="L791" s="6"/>
      <c r="M791" s="6"/>
      <c r="N791" s="6"/>
      <c r="O791" s="6"/>
      <c r="P791" s="6"/>
      <c r="Q791" s="6"/>
      <c r="R791" s="6"/>
      <c r="S791" s="6"/>
      <c r="T791" s="6"/>
      <c r="U791" s="6"/>
    </row>
    <row r="792" spans="1:21">
      <c r="A792" s="82"/>
      <c r="B792" s="83"/>
      <c r="C792" s="82"/>
      <c r="D792" s="82"/>
      <c r="E792" s="82"/>
      <c r="F792" s="82"/>
      <c r="G792" s="222"/>
      <c r="H792" s="222"/>
      <c r="I792" s="222"/>
      <c r="J792" s="6"/>
      <c r="K792" s="6"/>
      <c r="L792" s="6"/>
      <c r="M792" s="6"/>
      <c r="N792" s="6"/>
      <c r="O792" s="6"/>
      <c r="P792" s="6"/>
      <c r="Q792" s="6"/>
      <c r="R792" s="6"/>
      <c r="S792" s="6"/>
      <c r="T792" s="6"/>
      <c r="U792" s="6"/>
    </row>
    <row r="793" spans="1:21">
      <c r="A793" s="82"/>
      <c r="B793" s="83"/>
      <c r="C793" s="82"/>
      <c r="D793" s="82"/>
      <c r="E793" s="82"/>
      <c r="F793" s="82"/>
      <c r="G793" s="222"/>
      <c r="H793" s="222"/>
      <c r="I793" s="222"/>
      <c r="J793" s="6"/>
      <c r="K793" s="6"/>
      <c r="L793" s="6"/>
      <c r="M793" s="6"/>
      <c r="N793" s="6"/>
      <c r="O793" s="6"/>
      <c r="P793" s="6"/>
      <c r="Q793" s="6"/>
      <c r="R793" s="6"/>
      <c r="S793" s="6"/>
      <c r="T793" s="6"/>
      <c r="U793" s="6"/>
    </row>
    <row r="794" spans="1:21">
      <c r="A794" s="82"/>
      <c r="B794" s="83"/>
      <c r="C794" s="82"/>
      <c r="D794" s="82"/>
      <c r="E794" s="82"/>
      <c r="F794" s="82"/>
      <c r="G794" s="222"/>
      <c r="H794" s="222"/>
      <c r="I794" s="222"/>
      <c r="J794" s="6"/>
      <c r="K794" s="6"/>
      <c r="L794" s="6"/>
      <c r="M794" s="6"/>
      <c r="N794" s="6"/>
      <c r="O794" s="6"/>
      <c r="P794" s="6"/>
      <c r="Q794" s="6"/>
      <c r="R794" s="6"/>
      <c r="S794" s="6"/>
      <c r="T794" s="6"/>
      <c r="U794" s="6"/>
    </row>
    <row r="795" spans="1:21">
      <c r="A795" s="82"/>
      <c r="B795" s="83"/>
      <c r="C795" s="82"/>
      <c r="D795" s="82"/>
      <c r="E795" s="82"/>
      <c r="F795" s="82"/>
      <c r="G795" s="222"/>
      <c r="H795" s="222"/>
      <c r="I795" s="222"/>
      <c r="J795" s="6"/>
      <c r="K795" s="6"/>
      <c r="L795" s="6"/>
      <c r="M795" s="6"/>
      <c r="N795" s="6"/>
      <c r="O795" s="6"/>
      <c r="P795" s="6"/>
      <c r="Q795" s="6"/>
      <c r="R795" s="6"/>
      <c r="S795" s="6"/>
      <c r="T795" s="6"/>
      <c r="U795" s="6"/>
    </row>
    <row r="796" spans="1:21">
      <c r="A796" s="82"/>
      <c r="B796" s="83"/>
      <c r="C796" s="82"/>
      <c r="D796" s="82"/>
      <c r="E796" s="82"/>
      <c r="F796" s="82"/>
      <c r="G796" s="222"/>
      <c r="H796" s="222"/>
      <c r="I796" s="222"/>
      <c r="J796" s="6"/>
      <c r="K796" s="6"/>
      <c r="L796" s="6"/>
      <c r="M796" s="6"/>
      <c r="N796" s="6"/>
      <c r="O796" s="6"/>
      <c r="P796" s="6"/>
      <c r="Q796" s="6"/>
      <c r="R796" s="6"/>
      <c r="S796" s="6"/>
      <c r="T796" s="6"/>
      <c r="U796" s="6"/>
    </row>
    <row r="797" spans="1:21">
      <c r="A797" s="82"/>
      <c r="B797" s="83"/>
      <c r="C797" s="82"/>
      <c r="D797" s="82"/>
      <c r="E797" s="82"/>
      <c r="F797" s="82"/>
      <c r="G797" s="222"/>
      <c r="H797" s="222"/>
      <c r="I797" s="222"/>
      <c r="J797" s="6"/>
      <c r="K797" s="6"/>
      <c r="L797" s="6"/>
      <c r="M797" s="6"/>
      <c r="N797" s="6"/>
      <c r="O797" s="6"/>
      <c r="P797" s="6"/>
      <c r="Q797" s="6"/>
      <c r="R797" s="6"/>
      <c r="S797" s="6"/>
      <c r="T797" s="6"/>
      <c r="U797" s="6"/>
    </row>
    <row r="798" spans="1:21">
      <c r="A798" s="82"/>
      <c r="B798" s="83"/>
      <c r="C798" s="82"/>
      <c r="D798" s="82"/>
      <c r="E798" s="82"/>
      <c r="F798" s="82"/>
      <c r="G798" s="222"/>
      <c r="H798" s="222"/>
      <c r="I798" s="222"/>
      <c r="J798" s="6"/>
      <c r="K798" s="6"/>
      <c r="L798" s="6"/>
      <c r="M798" s="6"/>
      <c r="N798" s="6"/>
      <c r="O798" s="6"/>
      <c r="P798" s="6"/>
      <c r="Q798" s="6"/>
      <c r="R798" s="6"/>
      <c r="S798" s="6"/>
      <c r="T798" s="6"/>
      <c r="U798" s="6"/>
    </row>
    <row r="799" spans="1:21">
      <c r="A799" s="82"/>
      <c r="B799" s="83"/>
      <c r="C799" s="82"/>
      <c r="D799" s="82"/>
      <c r="E799" s="82"/>
      <c r="F799" s="82"/>
      <c r="G799" s="222"/>
      <c r="H799" s="222"/>
      <c r="I799" s="222"/>
      <c r="J799" s="6"/>
      <c r="K799" s="6"/>
      <c r="L799" s="6"/>
      <c r="M799" s="6"/>
      <c r="N799" s="6"/>
      <c r="O799" s="6"/>
      <c r="P799" s="6"/>
      <c r="Q799" s="6"/>
      <c r="R799" s="6"/>
      <c r="S799" s="6"/>
      <c r="T799" s="6"/>
      <c r="U799" s="6"/>
    </row>
    <row r="800" spans="1:21">
      <c r="A800" s="82"/>
      <c r="B800" s="83"/>
      <c r="C800" s="82"/>
      <c r="D800" s="82"/>
      <c r="E800" s="82"/>
      <c r="F800" s="82"/>
      <c r="G800" s="222"/>
      <c r="H800" s="222"/>
      <c r="I800" s="222"/>
      <c r="J800" s="6"/>
      <c r="K800" s="6"/>
      <c r="L800" s="6"/>
      <c r="M800" s="6"/>
      <c r="N800" s="6"/>
      <c r="O800" s="6"/>
      <c r="P800" s="6"/>
      <c r="Q800" s="6"/>
      <c r="R800" s="6"/>
      <c r="S800" s="6"/>
      <c r="T800" s="6"/>
      <c r="U800" s="6"/>
    </row>
    <row r="801" spans="1:21">
      <c r="A801" s="82"/>
      <c r="B801" s="83"/>
      <c r="C801" s="82"/>
      <c r="D801" s="82"/>
      <c r="E801" s="82"/>
      <c r="F801" s="82"/>
      <c r="G801" s="222"/>
      <c r="H801" s="222"/>
      <c r="I801" s="222"/>
      <c r="J801" s="6"/>
      <c r="K801" s="6"/>
      <c r="L801" s="6"/>
      <c r="M801" s="6"/>
      <c r="N801" s="6"/>
      <c r="O801" s="6"/>
      <c r="P801" s="6"/>
      <c r="Q801" s="6"/>
      <c r="R801" s="6"/>
      <c r="S801" s="6"/>
      <c r="T801" s="6"/>
      <c r="U801" s="6"/>
    </row>
    <row r="802" spans="1:21">
      <c r="A802" s="82"/>
      <c r="B802" s="83"/>
      <c r="C802" s="82"/>
      <c r="D802" s="82"/>
      <c r="E802" s="82"/>
      <c r="F802" s="82"/>
      <c r="G802" s="222"/>
      <c r="H802" s="222"/>
      <c r="I802" s="222"/>
      <c r="J802" s="6"/>
      <c r="K802" s="6"/>
      <c r="L802" s="6"/>
      <c r="M802" s="6"/>
      <c r="N802" s="6"/>
      <c r="O802" s="6"/>
      <c r="P802" s="6"/>
      <c r="Q802" s="6"/>
      <c r="R802" s="6"/>
      <c r="S802" s="6"/>
      <c r="T802" s="6"/>
      <c r="U802" s="6"/>
    </row>
    <row r="803" spans="1:21">
      <c r="A803" s="82"/>
      <c r="B803" s="83"/>
      <c r="C803" s="82"/>
      <c r="D803" s="82"/>
      <c r="E803" s="82"/>
      <c r="F803" s="82"/>
      <c r="G803" s="222"/>
      <c r="H803" s="222"/>
      <c r="I803" s="222"/>
      <c r="J803" s="6"/>
      <c r="K803" s="6"/>
      <c r="L803" s="6"/>
      <c r="M803" s="6"/>
      <c r="N803" s="6"/>
      <c r="O803" s="6"/>
      <c r="P803" s="6"/>
      <c r="Q803" s="6"/>
      <c r="R803" s="6"/>
      <c r="S803" s="6"/>
      <c r="T803" s="6"/>
      <c r="U803" s="6"/>
    </row>
    <row r="804" spans="1:21">
      <c r="A804" s="82"/>
      <c r="B804" s="83"/>
      <c r="C804" s="82"/>
      <c r="D804" s="82"/>
      <c r="E804" s="82"/>
      <c r="F804" s="82"/>
      <c r="G804" s="222"/>
      <c r="H804" s="222"/>
      <c r="I804" s="222"/>
      <c r="J804" s="6"/>
      <c r="K804" s="6"/>
      <c r="L804" s="6"/>
      <c r="M804" s="6"/>
      <c r="N804" s="6"/>
      <c r="O804" s="6"/>
      <c r="P804" s="6"/>
      <c r="Q804" s="6"/>
      <c r="R804" s="6"/>
      <c r="S804" s="6"/>
      <c r="T804" s="6"/>
      <c r="U804" s="6"/>
    </row>
    <row r="805" spans="1:21">
      <c r="A805" s="82"/>
      <c r="B805" s="83"/>
      <c r="C805" s="82"/>
      <c r="D805" s="82"/>
      <c r="E805" s="82"/>
      <c r="F805" s="82"/>
      <c r="G805" s="222"/>
      <c r="H805" s="222"/>
      <c r="I805" s="222"/>
      <c r="J805" s="6"/>
      <c r="K805" s="6"/>
      <c r="L805" s="6"/>
      <c r="M805" s="6"/>
      <c r="N805" s="6"/>
      <c r="O805" s="6"/>
      <c r="P805" s="6"/>
      <c r="Q805" s="6"/>
      <c r="R805" s="6"/>
      <c r="S805" s="6"/>
      <c r="T805" s="6"/>
      <c r="U805" s="6"/>
    </row>
    <row r="806" spans="1:21">
      <c r="A806" s="82"/>
      <c r="B806" s="83"/>
      <c r="C806" s="82"/>
      <c r="D806" s="82"/>
      <c r="E806" s="82"/>
      <c r="F806" s="82"/>
      <c r="G806" s="222"/>
      <c r="H806" s="222"/>
      <c r="I806" s="222"/>
      <c r="J806" s="6"/>
      <c r="K806" s="6"/>
      <c r="L806" s="6"/>
      <c r="M806" s="6"/>
      <c r="N806" s="6"/>
      <c r="O806" s="6"/>
      <c r="P806" s="6"/>
      <c r="Q806" s="6"/>
      <c r="R806" s="6"/>
      <c r="S806" s="6"/>
      <c r="T806" s="6"/>
      <c r="U806" s="6"/>
    </row>
    <row r="807" spans="1:21">
      <c r="A807" s="82"/>
      <c r="B807" s="83"/>
      <c r="C807" s="82"/>
      <c r="D807" s="82"/>
      <c r="E807" s="82"/>
      <c r="F807" s="82"/>
      <c r="G807" s="222"/>
      <c r="H807" s="222"/>
      <c r="I807" s="222"/>
      <c r="J807" s="6"/>
      <c r="K807" s="6"/>
      <c r="L807" s="6"/>
      <c r="M807" s="6"/>
      <c r="N807" s="6"/>
      <c r="O807" s="6"/>
      <c r="P807" s="6"/>
      <c r="Q807" s="6"/>
      <c r="R807" s="6"/>
      <c r="S807" s="6"/>
      <c r="T807" s="6"/>
      <c r="U807" s="6"/>
    </row>
    <row r="808" spans="1:21">
      <c r="A808" s="82"/>
      <c r="B808" s="83"/>
      <c r="C808" s="82"/>
      <c r="D808" s="82"/>
      <c r="E808" s="82"/>
      <c r="F808" s="82"/>
      <c r="G808" s="222"/>
      <c r="H808" s="222"/>
      <c r="I808" s="222"/>
      <c r="J808" s="6"/>
      <c r="K808" s="6"/>
      <c r="L808" s="6"/>
      <c r="M808" s="6"/>
      <c r="N808" s="6"/>
      <c r="O808" s="6"/>
      <c r="P808" s="6"/>
      <c r="Q808" s="6"/>
      <c r="R808" s="6"/>
      <c r="S808" s="6"/>
      <c r="T808" s="6"/>
      <c r="U808" s="6"/>
    </row>
    <row r="809" spans="1:21">
      <c r="A809" s="82"/>
      <c r="B809" s="83"/>
      <c r="C809" s="82"/>
      <c r="D809" s="82"/>
      <c r="E809" s="82"/>
      <c r="F809" s="82"/>
      <c r="G809" s="222"/>
      <c r="H809" s="222"/>
      <c r="I809" s="222"/>
      <c r="J809" s="6"/>
      <c r="K809" s="6"/>
      <c r="L809" s="6"/>
      <c r="M809" s="6"/>
      <c r="N809" s="6"/>
      <c r="O809" s="6"/>
      <c r="P809" s="6"/>
      <c r="Q809" s="6"/>
      <c r="R809" s="6"/>
      <c r="S809" s="6"/>
      <c r="T809" s="6"/>
      <c r="U809" s="6"/>
    </row>
    <row r="810" spans="1:21">
      <c r="A810" s="82"/>
      <c r="B810" s="83"/>
      <c r="C810" s="82"/>
      <c r="D810" s="82"/>
      <c r="E810" s="82"/>
      <c r="F810" s="82"/>
      <c r="G810" s="222"/>
      <c r="H810" s="222"/>
      <c r="I810" s="222"/>
      <c r="J810" s="6"/>
      <c r="K810" s="6"/>
      <c r="L810" s="6"/>
      <c r="M810" s="6"/>
      <c r="N810" s="6"/>
      <c r="O810" s="6"/>
      <c r="P810" s="6"/>
      <c r="Q810" s="6"/>
      <c r="R810" s="6"/>
      <c r="S810" s="6"/>
      <c r="T810" s="6"/>
      <c r="U810" s="6"/>
    </row>
    <row r="811" spans="1:21">
      <c r="A811" s="82"/>
      <c r="B811" s="83"/>
      <c r="C811" s="82"/>
      <c r="D811" s="82"/>
      <c r="E811" s="82"/>
      <c r="F811" s="82"/>
      <c r="G811" s="222"/>
      <c r="H811" s="222"/>
      <c r="I811" s="222"/>
      <c r="J811" s="6"/>
      <c r="K811" s="6"/>
      <c r="L811" s="6"/>
      <c r="M811" s="6"/>
      <c r="N811" s="6"/>
      <c r="O811" s="6"/>
      <c r="P811" s="6"/>
      <c r="Q811" s="6"/>
      <c r="R811" s="6"/>
      <c r="S811" s="6"/>
      <c r="T811" s="6"/>
      <c r="U811" s="6"/>
    </row>
    <row r="812" spans="1:21">
      <c r="A812" s="82"/>
      <c r="B812" s="83"/>
      <c r="C812" s="82"/>
      <c r="D812" s="82"/>
      <c r="E812" s="82"/>
      <c r="F812" s="82"/>
      <c r="G812" s="222"/>
      <c r="H812" s="222"/>
      <c r="I812" s="222"/>
      <c r="J812" s="6"/>
      <c r="K812" s="6"/>
      <c r="L812" s="6"/>
      <c r="M812" s="6"/>
      <c r="N812" s="6"/>
      <c r="O812" s="6"/>
      <c r="P812" s="6"/>
      <c r="Q812" s="6"/>
      <c r="R812" s="6"/>
      <c r="S812" s="6"/>
      <c r="T812" s="6"/>
      <c r="U812" s="6"/>
    </row>
    <row r="813" spans="1:21">
      <c r="A813" s="82"/>
      <c r="B813" s="83"/>
      <c r="C813" s="82"/>
      <c r="D813" s="82"/>
      <c r="E813" s="82"/>
      <c r="F813" s="82"/>
      <c r="G813" s="222"/>
      <c r="H813" s="222"/>
      <c r="I813" s="222"/>
      <c r="J813" s="6"/>
      <c r="K813" s="6"/>
      <c r="L813" s="6"/>
      <c r="M813" s="6"/>
      <c r="N813" s="6"/>
      <c r="O813" s="6"/>
      <c r="P813" s="6"/>
      <c r="Q813" s="6"/>
      <c r="R813" s="6"/>
      <c r="S813" s="6"/>
      <c r="T813" s="6"/>
      <c r="U813" s="6"/>
    </row>
    <row r="814" spans="1:21">
      <c r="A814" s="82"/>
      <c r="B814" s="83"/>
      <c r="C814" s="82"/>
      <c r="D814" s="82"/>
      <c r="E814" s="82"/>
      <c r="F814" s="82"/>
      <c r="G814" s="222"/>
      <c r="H814" s="222"/>
      <c r="I814" s="222"/>
      <c r="J814" s="6"/>
      <c r="K814" s="6"/>
      <c r="L814" s="6"/>
      <c r="M814" s="6"/>
      <c r="N814" s="6"/>
      <c r="O814" s="6"/>
      <c r="P814" s="6"/>
      <c r="Q814" s="6"/>
      <c r="R814" s="6"/>
      <c r="S814" s="6"/>
      <c r="T814" s="6"/>
      <c r="U814" s="6"/>
    </row>
    <row r="815" spans="1:21">
      <c r="A815" s="82"/>
      <c r="B815" s="83"/>
      <c r="C815" s="82"/>
      <c r="D815" s="82"/>
      <c r="E815" s="82"/>
      <c r="F815" s="82"/>
      <c r="G815" s="222"/>
      <c r="H815" s="222"/>
      <c r="I815" s="222"/>
      <c r="J815" s="6"/>
      <c r="K815" s="6"/>
      <c r="L815" s="6"/>
      <c r="M815" s="6"/>
      <c r="N815" s="6"/>
      <c r="O815" s="6"/>
      <c r="P815" s="6"/>
      <c r="Q815" s="6"/>
      <c r="R815" s="6"/>
      <c r="S815" s="6"/>
      <c r="T815" s="6"/>
      <c r="U815" s="6"/>
    </row>
    <row r="816" spans="1:21">
      <c r="A816" s="82"/>
      <c r="B816" s="83"/>
      <c r="C816" s="82"/>
      <c r="D816" s="82"/>
      <c r="E816" s="82"/>
      <c r="F816" s="82"/>
      <c r="G816" s="222"/>
      <c r="H816" s="222"/>
      <c r="I816" s="222"/>
      <c r="J816" s="6"/>
      <c r="K816" s="6"/>
      <c r="L816" s="6"/>
      <c r="M816" s="6"/>
      <c r="N816" s="6"/>
      <c r="O816" s="6"/>
      <c r="P816" s="6"/>
      <c r="Q816" s="6"/>
      <c r="R816" s="6"/>
      <c r="S816" s="6"/>
      <c r="T816" s="6"/>
      <c r="U816" s="6"/>
    </row>
    <row r="817" spans="1:21">
      <c r="A817" s="82"/>
      <c r="B817" s="83"/>
      <c r="C817" s="82"/>
      <c r="D817" s="82"/>
      <c r="E817" s="82"/>
      <c r="F817" s="82"/>
      <c r="G817" s="222"/>
      <c r="H817" s="222"/>
      <c r="I817" s="222"/>
      <c r="J817" s="6"/>
      <c r="K817" s="6"/>
      <c r="L817" s="6"/>
      <c r="M817" s="6"/>
      <c r="N817" s="6"/>
      <c r="O817" s="6"/>
      <c r="P817" s="6"/>
      <c r="Q817" s="6"/>
      <c r="R817" s="6"/>
      <c r="S817" s="6"/>
      <c r="T817" s="6"/>
      <c r="U817" s="6"/>
    </row>
    <row r="818" spans="1:21">
      <c r="A818" s="82"/>
      <c r="B818" s="83"/>
      <c r="C818" s="82"/>
      <c r="D818" s="82"/>
      <c r="E818" s="82"/>
      <c r="F818" s="82"/>
      <c r="G818" s="222"/>
      <c r="H818" s="222"/>
      <c r="I818" s="222"/>
      <c r="J818" s="6"/>
      <c r="K818" s="6"/>
      <c r="L818" s="6"/>
      <c r="M818" s="6"/>
      <c r="N818" s="6"/>
      <c r="O818" s="6"/>
      <c r="P818" s="6"/>
      <c r="Q818" s="6"/>
      <c r="R818" s="6"/>
      <c r="S818" s="6"/>
      <c r="T818" s="6"/>
      <c r="U818" s="6"/>
    </row>
    <row r="819" spans="1:21">
      <c r="A819" s="82"/>
      <c r="B819" s="83"/>
      <c r="C819" s="82"/>
      <c r="D819" s="82"/>
      <c r="E819" s="82"/>
      <c r="F819" s="82"/>
      <c r="G819" s="222"/>
      <c r="H819" s="222"/>
      <c r="I819" s="222"/>
      <c r="J819" s="6"/>
      <c r="K819" s="6"/>
      <c r="L819" s="6"/>
      <c r="M819" s="6"/>
      <c r="N819" s="6"/>
      <c r="O819" s="6"/>
      <c r="P819" s="6"/>
      <c r="Q819" s="6"/>
      <c r="R819" s="6"/>
      <c r="S819" s="6"/>
      <c r="T819" s="6"/>
      <c r="U819" s="6"/>
    </row>
    <row r="820" spans="1:21">
      <c r="A820" s="82"/>
      <c r="B820" s="83"/>
      <c r="C820" s="82"/>
      <c r="D820" s="82"/>
      <c r="E820" s="82"/>
      <c r="F820" s="82"/>
      <c r="G820" s="222"/>
      <c r="H820" s="222"/>
      <c r="I820" s="222"/>
      <c r="J820" s="6"/>
      <c r="K820" s="6"/>
      <c r="L820" s="6"/>
      <c r="M820" s="6"/>
      <c r="N820" s="6"/>
      <c r="O820" s="6"/>
      <c r="P820" s="6"/>
      <c r="Q820" s="6"/>
      <c r="R820" s="6"/>
      <c r="S820" s="6"/>
      <c r="T820" s="6"/>
      <c r="U820" s="6"/>
    </row>
    <row r="821" spans="1:21">
      <c r="A821" s="82"/>
      <c r="B821" s="83"/>
      <c r="C821" s="82"/>
      <c r="D821" s="82"/>
      <c r="E821" s="82"/>
      <c r="F821" s="82"/>
      <c r="G821" s="222"/>
      <c r="H821" s="222"/>
      <c r="I821" s="222"/>
      <c r="J821" s="6"/>
      <c r="K821" s="6"/>
      <c r="L821" s="6"/>
      <c r="M821" s="6"/>
      <c r="N821" s="6"/>
      <c r="O821" s="6"/>
      <c r="P821" s="6"/>
      <c r="Q821" s="6"/>
      <c r="R821" s="6"/>
      <c r="S821" s="6"/>
      <c r="T821" s="6"/>
      <c r="U821" s="6"/>
    </row>
    <row r="822" spans="1:21">
      <c r="A822" s="82"/>
      <c r="B822" s="83"/>
      <c r="C822" s="82"/>
      <c r="D822" s="82"/>
      <c r="E822" s="82"/>
      <c r="F822" s="82"/>
      <c r="G822" s="222"/>
      <c r="H822" s="222"/>
      <c r="I822" s="222"/>
      <c r="J822" s="6"/>
      <c r="K822" s="6"/>
      <c r="L822" s="6"/>
      <c r="M822" s="6"/>
      <c r="N822" s="6"/>
      <c r="O822" s="6"/>
      <c r="P822" s="6"/>
      <c r="Q822" s="6"/>
      <c r="R822" s="6"/>
      <c r="S822" s="6"/>
      <c r="T822" s="6"/>
      <c r="U822" s="6"/>
    </row>
    <row r="823" spans="1:21">
      <c r="A823" s="82"/>
      <c r="B823" s="83"/>
      <c r="C823" s="82"/>
      <c r="D823" s="82"/>
      <c r="E823" s="82"/>
      <c r="F823" s="82"/>
      <c r="G823" s="222"/>
      <c r="H823" s="222"/>
      <c r="I823" s="222"/>
      <c r="J823" s="6"/>
      <c r="K823" s="6"/>
      <c r="L823" s="6"/>
      <c r="M823" s="6"/>
      <c r="N823" s="6"/>
      <c r="O823" s="6"/>
      <c r="P823" s="6"/>
      <c r="Q823" s="6"/>
      <c r="R823" s="6"/>
      <c r="S823" s="6"/>
      <c r="T823" s="6"/>
      <c r="U823" s="6"/>
    </row>
    <row r="824" spans="1:21">
      <c r="A824" s="82"/>
      <c r="B824" s="83"/>
      <c r="C824" s="82"/>
      <c r="D824" s="82"/>
      <c r="E824" s="82"/>
      <c r="F824" s="82"/>
      <c r="G824" s="222"/>
      <c r="H824" s="222"/>
      <c r="I824" s="222"/>
      <c r="J824" s="6"/>
      <c r="K824" s="6"/>
      <c r="L824" s="6"/>
      <c r="M824" s="6"/>
      <c r="N824" s="6"/>
      <c r="O824" s="6"/>
      <c r="P824" s="6"/>
      <c r="Q824" s="6"/>
      <c r="R824" s="6"/>
      <c r="S824" s="6"/>
      <c r="T824" s="6"/>
      <c r="U824" s="6"/>
    </row>
    <row r="825" spans="1:21">
      <c r="A825" s="82"/>
      <c r="B825" s="83"/>
      <c r="C825" s="82"/>
      <c r="D825" s="82"/>
      <c r="E825" s="82"/>
      <c r="F825" s="82"/>
      <c r="G825" s="222"/>
      <c r="H825" s="222"/>
      <c r="I825" s="222"/>
      <c r="J825" s="6"/>
      <c r="K825" s="6"/>
      <c r="L825" s="6"/>
      <c r="M825" s="6"/>
      <c r="N825" s="6"/>
      <c r="O825" s="6"/>
      <c r="P825" s="6"/>
      <c r="Q825" s="6"/>
      <c r="R825" s="6"/>
      <c r="S825" s="6"/>
      <c r="T825" s="6"/>
      <c r="U825" s="6"/>
    </row>
    <row r="826" spans="1:21">
      <c r="A826" s="82"/>
      <c r="B826" s="83"/>
      <c r="C826" s="82"/>
      <c r="D826" s="82"/>
      <c r="E826" s="82"/>
      <c r="F826" s="82"/>
      <c r="G826" s="222"/>
      <c r="H826" s="222"/>
      <c r="I826" s="222"/>
      <c r="J826" s="6"/>
      <c r="K826" s="6"/>
      <c r="L826" s="6"/>
      <c r="M826" s="6"/>
      <c r="N826" s="6"/>
      <c r="O826" s="6"/>
      <c r="P826" s="6"/>
      <c r="Q826" s="6"/>
      <c r="R826" s="6"/>
      <c r="S826" s="6"/>
      <c r="T826" s="6"/>
      <c r="U826" s="6"/>
    </row>
    <row r="827" spans="1:21">
      <c r="A827" s="82"/>
      <c r="B827" s="83"/>
      <c r="C827" s="82"/>
      <c r="D827" s="82"/>
      <c r="E827" s="82"/>
      <c r="F827" s="82"/>
      <c r="G827" s="222"/>
      <c r="H827" s="222"/>
      <c r="I827" s="222"/>
      <c r="J827" s="6"/>
      <c r="K827" s="6"/>
      <c r="L827" s="6"/>
      <c r="M827" s="6"/>
      <c r="N827" s="6"/>
      <c r="O827" s="6"/>
      <c r="P827" s="6"/>
      <c r="Q827" s="6"/>
      <c r="R827" s="6"/>
      <c r="S827" s="6"/>
      <c r="T827" s="6"/>
      <c r="U827" s="6"/>
    </row>
    <row r="828" spans="1:21">
      <c r="A828" s="82"/>
      <c r="B828" s="83"/>
      <c r="C828" s="82"/>
      <c r="D828" s="82"/>
      <c r="E828" s="82"/>
      <c r="F828" s="82"/>
      <c r="G828" s="222"/>
      <c r="H828" s="222"/>
      <c r="I828" s="222"/>
      <c r="J828" s="6"/>
      <c r="K828" s="6"/>
      <c r="L828" s="6"/>
      <c r="M828" s="6"/>
      <c r="N828" s="6"/>
      <c r="O828" s="6"/>
      <c r="P828" s="6"/>
      <c r="Q828" s="6"/>
      <c r="R828" s="6"/>
      <c r="S828" s="6"/>
      <c r="T828" s="6"/>
      <c r="U828" s="6"/>
    </row>
    <row r="829" spans="1:21">
      <c r="A829" s="82"/>
      <c r="B829" s="83"/>
      <c r="C829" s="82"/>
      <c r="D829" s="82"/>
      <c r="E829" s="82"/>
      <c r="F829" s="82"/>
      <c r="G829" s="222"/>
      <c r="H829" s="222"/>
      <c r="I829" s="222"/>
      <c r="J829" s="6"/>
      <c r="K829" s="6"/>
      <c r="L829" s="6"/>
      <c r="M829" s="6"/>
      <c r="N829" s="6"/>
      <c r="O829" s="6"/>
      <c r="P829" s="6"/>
      <c r="Q829" s="6"/>
      <c r="R829" s="6"/>
      <c r="S829" s="6"/>
      <c r="T829" s="6"/>
      <c r="U829" s="6"/>
    </row>
    <row r="830" spans="1:21">
      <c r="A830" s="82"/>
      <c r="B830" s="83"/>
      <c r="C830" s="82"/>
      <c r="D830" s="82"/>
      <c r="E830" s="82"/>
      <c r="F830" s="82"/>
      <c r="G830" s="222"/>
      <c r="H830" s="222"/>
      <c r="I830" s="222"/>
      <c r="J830" s="6"/>
      <c r="K830" s="6"/>
      <c r="L830" s="6"/>
      <c r="M830" s="6"/>
      <c r="N830" s="6"/>
      <c r="O830" s="6"/>
      <c r="P830" s="6"/>
      <c r="Q830" s="6"/>
      <c r="R830" s="6"/>
      <c r="S830" s="6"/>
      <c r="T830" s="6"/>
      <c r="U830" s="6"/>
    </row>
    <row r="831" spans="1:21">
      <c r="A831" s="82"/>
      <c r="B831" s="83"/>
      <c r="C831" s="82"/>
      <c r="D831" s="82"/>
      <c r="E831" s="82"/>
      <c r="F831" s="82"/>
      <c r="G831" s="222"/>
      <c r="H831" s="222"/>
      <c r="I831" s="222"/>
      <c r="J831" s="6"/>
      <c r="K831" s="6"/>
      <c r="L831" s="6"/>
      <c r="M831" s="6"/>
      <c r="N831" s="6"/>
      <c r="O831" s="6"/>
      <c r="P831" s="6"/>
      <c r="Q831" s="6"/>
      <c r="R831" s="6"/>
      <c r="S831" s="6"/>
      <c r="T831" s="6"/>
      <c r="U831" s="6"/>
    </row>
    <row r="832" spans="1:21">
      <c r="A832" s="82"/>
      <c r="B832" s="83"/>
      <c r="C832" s="82"/>
      <c r="D832" s="82"/>
      <c r="E832" s="82"/>
      <c r="F832" s="82"/>
      <c r="G832" s="222"/>
      <c r="H832" s="222"/>
      <c r="I832" s="222"/>
      <c r="J832" s="6"/>
      <c r="K832" s="6"/>
      <c r="L832" s="6"/>
      <c r="M832" s="6"/>
      <c r="N832" s="6"/>
      <c r="O832" s="6"/>
      <c r="P832" s="6"/>
      <c r="Q832" s="6"/>
      <c r="R832" s="6"/>
      <c r="S832" s="6"/>
      <c r="T832" s="6"/>
      <c r="U832" s="6"/>
    </row>
    <row r="833" spans="1:21">
      <c r="A833" s="82"/>
      <c r="B833" s="83"/>
      <c r="C833" s="82"/>
      <c r="D833" s="82"/>
      <c r="E833" s="82"/>
      <c r="F833" s="82"/>
      <c r="G833" s="222"/>
      <c r="H833" s="222"/>
      <c r="I833" s="222"/>
      <c r="J833" s="6"/>
      <c r="K833" s="6"/>
      <c r="L833" s="6"/>
      <c r="M833" s="6"/>
      <c r="N833" s="6"/>
      <c r="O833" s="6"/>
      <c r="P833" s="6"/>
      <c r="Q833" s="6"/>
      <c r="R833" s="6"/>
      <c r="S833" s="6"/>
      <c r="T833" s="6"/>
      <c r="U833" s="6"/>
    </row>
    <row r="834" spans="1:21">
      <c r="A834" s="82"/>
      <c r="B834" s="83"/>
      <c r="C834" s="82"/>
      <c r="D834" s="82"/>
      <c r="E834" s="82"/>
      <c r="F834" s="82"/>
      <c r="G834" s="222"/>
      <c r="H834" s="222"/>
      <c r="I834" s="222"/>
      <c r="J834" s="6"/>
      <c r="K834" s="6"/>
      <c r="L834" s="6"/>
      <c r="M834" s="6"/>
      <c r="N834" s="6"/>
      <c r="O834" s="6"/>
      <c r="P834" s="6"/>
      <c r="Q834" s="6"/>
      <c r="R834" s="6"/>
      <c r="S834" s="6"/>
      <c r="T834" s="6"/>
      <c r="U834" s="6"/>
    </row>
    <row r="835" spans="1:21">
      <c r="A835" s="82"/>
      <c r="B835" s="83"/>
      <c r="C835" s="82"/>
      <c r="D835" s="82"/>
      <c r="E835" s="82"/>
      <c r="F835" s="82"/>
      <c r="G835" s="222"/>
      <c r="H835" s="222"/>
      <c r="I835" s="222"/>
      <c r="J835" s="6"/>
      <c r="K835" s="6"/>
      <c r="L835" s="6"/>
      <c r="M835" s="6"/>
      <c r="N835" s="6"/>
      <c r="O835" s="6"/>
      <c r="P835" s="6"/>
      <c r="Q835" s="6"/>
      <c r="R835" s="6"/>
      <c r="S835" s="6"/>
      <c r="T835" s="6"/>
      <c r="U835" s="6"/>
    </row>
    <row r="836" spans="1:21">
      <c r="A836" s="82"/>
      <c r="B836" s="83"/>
      <c r="C836" s="82"/>
      <c r="D836" s="82"/>
      <c r="E836" s="82"/>
      <c r="F836" s="82"/>
      <c r="G836" s="222"/>
      <c r="H836" s="222"/>
      <c r="I836" s="222"/>
      <c r="J836" s="6"/>
      <c r="K836" s="6"/>
      <c r="L836" s="6"/>
      <c r="M836" s="6"/>
      <c r="N836" s="6"/>
      <c r="O836" s="6"/>
      <c r="P836" s="6"/>
      <c r="Q836" s="6"/>
      <c r="R836" s="6"/>
      <c r="S836" s="6"/>
      <c r="T836" s="6"/>
      <c r="U836" s="6"/>
    </row>
    <row r="837" spans="1:21">
      <c r="A837" s="82"/>
      <c r="B837" s="83"/>
      <c r="C837" s="82"/>
      <c r="D837" s="82"/>
      <c r="E837" s="82"/>
      <c r="F837" s="82"/>
      <c r="G837" s="222"/>
      <c r="H837" s="222"/>
      <c r="I837" s="222"/>
      <c r="J837" s="6"/>
      <c r="K837" s="6"/>
      <c r="L837" s="6"/>
      <c r="M837" s="6"/>
      <c r="N837" s="6"/>
      <c r="O837" s="6"/>
      <c r="P837" s="6"/>
      <c r="Q837" s="6"/>
      <c r="R837" s="6"/>
      <c r="S837" s="6"/>
      <c r="T837" s="6"/>
      <c r="U837" s="6"/>
    </row>
    <row r="838" spans="1:21">
      <c r="A838" s="82"/>
      <c r="B838" s="83"/>
      <c r="C838" s="82"/>
      <c r="D838" s="82"/>
      <c r="E838" s="82"/>
      <c r="F838" s="82"/>
      <c r="G838" s="222"/>
      <c r="H838" s="222"/>
      <c r="I838" s="222"/>
      <c r="J838" s="6"/>
      <c r="K838" s="6"/>
      <c r="L838" s="6"/>
      <c r="M838" s="6"/>
      <c r="N838" s="6"/>
      <c r="O838" s="6"/>
      <c r="P838" s="6"/>
      <c r="Q838" s="6"/>
      <c r="R838" s="6"/>
      <c r="S838" s="6"/>
      <c r="T838" s="6"/>
      <c r="U838" s="6"/>
    </row>
    <row r="839" spans="1:21">
      <c r="A839" s="82"/>
      <c r="B839" s="83"/>
      <c r="C839" s="82"/>
      <c r="D839" s="82"/>
      <c r="E839" s="82"/>
      <c r="F839" s="82"/>
      <c r="G839" s="222"/>
      <c r="H839" s="222"/>
      <c r="I839" s="222"/>
      <c r="J839" s="6"/>
      <c r="K839" s="6"/>
      <c r="L839" s="6"/>
      <c r="M839" s="6"/>
      <c r="N839" s="6"/>
      <c r="O839" s="6"/>
      <c r="P839" s="6"/>
      <c r="Q839" s="6"/>
      <c r="R839" s="6"/>
      <c r="S839" s="6"/>
      <c r="T839" s="6"/>
      <c r="U839" s="6"/>
    </row>
    <row r="840" spans="1:21">
      <c r="A840" s="82"/>
      <c r="B840" s="83"/>
      <c r="C840" s="82"/>
      <c r="D840" s="82"/>
      <c r="E840" s="82"/>
      <c r="F840" s="82"/>
      <c r="G840" s="222"/>
      <c r="H840" s="222"/>
      <c r="I840" s="222"/>
      <c r="J840" s="6"/>
      <c r="K840" s="6"/>
      <c r="L840" s="6"/>
      <c r="M840" s="6"/>
      <c r="N840" s="6"/>
      <c r="O840" s="6"/>
      <c r="P840" s="6"/>
      <c r="Q840" s="6"/>
      <c r="R840" s="6"/>
      <c r="S840" s="6"/>
      <c r="T840" s="6"/>
      <c r="U840" s="6"/>
    </row>
    <row r="841" spans="1:21">
      <c r="A841" s="82"/>
      <c r="B841" s="83"/>
      <c r="C841" s="82"/>
      <c r="D841" s="82"/>
      <c r="E841" s="82"/>
      <c r="F841" s="82"/>
      <c r="G841" s="222"/>
      <c r="H841" s="222"/>
      <c r="I841" s="222"/>
      <c r="J841" s="6"/>
      <c r="K841" s="6"/>
      <c r="L841" s="6"/>
      <c r="M841" s="6"/>
      <c r="N841" s="6"/>
      <c r="O841" s="6"/>
      <c r="P841" s="6"/>
      <c r="Q841" s="6"/>
      <c r="R841" s="6"/>
      <c r="S841" s="6"/>
      <c r="T841" s="6"/>
      <c r="U841" s="6"/>
    </row>
    <row r="842" spans="1:21">
      <c r="A842" s="82"/>
      <c r="B842" s="83"/>
      <c r="C842" s="82"/>
      <c r="D842" s="82"/>
      <c r="E842" s="82"/>
      <c r="F842" s="82"/>
      <c r="G842" s="222"/>
      <c r="H842" s="222"/>
      <c r="I842" s="222"/>
      <c r="J842" s="6"/>
      <c r="K842" s="6"/>
      <c r="L842" s="6"/>
      <c r="M842" s="6"/>
      <c r="N842" s="6"/>
      <c r="O842" s="6"/>
      <c r="P842" s="6"/>
      <c r="Q842" s="6"/>
      <c r="R842" s="6"/>
      <c r="S842" s="6"/>
      <c r="T842" s="6"/>
      <c r="U842" s="6"/>
    </row>
    <row r="843" spans="1:21">
      <c r="A843" s="82"/>
      <c r="B843" s="83"/>
      <c r="C843" s="82"/>
      <c r="D843" s="82"/>
      <c r="E843" s="82"/>
      <c r="F843" s="82"/>
      <c r="G843" s="222"/>
      <c r="H843" s="222"/>
      <c r="I843" s="222"/>
      <c r="J843" s="6"/>
      <c r="K843" s="6"/>
      <c r="L843" s="6"/>
      <c r="M843" s="6"/>
      <c r="N843" s="6"/>
      <c r="O843" s="6"/>
      <c r="P843" s="6"/>
      <c r="Q843" s="6"/>
      <c r="R843" s="6"/>
      <c r="S843" s="6"/>
      <c r="T843" s="6"/>
      <c r="U843" s="6"/>
    </row>
    <row r="844" spans="1:21">
      <c r="A844" s="82"/>
      <c r="B844" s="83"/>
      <c r="C844" s="82"/>
      <c r="D844" s="82"/>
      <c r="E844" s="82"/>
      <c r="F844" s="82"/>
      <c r="G844" s="222"/>
      <c r="H844" s="222"/>
      <c r="I844" s="222"/>
      <c r="J844" s="6"/>
      <c r="K844" s="6"/>
      <c r="L844" s="6"/>
      <c r="M844" s="6"/>
      <c r="N844" s="6"/>
      <c r="O844" s="6"/>
      <c r="P844" s="6"/>
      <c r="Q844" s="6"/>
      <c r="R844" s="6"/>
      <c r="S844" s="6"/>
      <c r="T844" s="6"/>
      <c r="U844" s="6"/>
    </row>
    <row r="845" spans="1:21">
      <c r="A845" s="82"/>
      <c r="B845" s="83"/>
      <c r="C845" s="82"/>
      <c r="D845" s="82"/>
      <c r="E845" s="82"/>
      <c r="F845" s="82"/>
      <c r="G845" s="222"/>
      <c r="H845" s="222"/>
      <c r="I845" s="222"/>
      <c r="J845" s="6"/>
      <c r="K845" s="6"/>
      <c r="L845" s="6"/>
      <c r="M845" s="6"/>
      <c r="N845" s="6"/>
      <c r="O845" s="6"/>
      <c r="P845" s="6"/>
      <c r="Q845" s="6"/>
      <c r="R845" s="6"/>
      <c r="S845" s="6"/>
      <c r="T845" s="6"/>
      <c r="U845" s="6"/>
    </row>
    <row r="846" spans="1:21">
      <c r="A846" s="82"/>
      <c r="B846" s="83"/>
      <c r="C846" s="82"/>
      <c r="D846" s="82"/>
      <c r="E846" s="82"/>
      <c r="F846" s="82"/>
      <c r="G846" s="222"/>
      <c r="H846" s="222"/>
      <c r="I846" s="222"/>
      <c r="J846" s="6"/>
      <c r="K846" s="6"/>
      <c r="L846" s="6"/>
      <c r="M846" s="6"/>
      <c r="N846" s="6"/>
      <c r="O846" s="6"/>
      <c r="P846" s="6"/>
      <c r="Q846" s="6"/>
      <c r="R846" s="6"/>
      <c r="S846" s="6"/>
      <c r="T846" s="6"/>
      <c r="U846" s="6"/>
    </row>
    <row r="847" spans="1:21">
      <c r="A847" s="82"/>
      <c r="B847" s="83"/>
      <c r="C847" s="82"/>
      <c r="D847" s="82"/>
      <c r="E847" s="82"/>
      <c r="F847" s="82"/>
      <c r="G847" s="222"/>
      <c r="H847" s="222"/>
      <c r="I847" s="222"/>
      <c r="J847" s="6"/>
      <c r="K847" s="6"/>
      <c r="L847" s="6"/>
      <c r="M847" s="6"/>
      <c r="N847" s="6"/>
      <c r="O847" s="6"/>
      <c r="P847" s="6"/>
      <c r="Q847" s="6"/>
      <c r="R847" s="6"/>
      <c r="S847" s="6"/>
      <c r="T847" s="6"/>
      <c r="U847" s="6"/>
    </row>
    <row r="848" spans="1:21">
      <c r="A848" s="82"/>
      <c r="B848" s="83"/>
      <c r="C848" s="82"/>
      <c r="D848" s="82"/>
      <c r="E848" s="82"/>
      <c r="F848" s="82"/>
      <c r="G848" s="222"/>
      <c r="H848" s="222"/>
      <c r="I848" s="222"/>
      <c r="J848" s="6"/>
      <c r="K848" s="6"/>
      <c r="L848" s="6"/>
      <c r="M848" s="6"/>
      <c r="N848" s="6"/>
      <c r="O848" s="6"/>
      <c r="P848" s="6"/>
      <c r="Q848" s="6"/>
      <c r="R848" s="6"/>
      <c r="S848" s="6"/>
      <c r="T848" s="6"/>
      <c r="U848" s="6"/>
    </row>
    <row r="849" spans="1:21">
      <c r="A849" s="82"/>
      <c r="B849" s="83"/>
      <c r="C849" s="82"/>
      <c r="D849" s="82"/>
      <c r="E849" s="82"/>
      <c r="F849" s="82"/>
      <c r="G849" s="222"/>
      <c r="H849" s="222"/>
      <c r="I849" s="222"/>
      <c r="J849" s="6"/>
      <c r="K849" s="6"/>
      <c r="L849" s="6"/>
      <c r="M849" s="6"/>
      <c r="N849" s="6"/>
      <c r="O849" s="6"/>
      <c r="P849" s="6"/>
      <c r="Q849" s="6"/>
      <c r="R849" s="6"/>
      <c r="S849" s="6"/>
      <c r="T849" s="6"/>
      <c r="U849" s="6"/>
    </row>
    <row r="850" spans="1:21">
      <c r="A850" s="82"/>
      <c r="B850" s="83"/>
      <c r="C850" s="82"/>
      <c r="D850" s="82"/>
      <c r="E850" s="82"/>
      <c r="F850" s="82"/>
      <c r="G850" s="222"/>
      <c r="H850" s="222"/>
      <c r="I850" s="222"/>
      <c r="J850" s="6"/>
      <c r="K850" s="6"/>
      <c r="L850" s="6"/>
      <c r="M850" s="6"/>
      <c r="N850" s="6"/>
      <c r="O850" s="6"/>
      <c r="P850" s="6"/>
      <c r="Q850" s="6"/>
      <c r="R850" s="6"/>
      <c r="S850" s="6"/>
      <c r="T850" s="6"/>
      <c r="U850" s="6"/>
    </row>
    <row r="851" spans="1:21">
      <c r="A851" s="82"/>
      <c r="B851" s="83"/>
      <c r="C851" s="82"/>
      <c r="D851" s="82"/>
      <c r="E851" s="82"/>
      <c r="F851" s="82"/>
      <c r="G851" s="222"/>
      <c r="H851" s="222"/>
      <c r="I851" s="222"/>
      <c r="J851" s="6"/>
      <c r="K851" s="6"/>
      <c r="L851" s="6"/>
      <c r="M851" s="6"/>
      <c r="N851" s="6"/>
      <c r="O851" s="6"/>
      <c r="P851" s="6"/>
      <c r="Q851" s="6"/>
      <c r="R851" s="6"/>
      <c r="S851" s="6"/>
      <c r="T851" s="6"/>
      <c r="U851" s="6"/>
    </row>
    <row r="852" spans="1:21">
      <c r="A852" s="82"/>
      <c r="B852" s="83"/>
      <c r="C852" s="82"/>
      <c r="D852" s="82"/>
      <c r="E852" s="82"/>
      <c r="F852" s="82"/>
      <c r="G852" s="222"/>
      <c r="H852" s="222"/>
      <c r="I852" s="222"/>
      <c r="J852" s="6"/>
      <c r="K852" s="6"/>
      <c r="L852" s="6"/>
      <c r="M852" s="6"/>
      <c r="N852" s="6"/>
      <c r="O852" s="6"/>
      <c r="P852" s="6"/>
      <c r="Q852" s="6"/>
      <c r="R852" s="6"/>
      <c r="S852" s="6"/>
      <c r="T852" s="6"/>
      <c r="U852" s="6"/>
    </row>
    <row r="853" spans="1:21">
      <c r="A853" s="82"/>
      <c r="B853" s="83"/>
      <c r="C853" s="82"/>
      <c r="D853" s="82"/>
      <c r="E853" s="82"/>
      <c r="F853" s="82"/>
      <c r="G853" s="222"/>
      <c r="H853" s="222"/>
      <c r="I853" s="222"/>
      <c r="J853" s="6"/>
      <c r="K853" s="6"/>
      <c r="L853" s="6"/>
      <c r="M853" s="6"/>
      <c r="N853" s="6"/>
      <c r="O853" s="6"/>
      <c r="P853" s="6"/>
      <c r="Q853" s="6"/>
      <c r="R853" s="6"/>
      <c r="S853" s="6"/>
      <c r="T853" s="6"/>
      <c r="U853" s="6"/>
    </row>
    <row r="854" spans="1:21">
      <c r="A854" s="82"/>
      <c r="B854" s="83"/>
      <c r="C854" s="82"/>
      <c r="D854" s="82"/>
      <c r="E854" s="82"/>
      <c r="F854" s="82"/>
      <c r="G854" s="222"/>
      <c r="H854" s="222"/>
      <c r="I854" s="222"/>
      <c r="J854" s="6"/>
      <c r="K854" s="6"/>
      <c r="L854" s="6"/>
      <c r="M854" s="6"/>
      <c r="N854" s="6"/>
      <c r="O854" s="6"/>
      <c r="P854" s="6"/>
      <c r="Q854" s="6"/>
      <c r="R854" s="6"/>
      <c r="S854" s="6"/>
      <c r="T854" s="6"/>
      <c r="U854" s="6"/>
    </row>
    <row r="855" spans="1:21">
      <c r="A855" s="82"/>
      <c r="B855" s="83"/>
      <c r="C855" s="82"/>
      <c r="D855" s="82"/>
      <c r="E855" s="82"/>
      <c r="F855" s="82"/>
      <c r="G855" s="222"/>
      <c r="H855" s="222"/>
      <c r="I855" s="222"/>
      <c r="J855" s="6"/>
      <c r="K855" s="6"/>
      <c r="L855" s="6"/>
      <c r="M855" s="6"/>
      <c r="N855" s="6"/>
      <c r="O855" s="6"/>
      <c r="P855" s="6"/>
      <c r="Q855" s="6"/>
      <c r="R855" s="6"/>
      <c r="S855" s="6"/>
      <c r="T855" s="6"/>
      <c r="U855" s="6"/>
    </row>
    <row r="856" spans="1:21">
      <c r="A856" s="82"/>
      <c r="B856" s="83"/>
      <c r="C856" s="82"/>
      <c r="D856" s="82"/>
      <c r="E856" s="82"/>
      <c r="F856" s="82"/>
      <c r="G856" s="222"/>
      <c r="H856" s="222"/>
      <c r="I856" s="222"/>
      <c r="J856" s="6"/>
      <c r="K856" s="6"/>
      <c r="L856" s="6"/>
      <c r="M856" s="6"/>
      <c r="N856" s="6"/>
      <c r="O856" s="6"/>
      <c r="P856" s="6"/>
      <c r="Q856" s="6"/>
      <c r="R856" s="6"/>
      <c r="S856" s="6"/>
      <c r="T856" s="6"/>
      <c r="U856" s="6"/>
    </row>
    <row r="857" spans="1:21">
      <c r="A857" s="82"/>
      <c r="B857" s="83"/>
      <c r="C857" s="82"/>
      <c r="D857" s="82"/>
      <c r="E857" s="82"/>
      <c r="F857" s="82"/>
      <c r="G857" s="222"/>
      <c r="H857" s="222"/>
      <c r="I857" s="222"/>
      <c r="J857" s="6"/>
      <c r="K857" s="6"/>
      <c r="L857" s="6"/>
      <c r="M857" s="6"/>
      <c r="N857" s="6"/>
      <c r="O857" s="6"/>
      <c r="P857" s="6"/>
      <c r="Q857" s="6"/>
      <c r="R857" s="6"/>
      <c r="S857" s="6"/>
      <c r="T857" s="6"/>
      <c r="U857" s="6"/>
    </row>
    <row r="858" spans="1:21">
      <c r="A858" s="82"/>
      <c r="B858" s="83"/>
      <c r="C858" s="82"/>
      <c r="D858" s="82"/>
      <c r="E858" s="82"/>
      <c r="F858" s="82"/>
      <c r="G858" s="222"/>
      <c r="H858" s="222"/>
      <c r="I858" s="222"/>
      <c r="J858" s="6"/>
      <c r="K858" s="6"/>
      <c r="L858" s="6"/>
      <c r="M858" s="6"/>
      <c r="N858" s="6"/>
      <c r="O858" s="6"/>
      <c r="P858" s="6"/>
      <c r="Q858" s="6"/>
      <c r="R858" s="6"/>
      <c r="S858" s="6"/>
      <c r="T858" s="6"/>
      <c r="U858" s="6"/>
    </row>
    <row r="859" spans="1:21">
      <c r="A859" s="82"/>
      <c r="B859" s="83"/>
      <c r="C859" s="82"/>
      <c r="D859" s="82"/>
      <c r="E859" s="82"/>
      <c r="F859" s="82"/>
      <c r="G859" s="222"/>
      <c r="H859" s="222"/>
      <c r="I859" s="222"/>
      <c r="J859" s="6"/>
      <c r="K859" s="6"/>
      <c r="L859" s="6"/>
      <c r="M859" s="6"/>
      <c r="N859" s="6"/>
      <c r="O859" s="6"/>
      <c r="P859" s="6"/>
      <c r="Q859" s="6"/>
      <c r="R859" s="6"/>
      <c r="S859" s="6"/>
      <c r="T859" s="6"/>
      <c r="U859" s="6"/>
    </row>
    <row r="860" spans="1:21">
      <c r="A860" s="82"/>
      <c r="B860" s="83"/>
      <c r="C860" s="82"/>
      <c r="D860" s="82"/>
      <c r="E860" s="82"/>
      <c r="F860" s="82"/>
      <c r="G860" s="222"/>
      <c r="H860" s="222"/>
      <c r="I860" s="222"/>
      <c r="J860" s="6"/>
      <c r="K860" s="6"/>
      <c r="L860" s="6"/>
      <c r="M860" s="6"/>
      <c r="N860" s="6"/>
      <c r="O860" s="6"/>
      <c r="P860" s="6"/>
      <c r="Q860" s="6"/>
      <c r="R860" s="6"/>
      <c r="S860" s="6"/>
      <c r="T860" s="6"/>
      <c r="U860" s="6"/>
    </row>
    <row r="861" spans="1:21">
      <c r="A861" s="82"/>
      <c r="B861" s="83"/>
      <c r="C861" s="82"/>
      <c r="D861" s="82"/>
      <c r="E861" s="82"/>
      <c r="F861" s="82"/>
      <c r="G861" s="222"/>
      <c r="H861" s="222"/>
      <c r="I861" s="222"/>
      <c r="J861" s="6"/>
      <c r="K861" s="6"/>
      <c r="L861" s="6"/>
      <c r="M861" s="6"/>
      <c r="N861" s="6"/>
      <c r="O861" s="6"/>
      <c r="P861" s="6"/>
      <c r="Q861" s="6"/>
      <c r="R861" s="6"/>
      <c r="S861" s="6"/>
      <c r="T861" s="6"/>
      <c r="U861" s="6"/>
    </row>
    <row r="862" spans="1:21">
      <c r="A862" s="82"/>
      <c r="B862" s="83"/>
      <c r="C862" s="82"/>
      <c r="D862" s="82"/>
      <c r="E862" s="82"/>
      <c r="F862" s="82"/>
      <c r="G862" s="222"/>
      <c r="H862" s="222"/>
      <c r="I862" s="222"/>
      <c r="J862" s="6"/>
      <c r="K862" s="6"/>
      <c r="L862" s="6"/>
      <c r="M862" s="6"/>
      <c r="N862" s="6"/>
      <c r="O862" s="6"/>
      <c r="P862" s="6"/>
      <c r="Q862" s="6"/>
      <c r="R862" s="6"/>
      <c r="S862" s="6"/>
      <c r="T862" s="6"/>
      <c r="U862" s="6"/>
    </row>
    <row r="863" spans="1:21">
      <c r="A863" s="82"/>
      <c r="B863" s="83"/>
      <c r="C863" s="82"/>
      <c r="D863" s="82"/>
      <c r="E863" s="82"/>
      <c r="F863" s="82"/>
      <c r="G863" s="222"/>
      <c r="H863" s="222"/>
      <c r="I863" s="222"/>
      <c r="J863" s="6"/>
      <c r="K863" s="6"/>
      <c r="L863" s="6"/>
      <c r="M863" s="6"/>
      <c r="N863" s="6"/>
      <c r="O863" s="6"/>
      <c r="P863" s="6"/>
      <c r="Q863" s="6"/>
      <c r="R863" s="6"/>
      <c r="S863" s="6"/>
      <c r="T863" s="6"/>
      <c r="U863" s="6"/>
    </row>
    <row r="864" spans="1:21">
      <c r="A864" s="82"/>
      <c r="B864" s="83"/>
      <c r="C864" s="82"/>
      <c r="D864" s="82"/>
      <c r="E864" s="82"/>
      <c r="F864" s="82"/>
      <c r="G864" s="222"/>
      <c r="H864" s="222"/>
      <c r="I864" s="222"/>
      <c r="J864" s="6"/>
      <c r="K864" s="6"/>
      <c r="L864" s="6"/>
      <c r="M864" s="6"/>
      <c r="N864" s="6"/>
      <c r="O864" s="6"/>
      <c r="P864" s="6"/>
      <c r="Q864" s="6"/>
      <c r="R864" s="6"/>
      <c r="S864" s="6"/>
      <c r="T864" s="6"/>
      <c r="U864" s="6"/>
    </row>
    <row r="865" spans="1:21">
      <c r="A865" s="82"/>
      <c r="B865" s="83"/>
      <c r="C865" s="82"/>
      <c r="D865" s="82"/>
      <c r="E865" s="82"/>
      <c r="F865" s="82"/>
      <c r="G865" s="222"/>
      <c r="H865" s="222"/>
      <c r="I865" s="222"/>
      <c r="J865" s="6"/>
      <c r="K865" s="6"/>
      <c r="L865" s="6"/>
      <c r="M865" s="6"/>
      <c r="N865" s="6"/>
      <c r="O865" s="6"/>
      <c r="P865" s="6"/>
      <c r="Q865" s="6"/>
      <c r="R865" s="6"/>
      <c r="S865" s="6"/>
      <c r="T865" s="6"/>
      <c r="U865" s="6"/>
    </row>
    <row r="866" spans="1:21">
      <c r="A866" s="82"/>
      <c r="B866" s="83"/>
      <c r="C866" s="82"/>
      <c r="D866" s="82"/>
      <c r="E866" s="82"/>
      <c r="F866" s="82"/>
      <c r="G866" s="222"/>
      <c r="H866" s="222"/>
      <c r="I866" s="222"/>
      <c r="J866" s="6"/>
      <c r="K866" s="6"/>
      <c r="L866" s="6"/>
      <c r="M866" s="6"/>
      <c r="N866" s="6"/>
      <c r="O866" s="6"/>
      <c r="P866" s="6"/>
      <c r="Q866" s="6"/>
      <c r="R866" s="6"/>
      <c r="S866" s="6"/>
      <c r="T866" s="6"/>
      <c r="U866" s="6"/>
    </row>
    <row r="867" spans="1:21">
      <c r="A867" s="82"/>
      <c r="B867" s="83"/>
      <c r="C867" s="82"/>
      <c r="D867" s="82"/>
      <c r="E867" s="82"/>
      <c r="F867" s="82"/>
      <c r="G867" s="222"/>
      <c r="H867" s="222"/>
      <c r="I867" s="222"/>
      <c r="J867" s="6"/>
      <c r="K867" s="6"/>
      <c r="L867" s="6"/>
      <c r="M867" s="6"/>
      <c r="N867" s="6"/>
      <c r="O867" s="6"/>
      <c r="P867" s="6"/>
      <c r="Q867" s="6"/>
      <c r="R867" s="6"/>
      <c r="S867" s="6"/>
      <c r="T867" s="6"/>
      <c r="U867" s="6"/>
    </row>
    <row r="868" spans="1:21">
      <c r="A868" s="82"/>
      <c r="B868" s="83"/>
      <c r="C868" s="82"/>
      <c r="D868" s="82"/>
      <c r="E868" s="82"/>
      <c r="F868" s="82"/>
      <c r="G868" s="222"/>
      <c r="H868" s="222"/>
      <c r="I868" s="222"/>
      <c r="J868" s="6"/>
      <c r="K868" s="6"/>
      <c r="L868" s="6"/>
      <c r="M868" s="6"/>
      <c r="N868" s="6"/>
      <c r="O868" s="6"/>
      <c r="P868" s="6"/>
      <c r="Q868" s="6"/>
      <c r="R868" s="6"/>
      <c r="S868" s="6"/>
      <c r="T868" s="6"/>
      <c r="U868" s="6"/>
    </row>
    <row r="869" spans="1:21">
      <c r="A869" s="82"/>
      <c r="B869" s="83"/>
      <c r="C869" s="82"/>
      <c r="D869" s="82"/>
      <c r="E869" s="82"/>
      <c r="F869" s="82"/>
      <c r="G869" s="222"/>
      <c r="H869" s="222"/>
      <c r="I869" s="222"/>
      <c r="J869" s="6"/>
      <c r="K869" s="6"/>
      <c r="L869" s="6"/>
      <c r="M869" s="6"/>
      <c r="N869" s="6"/>
      <c r="O869" s="6"/>
      <c r="P869" s="6"/>
      <c r="Q869" s="6"/>
      <c r="R869" s="6"/>
      <c r="S869" s="6"/>
      <c r="T869" s="6"/>
      <c r="U869" s="6"/>
    </row>
    <row r="870" spans="1:21">
      <c r="A870" s="82"/>
      <c r="B870" s="83"/>
      <c r="C870" s="82"/>
      <c r="D870" s="82"/>
      <c r="E870" s="82"/>
      <c r="F870" s="82"/>
      <c r="G870" s="222"/>
      <c r="H870" s="222"/>
      <c r="I870" s="222"/>
      <c r="J870" s="6"/>
      <c r="K870" s="6"/>
      <c r="L870" s="6"/>
      <c r="M870" s="6"/>
      <c r="N870" s="6"/>
      <c r="O870" s="6"/>
      <c r="P870" s="6"/>
      <c r="Q870" s="6"/>
      <c r="R870" s="6"/>
      <c r="S870" s="6"/>
      <c r="T870" s="6"/>
      <c r="U870" s="6"/>
    </row>
    <row r="871" spans="1:21">
      <c r="A871" s="82"/>
      <c r="B871" s="83"/>
      <c r="C871" s="82"/>
      <c r="D871" s="82"/>
      <c r="E871" s="82"/>
      <c r="F871" s="82"/>
      <c r="G871" s="222"/>
      <c r="H871" s="222"/>
      <c r="I871" s="222"/>
      <c r="J871" s="6"/>
      <c r="K871" s="6"/>
      <c r="L871" s="6"/>
      <c r="M871" s="6"/>
      <c r="N871" s="6"/>
      <c r="O871" s="6"/>
      <c r="P871" s="6"/>
      <c r="Q871" s="6"/>
      <c r="R871" s="6"/>
      <c r="S871" s="6"/>
      <c r="T871" s="6"/>
      <c r="U871" s="6"/>
    </row>
    <row r="872" spans="1:21">
      <c r="A872" s="82"/>
      <c r="B872" s="83"/>
      <c r="C872" s="82"/>
      <c r="D872" s="82"/>
      <c r="E872" s="82"/>
      <c r="F872" s="82"/>
      <c r="G872" s="222"/>
      <c r="H872" s="222"/>
      <c r="I872" s="222"/>
      <c r="J872" s="6"/>
      <c r="K872" s="6"/>
      <c r="L872" s="6"/>
      <c r="M872" s="6"/>
      <c r="N872" s="6"/>
      <c r="O872" s="6"/>
      <c r="P872" s="6"/>
      <c r="Q872" s="6"/>
      <c r="R872" s="6"/>
      <c r="S872" s="6"/>
      <c r="T872" s="6"/>
      <c r="U872" s="6"/>
    </row>
    <row r="873" spans="1:21">
      <c r="A873" s="82"/>
      <c r="B873" s="83"/>
      <c r="C873" s="82"/>
      <c r="D873" s="82"/>
      <c r="E873" s="82"/>
      <c r="F873" s="82"/>
      <c r="G873" s="222"/>
      <c r="H873" s="222"/>
      <c r="I873" s="222"/>
      <c r="J873" s="6"/>
      <c r="K873" s="6"/>
      <c r="L873" s="6"/>
      <c r="M873" s="6"/>
      <c r="N873" s="6"/>
      <c r="O873" s="6"/>
      <c r="P873" s="6"/>
      <c r="Q873" s="6"/>
      <c r="R873" s="6"/>
      <c r="S873" s="6"/>
      <c r="T873" s="6"/>
      <c r="U873" s="6"/>
    </row>
    <row r="874" spans="1:21">
      <c r="A874" s="82"/>
      <c r="B874" s="83"/>
      <c r="C874" s="82"/>
      <c r="D874" s="82"/>
      <c r="E874" s="82"/>
      <c r="F874" s="82"/>
      <c r="G874" s="222"/>
      <c r="H874" s="222"/>
      <c r="I874" s="222"/>
      <c r="J874" s="6"/>
      <c r="K874" s="6"/>
      <c r="L874" s="6"/>
      <c r="M874" s="6"/>
      <c r="N874" s="6"/>
      <c r="O874" s="6"/>
      <c r="P874" s="6"/>
      <c r="Q874" s="6"/>
      <c r="R874" s="6"/>
      <c r="S874" s="6"/>
      <c r="T874" s="6"/>
      <c r="U874" s="6"/>
    </row>
    <row r="875" spans="1:21">
      <c r="A875" s="82"/>
      <c r="B875" s="83"/>
      <c r="C875" s="82"/>
      <c r="D875" s="82"/>
      <c r="E875" s="82"/>
      <c r="F875" s="82"/>
      <c r="G875" s="222"/>
      <c r="H875" s="222"/>
      <c r="I875" s="222"/>
      <c r="J875" s="6"/>
      <c r="K875" s="6"/>
      <c r="L875" s="6"/>
      <c r="M875" s="6"/>
      <c r="N875" s="6"/>
      <c r="O875" s="6"/>
      <c r="P875" s="6"/>
      <c r="Q875" s="6"/>
      <c r="R875" s="6"/>
      <c r="S875" s="6"/>
      <c r="T875" s="6"/>
      <c r="U875" s="6"/>
    </row>
    <row r="876" spans="1:21">
      <c r="A876" s="82"/>
      <c r="B876" s="83"/>
      <c r="C876" s="82"/>
      <c r="D876" s="82"/>
      <c r="E876" s="82"/>
      <c r="F876" s="82"/>
      <c r="G876" s="222"/>
      <c r="H876" s="222"/>
      <c r="I876" s="222"/>
      <c r="J876" s="6"/>
      <c r="K876" s="6"/>
      <c r="L876" s="6"/>
      <c r="M876" s="6"/>
      <c r="N876" s="6"/>
      <c r="O876" s="6"/>
      <c r="P876" s="6"/>
      <c r="Q876" s="6"/>
      <c r="R876" s="6"/>
      <c r="S876" s="6"/>
      <c r="T876" s="6"/>
      <c r="U876" s="6"/>
    </row>
    <row r="877" spans="1:21">
      <c r="A877" s="82"/>
      <c r="B877" s="83"/>
      <c r="C877" s="82"/>
      <c r="D877" s="82"/>
      <c r="E877" s="82"/>
      <c r="F877" s="82"/>
      <c r="G877" s="222"/>
      <c r="H877" s="222"/>
      <c r="I877" s="222"/>
      <c r="J877" s="6"/>
      <c r="K877" s="6"/>
      <c r="L877" s="6"/>
      <c r="M877" s="6"/>
      <c r="N877" s="6"/>
      <c r="O877" s="6"/>
      <c r="P877" s="6"/>
      <c r="Q877" s="6"/>
      <c r="R877" s="6"/>
      <c r="S877" s="6"/>
      <c r="T877" s="6"/>
      <c r="U877" s="6"/>
    </row>
    <row r="878" spans="1:21">
      <c r="A878" s="82"/>
      <c r="B878" s="83"/>
      <c r="C878" s="82"/>
      <c r="D878" s="82"/>
      <c r="E878" s="82"/>
      <c r="F878" s="82"/>
      <c r="G878" s="222"/>
      <c r="H878" s="222"/>
      <c r="I878" s="222"/>
      <c r="J878" s="6"/>
      <c r="K878" s="6"/>
      <c r="L878" s="6"/>
      <c r="M878" s="6"/>
      <c r="N878" s="6"/>
      <c r="O878" s="6"/>
      <c r="P878" s="6"/>
      <c r="Q878" s="6"/>
      <c r="R878" s="6"/>
      <c r="S878" s="6"/>
      <c r="T878" s="6"/>
      <c r="U878" s="6"/>
    </row>
    <row r="879" spans="1:21">
      <c r="A879" s="82"/>
      <c r="B879" s="83"/>
      <c r="C879" s="82"/>
      <c r="D879" s="82"/>
      <c r="E879" s="82"/>
      <c r="F879" s="82"/>
      <c r="G879" s="222"/>
      <c r="H879" s="222"/>
      <c r="I879" s="222"/>
      <c r="J879" s="6"/>
      <c r="K879" s="6"/>
      <c r="L879" s="6"/>
      <c r="M879" s="6"/>
      <c r="N879" s="6"/>
      <c r="O879" s="6"/>
      <c r="P879" s="6"/>
      <c r="Q879" s="6"/>
      <c r="R879" s="6"/>
      <c r="S879" s="6"/>
      <c r="T879" s="6"/>
      <c r="U879" s="6"/>
    </row>
    <row r="880" spans="1:21">
      <c r="A880" s="82"/>
      <c r="B880" s="83"/>
      <c r="C880" s="82"/>
      <c r="D880" s="82"/>
      <c r="E880" s="82"/>
      <c r="F880" s="82"/>
      <c r="G880" s="222"/>
      <c r="H880" s="222"/>
      <c r="I880" s="222"/>
      <c r="J880" s="6"/>
      <c r="K880" s="6"/>
      <c r="L880" s="6"/>
      <c r="M880" s="6"/>
      <c r="N880" s="6"/>
      <c r="O880" s="6"/>
      <c r="P880" s="6"/>
      <c r="Q880" s="6"/>
      <c r="R880" s="6"/>
      <c r="S880" s="6"/>
      <c r="T880" s="6"/>
      <c r="U880" s="6"/>
    </row>
    <row r="881" spans="1:21">
      <c r="A881" s="82"/>
      <c r="B881" s="83"/>
      <c r="C881" s="82"/>
      <c r="D881" s="82"/>
      <c r="E881" s="82"/>
      <c r="F881" s="82"/>
      <c r="G881" s="222"/>
      <c r="H881" s="222"/>
      <c r="I881" s="222"/>
      <c r="J881" s="6"/>
      <c r="K881" s="6"/>
      <c r="L881" s="6"/>
      <c r="M881" s="6"/>
      <c r="N881" s="6"/>
      <c r="O881" s="6"/>
      <c r="P881" s="6"/>
      <c r="Q881" s="6"/>
      <c r="R881" s="6"/>
      <c r="S881" s="6"/>
      <c r="T881" s="6"/>
      <c r="U881" s="6"/>
    </row>
    <row r="882" spans="1:21">
      <c r="A882" s="82"/>
      <c r="B882" s="83"/>
      <c r="C882" s="82"/>
      <c r="D882" s="82"/>
      <c r="E882" s="82"/>
      <c r="F882" s="82"/>
      <c r="G882" s="222"/>
      <c r="H882" s="222"/>
      <c r="I882" s="222"/>
      <c r="J882" s="6"/>
      <c r="K882" s="6"/>
      <c r="L882" s="6"/>
      <c r="M882" s="6"/>
      <c r="N882" s="6"/>
      <c r="O882" s="6"/>
      <c r="P882" s="6"/>
      <c r="Q882" s="6"/>
      <c r="R882" s="6"/>
      <c r="S882" s="6"/>
      <c r="T882" s="6"/>
      <c r="U882" s="6"/>
    </row>
    <row r="883" spans="1:21">
      <c r="A883" s="82"/>
      <c r="B883" s="83"/>
      <c r="C883" s="82"/>
      <c r="D883" s="82"/>
      <c r="E883" s="82"/>
      <c r="F883" s="82"/>
      <c r="G883" s="222"/>
      <c r="H883" s="222"/>
      <c r="I883" s="222"/>
      <c r="J883" s="6"/>
      <c r="K883" s="6"/>
      <c r="L883" s="6"/>
      <c r="M883" s="6"/>
      <c r="N883" s="6"/>
      <c r="O883" s="6"/>
      <c r="P883" s="6"/>
      <c r="Q883" s="6"/>
      <c r="R883" s="6"/>
      <c r="S883" s="6"/>
      <c r="T883" s="6"/>
      <c r="U883" s="6"/>
    </row>
    <row r="884" spans="1:21">
      <c r="A884" s="82"/>
      <c r="B884" s="83"/>
      <c r="C884" s="82"/>
      <c r="D884" s="82"/>
      <c r="E884" s="82"/>
      <c r="F884" s="82"/>
      <c r="G884" s="222"/>
      <c r="H884" s="222"/>
      <c r="I884" s="222"/>
      <c r="J884" s="6"/>
      <c r="K884" s="6"/>
      <c r="L884" s="6"/>
      <c r="M884" s="6"/>
      <c r="N884" s="6"/>
      <c r="O884" s="6"/>
      <c r="P884" s="6"/>
      <c r="Q884" s="6"/>
      <c r="R884" s="6"/>
      <c r="S884" s="6"/>
      <c r="T884" s="6"/>
      <c r="U884" s="6"/>
    </row>
    <row r="885" spans="1:21">
      <c r="A885" s="82"/>
      <c r="B885" s="83"/>
      <c r="C885" s="82"/>
      <c r="D885" s="82"/>
      <c r="E885" s="82"/>
      <c r="F885" s="82"/>
      <c r="G885" s="222"/>
      <c r="H885" s="222"/>
      <c r="I885" s="222"/>
      <c r="J885" s="6"/>
      <c r="K885" s="6"/>
      <c r="L885" s="6"/>
      <c r="M885" s="6"/>
      <c r="N885" s="6"/>
      <c r="O885" s="6"/>
      <c r="P885" s="6"/>
      <c r="Q885" s="6"/>
      <c r="R885" s="6"/>
      <c r="S885" s="6"/>
      <c r="T885" s="6"/>
      <c r="U885" s="6"/>
    </row>
    <row r="886" spans="1:21">
      <c r="A886" s="82"/>
      <c r="B886" s="83"/>
      <c r="C886" s="82"/>
      <c r="D886" s="82"/>
      <c r="E886" s="82"/>
      <c r="F886" s="82"/>
      <c r="G886" s="222"/>
      <c r="H886" s="222"/>
      <c r="I886" s="222"/>
      <c r="J886" s="6"/>
      <c r="K886" s="6"/>
      <c r="L886" s="6"/>
      <c r="M886" s="6"/>
      <c r="N886" s="6"/>
      <c r="O886" s="6"/>
      <c r="P886" s="6"/>
      <c r="Q886" s="6"/>
      <c r="R886" s="6"/>
      <c r="S886" s="6"/>
      <c r="T886" s="6"/>
      <c r="U886" s="6"/>
    </row>
    <row r="887" spans="1:21">
      <c r="A887" s="82"/>
      <c r="B887" s="83"/>
      <c r="C887" s="82"/>
      <c r="D887" s="82"/>
      <c r="E887" s="82"/>
      <c r="F887" s="82"/>
      <c r="G887" s="222"/>
      <c r="H887" s="222"/>
      <c r="I887" s="222"/>
      <c r="J887" s="6"/>
      <c r="K887" s="6"/>
      <c r="L887" s="6"/>
      <c r="M887" s="6"/>
      <c r="N887" s="6"/>
      <c r="O887" s="6"/>
      <c r="P887" s="6"/>
      <c r="Q887" s="6"/>
      <c r="R887" s="6"/>
      <c r="S887" s="6"/>
      <c r="T887" s="6"/>
      <c r="U887" s="6"/>
    </row>
    <row r="888" spans="1:21">
      <c r="A888" s="82"/>
      <c r="B888" s="83"/>
      <c r="C888" s="82"/>
      <c r="D888" s="82"/>
      <c r="E888" s="82"/>
      <c r="F888" s="82"/>
      <c r="G888" s="222"/>
      <c r="H888" s="222"/>
      <c r="I888" s="222"/>
      <c r="J888" s="6"/>
      <c r="K888" s="6"/>
      <c r="L888" s="6"/>
      <c r="M888" s="6"/>
      <c r="N888" s="6"/>
      <c r="O888" s="6"/>
      <c r="P888" s="6"/>
      <c r="Q888" s="6"/>
      <c r="R888" s="6"/>
      <c r="S888" s="6"/>
      <c r="T888" s="6"/>
      <c r="U888" s="6"/>
    </row>
    <row r="889" spans="1:21">
      <c r="A889" s="82"/>
      <c r="B889" s="83"/>
      <c r="C889" s="82"/>
      <c r="D889" s="82"/>
      <c r="E889" s="82"/>
      <c r="F889" s="82"/>
      <c r="G889" s="222"/>
      <c r="H889" s="222"/>
      <c r="I889" s="222"/>
      <c r="J889" s="6"/>
      <c r="K889" s="6"/>
      <c r="L889" s="6"/>
      <c r="M889" s="6"/>
      <c r="N889" s="6"/>
      <c r="O889" s="6"/>
      <c r="P889" s="6"/>
      <c r="Q889" s="6"/>
      <c r="R889" s="6"/>
      <c r="S889" s="6"/>
      <c r="T889" s="6"/>
      <c r="U889" s="6"/>
    </row>
    <row r="890" spans="1:21">
      <c r="A890" s="82"/>
      <c r="B890" s="83"/>
      <c r="C890" s="82"/>
      <c r="D890" s="82"/>
      <c r="E890" s="82"/>
      <c r="F890" s="82"/>
      <c r="G890" s="222"/>
      <c r="H890" s="222"/>
      <c r="I890" s="222"/>
      <c r="J890" s="6"/>
      <c r="K890" s="6"/>
      <c r="L890" s="6"/>
      <c r="M890" s="6"/>
      <c r="N890" s="6"/>
      <c r="O890" s="6"/>
      <c r="P890" s="6"/>
      <c r="Q890" s="6"/>
      <c r="R890" s="6"/>
      <c r="S890" s="6"/>
      <c r="T890" s="6"/>
      <c r="U890" s="6"/>
    </row>
    <row r="891" spans="1:21">
      <c r="A891" s="82"/>
      <c r="B891" s="83"/>
      <c r="C891" s="82"/>
      <c r="D891" s="82"/>
      <c r="E891" s="82"/>
      <c r="F891" s="82"/>
      <c r="G891" s="222"/>
      <c r="H891" s="222"/>
      <c r="I891" s="222"/>
      <c r="J891" s="6"/>
      <c r="K891" s="6"/>
      <c r="L891" s="6"/>
      <c r="M891" s="6"/>
      <c r="N891" s="6"/>
      <c r="O891" s="6"/>
      <c r="P891" s="6"/>
      <c r="Q891" s="6"/>
      <c r="R891" s="6"/>
      <c r="S891" s="6"/>
      <c r="T891" s="6"/>
      <c r="U891" s="6"/>
    </row>
    <row r="892" spans="1:21">
      <c r="A892" s="82"/>
      <c r="B892" s="83"/>
      <c r="C892" s="82"/>
      <c r="D892" s="82"/>
      <c r="E892" s="82"/>
      <c r="F892" s="82"/>
      <c r="G892" s="222"/>
      <c r="H892" s="222"/>
      <c r="I892" s="222"/>
      <c r="J892" s="6"/>
      <c r="K892" s="6"/>
      <c r="L892" s="6"/>
      <c r="M892" s="6"/>
      <c r="N892" s="6"/>
      <c r="O892" s="6"/>
      <c r="P892" s="6"/>
      <c r="Q892" s="6"/>
      <c r="R892" s="6"/>
      <c r="S892" s="6"/>
      <c r="T892" s="6"/>
      <c r="U892" s="6"/>
    </row>
    <row r="893" spans="1:21">
      <c r="A893" s="82"/>
      <c r="B893" s="83"/>
      <c r="C893" s="82"/>
      <c r="D893" s="82"/>
      <c r="E893" s="82"/>
      <c r="F893" s="82"/>
      <c r="G893" s="222"/>
      <c r="H893" s="222"/>
      <c r="I893" s="222"/>
      <c r="J893" s="6"/>
      <c r="K893" s="6"/>
      <c r="L893" s="6"/>
      <c r="M893" s="6"/>
      <c r="N893" s="6"/>
      <c r="O893" s="6"/>
      <c r="P893" s="6"/>
      <c r="Q893" s="6"/>
      <c r="R893" s="6"/>
      <c r="S893" s="6"/>
      <c r="T893" s="6"/>
      <c r="U893" s="6"/>
    </row>
    <row r="894" spans="1:21">
      <c r="A894" s="82"/>
      <c r="B894" s="83"/>
      <c r="C894" s="82"/>
      <c r="D894" s="82"/>
      <c r="E894" s="82"/>
      <c r="F894" s="82"/>
      <c r="G894" s="222"/>
      <c r="H894" s="222"/>
      <c r="I894" s="222"/>
      <c r="J894" s="6"/>
      <c r="K894" s="6"/>
      <c r="L894" s="6"/>
      <c r="M894" s="6"/>
      <c r="N894" s="6"/>
      <c r="O894" s="6"/>
      <c r="P894" s="6"/>
      <c r="Q894" s="6"/>
      <c r="R894" s="6"/>
      <c r="S894" s="6"/>
      <c r="T894" s="6"/>
      <c r="U894" s="6"/>
    </row>
    <row r="895" spans="1:21">
      <c r="A895" s="82"/>
      <c r="B895" s="83"/>
      <c r="C895" s="82"/>
      <c r="D895" s="82"/>
      <c r="E895" s="82"/>
      <c r="F895" s="82"/>
      <c r="G895" s="222"/>
      <c r="H895" s="222"/>
      <c r="I895" s="222"/>
      <c r="J895" s="6"/>
      <c r="K895" s="6"/>
      <c r="L895" s="6"/>
      <c r="M895" s="6"/>
      <c r="N895" s="6"/>
      <c r="O895" s="6"/>
      <c r="P895" s="6"/>
      <c r="Q895" s="6"/>
      <c r="R895" s="6"/>
      <c r="S895" s="6"/>
      <c r="T895" s="6"/>
      <c r="U895" s="6"/>
    </row>
    <row r="896" spans="1:21">
      <c r="A896" s="82"/>
      <c r="B896" s="83"/>
      <c r="C896" s="82"/>
      <c r="D896" s="82"/>
      <c r="E896" s="82"/>
      <c r="F896" s="82"/>
      <c r="G896" s="222"/>
      <c r="H896" s="222"/>
      <c r="I896" s="222"/>
      <c r="J896" s="6"/>
      <c r="K896" s="6"/>
      <c r="L896" s="6"/>
      <c r="M896" s="6"/>
      <c r="N896" s="6"/>
      <c r="O896" s="6"/>
      <c r="P896" s="6"/>
      <c r="Q896" s="6"/>
      <c r="R896" s="6"/>
      <c r="S896" s="6"/>
      <c r="T896" s="6"/>
      <c r="U896" s="6"/>
    </row>
    <row r="897" spans="1:21">
      <c r="A897" s="82"/>
      <c r="B897" s="83"/>
      <c r="C897" s="82"/>
      <c r="D897" s="82"/>
      <c r="E897" s="82"/>
      <c r="F897" s="82"/>
      <c r="G897" s="222"/>
      <c r="H897" s="222"/>
      <c r="I897" s="222"/>
      <c r="J897" s="6"/>
      <c r="K897" s="6"/>
      <c r="L897" s="6"/>
      <c r="M897" s="6"/>
      <c r="N897" s="6"/>
      <c r="O897" s="6"/>
      <c r="P897" s="6"/>
      <c r="Q897" s="6"/>
      <c r="R897" s="6"/>
      <c r="S897" s="6"/>
      <c r="T897" s="6"/>
      <c r="U897" s="6"/>
    </row>
    <row r="898" spans="1:21">
      <c r="A898" s="82"/>
      <c r="B898" s="83"/>
      <c r="C898" s="82"/>
      <c r="D898" s="82"/>
      <c r="E898" s="82"/>
      <c r="F898" s="82"/>
      <c r="G898" s="222"/>
      <c r="H898" s="222"/>
      <c r="I898" s="222"/>
      <c r="J898" s="6"/>
      <c r="K898" s="6"/>
      <c r="L898" s="6"/>
      <c r="M898" s="6"/>
      <c r="N898" s="6"/>
      <c r="O898" s="6"/>
      <c r="P898" s="6"/>
      <c r="Q898" s="6"/>
      <c r="R898" s="6"/>
      <c r="S898" s="6"/>
      <c r="T898" s="6"/>
      <c r="U898" s="6"/>
    </row>
    <row r="899" spans="1:21">
      <c r="A899" s="82"/>
      <c r="B899" s="83"/>
      <c r="C899" s="82"/>
      <c r="D899" s="82"/>
      <c r="E899" s="82"/>
      <c r="F899" s="82"/>
      <c r="G899" s="222"/>
      <c r="H899" s="222"/>
      <c r="I899" s="222"/>
      <c r="J899" s="6"/>
      <c r="K899" s="6"/>
      <c r="L899" s="6"/>
      <c r="M899" s="6"/>
      <c r="N899" s="6"/>
      <c r="O899" s="6"/>
      <c r="P899" s="6"/>
      <c r="Q899" s="6"/>
      <c r="R899" s="6"/>
      <c r="S899" s="6"/>
      <c r="T899" s="6"/>
      <c r="U899" s="6"/>
    </row>
    <row r="900" spans="1:21">
      <c r="A900" s="82"/>
      <c r="B900" s="83"/>
      <c r="C900" s="82"/>
      <c r="D900" s="82"/>
      <c r="E900" s="82"/>
      <c r="F900" s="82"/>
      <c r="G900" s="222"/>
      <c r="H900" s="222"/>
      <c r="I900" s="222"/>
      <c r="J900" s="6"/>
      <c r="K900" s="6"/>
      <c r="L900" s="6"/>
      <c r="M900" s="6"/>
      <c r="N900" s="6"/>
      <c r="O900" s="6"/>
      <c r="P900" s="6"/>
      <c r="Q900" s="6"/>
      <c r="R900" s="6"/>
      <c r="S900" s="6"/>
      <c r="T900" s="6"/>
      <c r="U900" s="6"/>
    </row>
    <row r="901" spans="1:21">
      <c r="A901" s="82"/>
      <c r="B901" s="83"/>
      <c r="C901" s="82"/>
      <c r="D901" s="82"/>
      <c r="E901" s="82"/>
      <c r="F901" s="82"/>
      <c r="G901" s="222"/>
      <c r="H901" s="222"/>
      <c r="I901" s="222"/>
      <c r="J901" s="6"/>
      <c r="K901" s="6"/>
      <c r="L901" s="6"/>
      <c r="M901" s="6"/>
      <c r="N901" s="6"/>
      <c r="O901" s="6"/>
      <c r="P901" s="6"/>
      <c r="Q901" s="6"/>
      <c r="R901" s="6"/>
      <c r="S901" s="6"/>
      <c r="T901" s="6"/>
      <c r="U901" s="6"/>
    </row>
    <row r="902" spans="1:21">
      <c r="A902" s="82"/>
      <c r="B902" s="83"/>
      <c r="C902" s="82"/>
      <c r="D902" s="82"/>
      <c r="E902" s="82"/>
      <c r="F902" s="82"/>
      <c r="G902" s="222"/>
      <c r="H902" s="222"/>
      <c r="I902" s="222"/>
      <c r="J902" s="6"/>
      <c r="K902" s="6"/>
      <c r="L902" s="6"/>
      <c r="M902" s="6"/>
      <c r="N902" s="6"/>
      <c r="O902" s="6"/>
      <c r="P902" s="6"/>
      <c r="Q902" s="6"/>
      <c r="R902" s="6"/>
      <c r="S902" s="6"/>
      <c r="T902" s="6"/>
      <c r="U902" s="6"/>
    </row>
    <row r="903" spans="1:21">
      <c r="A903" s="82"/>
      <c r="B903" s="83"/>
      <c r="C903" s="82"/>
      <c r="D903" s="82"/>
      <c r="E903" s="82"/>
      <c r="F903" s="82"/>
      <c r="G903" s="222"/>
      <c r="H903" s="222"/>
      <c r="I903" s="222"/>
      <c r="J903" s="6"/>
      <c r="K903" s="6"/>
      <c r="L903" s="6"/>
      <c r="M903" s="6"/>
      <c r="N903" s="6"/>
      <c r="O903" s="6"/>
      <c r="P903" s="6"/>
      <c r="Q903" s="6"/>
      <c r="R903" s="6"/>
      <c r="S903" s="6"/>
      <c r="T903" s="6"/>
      <c r="U903" s="6"/>
    </row>
    <row r="904" spans="1:21">
      <c r="A904" s="82"/>
      <c r="B904" s="83"/>
      <c r="C904" s="82"/>
      <c r="D904" s="82"/>
      <c r="E904" s="82"/>
      <c r="F904" s="82"/>
      <c r="G904" s="222"/>
      <c r="H904" s="222"/>
      <c r="I904" s="222"/>
      <c r="J904" s="6"/>
      <c r="K904" s="6"/>
      <c r="L904" s="6"/>
      <c r="M904" s="6"/>
      <c r="N904" s="6"/>
      <c r="O904" s="6"/>
      <c r="P904" s="6"/>
      <c r="Q904" s="6"/>
      <c r="R904" s="6"/>
      <c r="S904" s="6"/>
      <c r="T904" s="6"/>
      <c r="U904" s="6"/>
    </row>
    <row r="905" spans="1:21">
      <c r="A905" s="82"/>
      <c r="B905" s="83"/>
      <c r="C905" s="82"/>
      <c r="D905" s="82"/>
      <c r="E905" s="82"/>
      <c r="F905" s="82"/>
      <c r="G905" s="222"/>
      <c r="H905" s="222"/>
      <c r="I905" s="222"/>
      <c r="J905" s="6"/>
      <c r="K905" s="6"/>
      <c r="L905" s="6"/>
      <c r="M905" s="6"/>
      <c r="N905" s="6"/>
      <c r="O905" s="6"/>
      <c r="P905" s="6"/>
      <c r="Q905" s="6"/>
      <c r="R905" s="6"/>
      <c r="S905" s="6"/>
      <c r="T905" s="6"/>
      <c r="U905" s="6"/>
    </row>
    <row r="906" spans="1:21">
      <c r="A906" s="82"/>
      <c r="B906" s="83"/>
      <c r="C906" s="82"/>
      <c r="D906" s="82"/>
      <c r="E906" s="82"/>
      <c r="F906" s="82"/>
      <c r="G906" s="222"/>
      <c r="H906" s="222"/>
      <c r="I906" s="222"/>
      <c r="J906" s="6"/>
      <c r="K906" s="6"/>
      <c r="L906" s="6"/>
      <c r="M906" s="6"/>
      <c r="N906" s="6"/>
      <c r="O906" s="6"/>
      <c r="P906" s="6"/>
      <c r="Q906" s="6"/>
      <c r="R906" s="6"/>
      <c r="S906" s="6"/>
      <c r="T906" s="6"/>
      <c r="U906" s="6"/>
    </row>
    <row r="907" spans="1:21">
      <c r="A907" s="82"/>
      <c r="B907" s="83"/>
      <c r="C907" s="82"/>
      <c r="D907" s="82"/>
      <c r="E907" s="82"/>
      <c r="F907" s="82"/>
      <c r="G907" s="222"/>
      <c r="H907" s="222"/>
      <c r="I907" s="222"/>
      <c r="J907" s="6"/>
      <c r="K907" s="6"/>
      <c r="L907" s="6"/>
      <c r="M907" s="6"/>
      <c r="N907" s="6"/>
      <c r="O907" s="6"/>
      <c r="P907" s="6"/>
      <c r="Q907" s="6"/>
      <c r="R907" s="6"/>
      <c r="S907" s="6"/>
      <c r="T907" s="6"/>
      <c r="U907" s="6"/>
    </row>
    <row r="908" spans="1:21">
      <c r="A908" s="82"/>
      <c r="B908" s="83"/>
      <c r="C908" s="82"/>
      <c r="D908" s="82"/>
      <c r="E908" s="82"/>
      <c r="F908" s="82"/>
      <c r="G908" s="222"/>
      <c r="H908" s="222"/>
      <c r="I908" s="222"/>
      <c r="J908" s="6"/>
      <c r="K908" s="6"/>
      <c r="L908" s="6"/>
      <c r="M908" s="6"/>
      <c r="N908" s="6"/>
      <c r="O908" s="6"/>
      <c r="P908" s="6"/>
      <c r="Q908" s="6"/>
      <c r="R908" s="6"/>
      <c r="S908" s="6"/>
      <c r="T908" s="6"/>
      <c r="U908" s="6"/>
    </row>
  </sheetData>
  <mergeCells count="2">
    <mergeCell ref="A1:B1"/>
    <mergeCell ref="H36:H38"/>
  </mergeCells>
  <conditionalFormatting sqref="D3:D59">
    <cfRule type="colorScale" priority="2">
      <colorScale>
        <cfvo type="percentile" val="0"/>
        <cfvo type="percentile" val="50"/>
        <cfvo type="percentile" val="100"/>
        <color rgb="FF6AA84F"/>
        <color rgb="FFFFFFFF"/>
        <color rgb="FFA61C00"/>
      </colorScale>
    </cfRule>
  </conditionalFormatting>
  <conditionalFormatting sqref="D3:I15">
    <cfRule type="containsText" dxfId="11" priority="3" operator="containsText" text="Null">
      <formula>NOT(ISERROR(SEARCH(("Null"),(D3))))</formula>
    </cfRule>
  </conditionalFormatting>
  <conditionalFormatting sqref="G7:I9">
    <cfRule type="containsText" dxfId="10" priority="1" operator="containsText" text="Yes">
      <formula>NOT(ISERROR(SEARCH(("Yes"),(G7))))</formula>
    </cfRule>
  </conditionalFormatting>
  <hyperlinks>
    <hyperlink ref="A1" r:id="rId1" xr:uid="{00000000-0004-0000-0900-000000000000}"/>
  </hyperlinks>
  <pageMargins left="0.75" right="0.75" top="1" bottom="1" header="0" footer="0"/>
  <pageSetup orientation="landscape"/>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F9CB9C"/>
    <outlinePr summaryBelow="0" summaryRight="0"/>
  </sheetPr>
  <dimension ref="A1:H910"/>
  <sheetViews>
    <sheetView workbookViewId="0"/>
  </sheetViews>
  <sheetFormatPr baseColWidth="10" defaultColWidth="14.5" defaultRowHeight="15" customHeight="1"/>
  <cols>
    <col min="1" max="1" width="70.33203125" customWidth="1"/>
    <col min="2" max="2" width="23.5" customWidth="1"/>
    <col min="3" max="3" width="14.83203125" customWidth="1"/>
    <col min="4" max="4" width="17" customWidth="1"/>
    <col min="5" max="5" width="16" customWidth="1"/>
    <col min="6" max="6" width="17.5" customWidth="1"/>
    <col min="7" max="7" width="14.5" customWidth="1"/>
    <col min="8" max="8" width="13.33203125" customWidth="1"/>
  </cols>
  <sheetData>
    <row r="1" spans="1:8">
      <c r="A1" s="107" t="s">
        <v>645</v>
      </c>
      <c r="B1" s="300" t="s">
        <v>405</v>
      </c>
      <c r="C1" s="296" t="s">
        <v>220</v>
      </c>
      <c r="D1" s="296" t="s">
        <v>221</v>
      </c>
      <c r="E1" s="294" t="s">
        <v>222</v>
      </c>
      <c r="F1" s="294" t="s">
        <v>223</v>
      </c>
      <c r="G1" s="294" t="s">
        <v>224</v>
      </c>
      <c r="H1" s="296" t="s">
        <v>3</v>
      </c>
    </row>
    <row r="2" spans="1:8">
      <c r="A2" s="8" t="s">
        <v>10</v>
      </c>
      <c r="B2" s="301"/>
      <c r="C2" s="295"/>
      <c r="D2" s="295"/>
      <c r="E2" s="295"/>
      <c r="F2" s="295"/>
      <c r="G2" s="295"/>
      <c r="H2" s="295"/>
    </row>
    <row r="3" spans="1:8">
      <c r="A3" s="188" t="s">
        <v>646</v>
      </c>
      <c r="B3" s="69" t="s">
        <v>540</v>
      </c>
      <c r="C3" s="110" t="str">
        <f>IF(COUNTIFS('Outside Review Form Responses'!D:D,$A3,'Outside Review Form Responses'!A:A,"&lt;&gt;")&gt;0, COUNTIFS('Outside Review Form Responses'!D:D,$A3,'Outside Review Form Responses'!A:A,"&lt;&gt;")&amp;" reviews", "NA")</f>
        <v>6 reviews</v>
      </c>
      <c r="D3" s="111">
        <f>IFERROR(AVERAGEIF('Outside Review Form Responses'!$D:$D,$A3,'Outside Review Form Responses'!F:F),"NA")</f>
        <v>4.5</v>
      </c>
      <c r="E3" s="111">
        <f>IFERROR(AVERAGEIF('Outside Review Form Responses'!$D:$D,$A3,'Outside Review Form Responses'!G:G),"NA")</f>
        <v>2</v>
      </c>
      <c r="F3" s="111">
        <f>IFERROR(AVERAGEIF('Outside Review Form Responses'!$D:$D,$A3,'Outside Review Form Responses'!H:H),"NA")</f>
        <v>4.833333333333333</v>
      </c>
      <c r="G3" s="111">
        <f>IFERROR(AVERAGEIF('Outside Review Form Responses'!$D:$D,$A3,'Outside Review Form Responses'!I:I),"NA")</f>
        <v>19.166666666666668</v>
      </c>
      <c r="H3" s="112">
        <f>'MEEM Info'!D3</f>
        <v>17</v>
      </c>
    </row>
    <row r="4" spans="1:8">
      <c r="A4" s="189" t="s">
        <v>647</v>
      </c>
      <c r="B4" s="70" t="s">
        <v>540</v>
      </c>
      <c r="C4" s="110" t="str">
        <f>IF(COUNTIFS('Outside Review Form Responses'!D:D,$A4,'Outside Review Form Responses'!A:A,"&lt;&gt;")&gt;0, COUNTIFS('Outside Review Form Responses'!D:D,$A4,'Outside Review Form Responses'!A:A,"&lt;&gt;")&amp;" reviews", "NA")</f>
        <v>3 reviews</v>
      </c>
      <c r="D4" s="111">
        <f>IFERROR(AVERAGEIF('Outside Review Form Responses'!$D:$D,$A4,'Outside Review Form Responses'!F:F),"NA")</f>
        <v>5</v>
      </c>
      <c r="E4" s="111">
        <f>IFERROR(AVERAGEIF('Outside Review Form Responses'!$D:$D,$A4,'Outside Review Form Responses'!G:G),"NA")</f>
        <v>2.3333333333333335</v>
      </c>
      <c r="F4" s="111">
        <f>IFERROR(AVERAGEIF('Outside Review Form Responses'!$D:$D,$A4,'Outside Review Form Responses'!H:H),"NA")</f>
        <v>5</v>
      </c>
      <c r="G4" s="111">
        <f>IFERROR(AVERAGEIF('Outside Review Form Responses'!$D:$D,$A4,'Outside Review Form Responses'!I:I),"NA")</f>
        <v>15.666666666666666</v>
      </c>
      <c r="H4" s="112">
        <f>'MEEM Info'!D4</f>
        <v>20</v>
      </c>
    </row>
    <row r="5" spans="1:8">
      <c r="A5" s="193" t="s">
        <v>648</v>
      </c>
      <c r="B5" s="71" t="s">
        <v>540</v>
      </c>
      <c r="C5" s="110" t="str">
        <f>IF(COUNTIFS('Outside Review Form Responses'!D:D,$A5,'Outside Review Form Responses'!A:A,"&lt;&gt;")&gt;0, COUNTIFS('Outside Review Form Responses'!D:D,$A5,'Outside Review Form Responses'!A:A,"&lt;&gt;")&amp;" reviews", "NA")</f>
        <v>3 reviews</v>
      </c>
      <c r="D5" s="111">
        <f>IFERROR(AVERAGEIF('Outside Review Form Responses'!$D:$D,$A5,'Outside Review Form Responses'!F:F),"NA")</f>
        <v>4.666666666666667</v>
      </c>
      <c r="E5" s="111">
        <f>IFERROR(AVERAGEIF('Outside Review Form Responses'!$D:$D,$A5,'Outside Review Form Responses'!G:G),"NA")</f>
        <v>2.3333333333333335</v>
      </c>
      <c r="F5" s="111">
        <f>IFERROR(AVERAGEIF('Outside Review Form Responses'!$D:$D,$A5,'Outside Review Form Responses'!H:H),"NA")</f>
        <v>5</v>
      </c>
      <c r="G5" s="111">
        <f>IFERROR(AVERAGEIF('Outside Review Form Responses'!$D:$D,$A5,'Outside Review Form Responses'!I:I),"NA")</f>
        <v>15</v>
      </c>
      <c r="H5" s="112">
        <f>'MEEM Info'!D5</f>
        <v>13</v>
      </c>
    </row>
    <row r="6" spans="1:8">
      <c r="A6" s="188" t="s">
        <v>649</v>
      </c>
      <c r="B6" s="69" t="s">
        <v>540</v>
      </c>
      <c r="C6" s="110" t="str">
        <f>IF(COUNTIFS('Outside Review Form Responses'!D:D,$A6,'Outside Review Form Responses'!A:A,"&lt;&gt;")&gt;0, COUNTIFS('Outside Review Form Responses'!D:D,$A6,'Outside Review Form Responses'!A:A,"&lt;&gt;")&amp;" reviews", "NA")</f>
        <v>7 reviews</v>
      </c>
      <c r="D6" s="111">
        <f>IFERROR(AVERAGEIF('Outside Review Form Responses'!$D:$D,$A6,'Outside Review Form Responses'!F:F),"NA")</f>
        <v>4.5714285714285712</v>
      </c>
      <c r="E6" s="111">
        <f>IFERROR(AVERAGEIF('Outside Review Form Responses'!$D:$D,$A6,'Outside Review Form Responses'!G:G),"NA")</f>
        <v>1.5714285714285714</v>
      </c>
      <c r="F6" s="111">
        <f>IFERROR(AVERAGEIF('Outside Review Form Responses'!$D:$D,$A6,'Outside Review Form Responses'!H:H),"NA")</f>
        <v>3.8571428571428572</v>
      </c>
      <c r="G6" s="111">
        <f>IFERROR(AVERAGEIF('Outside Review Form Responses'!$D:$D,$A6,'Outside Review Form Responses'!I:I),"NA")</f>
        <v>15</v>
      </c>
      <c r="H6" s="112">
        <f>'MEEM Info'!D6</f>
        <v>23</v>
      </c>
    </row>
    <row r="7" spans="1:8">
      <c r="A7" s="189" t="s">
        <v>650</v>
      </c>
      <c r="B7" s="70" t="s">
        <v>540</v>
      </c>
      <c r="C7" s="110" t="str">
        <f>IF(COUNTIFS('Outside Review Form Responses'!D:D,$A7,'Outside Review Form Responses'!A:A,"&lt;&gt;")&gt;0, COUNTIFS('Outside Review Form Responses'!D:D,$A7,'Outside Review Form Responses'!A:A,"&lt;&gt;")&amp;" reviews", "NA")</f>
        <v>3 reviews</v>
      </c>
      <c r="D7" s="111">
        <f>IFERROR(AVERAGEIF('Outside Review Form Responses'!$D:$D,$A7,'Outside Review Form Responses'!F:F),"NA")</f>
        <v>5</v>
      </c>
      <c r="E7" s="111">
        <f>IFERROR(AVERAGEIF('Outside Review Form Responses'!$D:$D,$A7,'Outside Review Form Responses'!G:G),"NA")</f>
        <v>1.3333333333333333</v>
      </c>
      <c r="F7" s="111">
        <f>IFERROR(AVERAGEIF('Outside Review Form Responses'!$D:$D,$A7,'Outside Review Form Responses'!H:H),"NA")</f>
        <v>4.333333333333333</v>
      </c>
      <c r="G7" s="111">
        <f>IFERROR(AVERAGEIF('Outside Review Form Responses'!$D:$D,$A7,'Outside Review Form Responses'!I:I),"NA")</f>
        <v>18.666666666666668</v>
      </c>
      <c r="H7" s="112">
        <f>'MEEM Info'!D7</f>
        <v>26</v>
      </c>
    </row>
    <row r="8" spans="1:8">
      <c r="A8" s="193" t="s">
        <v>651</v>
      </c>
      <c r="B8" s="71" t="s">
        <v>540</v>
      </c>
      <c r="C8" s="110" t="str">
        <f>IF(COUNTIFS('Outside Review Form Responses'!D:D,$A8,'Outside Review Form Responses'!A:A,"&lt;&gt;")&gt;0, COUNTIFS('Outside Review Form Responses'!D:D,$A8,'Outside Review Form Responses'!A:A,"&lt;&gt;")&amp;" reviews", "NA")</f>
        <v>4 reviews</v>
      </c>
      <c r="D8" s="111">
        <f>IFERROR(AVERAGEIF('Outside Review Form Responses'!$D:$D,$A8,'Outside Review Form Responses'!F:F),"NA")</f>
        <v>4.5</v>
      </c>
      <c r="E8" s="111">
        <f>IFERROR(AVERAGEIF('Outside Review Form Responses'!$D:$D,$A8,'Outside Review Form Responses'!G:G),"NA")</f>
        <v>1</v>
      </c>
      <c r="F8" s="111">
        <f>IFERROR(AVERAGEIF('Outside Review Form Responses'!$D:$D,$A8,'Outside Review Form Responses'!H:H),"NA")</f>
        <v>4.25</v>
      </c>
      <c r="G8" s="111">
        <f>IFERROR(AVERAGEIF('Outside Review Form Responses'!$D:$D,$A8,'Outside Review Form Responses'!I:I),"NA")</f>
        <v>16.25</v>
      </c>
      <c r="H8" s="112">
        <f>'MEEM Info'!D8</f>
        <v>18</v>
      </c>
    </row>
    <row r="9" spans="1:8">
      <c r="A9" s="188" t="s">
        <v>652</v>
      </c>
      <c r="B9" s="69" t="s">
        <v>540</v>
      </c>
      <c r="C9" s="110" t="str">
        <f>IF(COUNTIFS('Outside Review Form Responses'!D:D,$A9,'Outside Review Form Responses'!A:A,"&lt;&gt;")&gt;0, COUNTIFS('Outside Review Form Responses'!D:D,$A9,'Outside Review Form Responses'!A:A,"&lt;&gt;")&amp;" reviews", "NA")</f>
        <v>5 reviews</v>
      </c>
      <c r="D9" s="111">
        <f>IFERROR(AVERAGEIF('Outside Review Form Responses'!$D:$D,$A9,'Outside Review Form Responses'!F:F),"NA")</f>
        <v>4.2</v>
      </c>
      <c r="E9" s="111">
        <f>IFERROR(AVERAGEIF('Outside Review Form Responses'!$D:$D,$A9,'Outside Review Form Responses'!G:G),"NA")</f>
        <v>1.4</v>
      </c>
      <c r="F9" s="111">
        <f>IFERROR(AVERAGEIF('Outside Review Form Responses'!$D:$D,$A9,'Outside Review Form Responses'!H:H),"NA")</f>
        <v>3.8</v>
      </c>
      <c r="G9" s="111">
        <f>IFERROR(AVERAGEIF('Outside Review Form Responses'!$D:$D,$A9,'Outside Review Form Responses'!I:I),"NA")</f>
        <v>21.4</v>
      </c>
      <c r="H9" s="112">
        <f>'MEEM Info'!D9</f>
        <v>37</v>
      </c>
    </row>
    <row r="10" spans="1:8">
      <c r="A10" s="189" t="s">
        <v>653</v>
      </c>
      <c r="B10" s="70" t="s">
        <v>540</v>
      </c>
      <c r="C10" s="110" t="str">
        <f>IF(COUNTIFS('Outside Review Form Responses'!D:D,$A10,'Outside Review Form Responses'!A:A,"&lt;&gt;")&gt;0, COUNTIFS('Outside Review Form Responses'!D:D,$A10,'Outside Review Form Responses'!A:A,"&lt;&gt;")&amp;" reviews", "NA")</f>
        <v>2 reviews</v>
      </c>
      <c r="D10" s="111">
        <f>IFERROR(AVERAGEIF('Outside Review Form Responses'!$D:$D,$A10,'Outside Review Form Responses'!F:F),"NA")</f>
        <v>5</v>
      </c>
      <c r="E10" s="111">
        <f>IFERROR(AVERAGEIF('Outside Review Form Responses'!$D:$D,$A10,'Outside Review Form Responses'!G:G),"NA")</f>
        <v>1.5</v>
      </c>
      <c r="F10" s="111">
        <f>IFERROR(AVERAGEIF('Outside Review Form Responses'!$D:$D,$A10,'Outside Review Form Responses'!H:H),"NA")</f>
        <v>5</v>
      </c>
      <c r="G10" s="111">
        <f>IFERROR(AVERAGEIF('Outside Review Form Responses'!$D:$D,$A10,'Outside Review Form Responses'!I:I),"NA")</f>
        <v>22.5</v>
      </c>
      <c r="H10" s="112">
        <f>'MEEM Info'!D10</f>
        <v>33</v>
      </c>
    </row>
    <row r="11" spans="1:8">
      <c r="A11" s="193" t="s">
        <v>654</v>
      </c>
      <c r="B11" s="71" t="s">
        <v>540</v>
      </c>
      <c r="C11" s="110" t="str">
        <f>IF(COUNTIFS('Outside Review Form Responses'!D:D,$A11,'Outside Review Form Responses'!A:A,"&lt;&gt;")&gt;0, COUNTIFS('Outside Review Form Responses'!D:D,$A11,'Outside Review Form Responses'!A:A,"&lt;&gt;")&amp;" reviews", "NA")</f>
        <v>2 reviews</v>
      </c>
      <c r="D11" s="111">
        <f>IFERROR(AVERAGEIF('Outside Review Form Responses'!$D:$D,$A11,'Outside Review Form Responses'!F:F),"NA")</f>
        <v>5</v>
      </c>
      <c r="E11" s="111">
        <f>IFERROR(AVERAGEIF('Outside Review Form Responses'!$D:$D,$A11,'Outside Review Form Responses'!G:G),"NA")</f>
        <v>2</v>
      </c>
      <c r="F11" s="111">
        <f>IFERROR(AVERAGEIF('Outside Review Form Responses'!$D:$D,$A11,'Outside Review Form Responses'!H:H),"NA")</f>
        <v>5</v>
      </c>
      <c r="G11" s="111">
        <f>IFERROR(AVERAGEIF('Outside Review Form Responses'!$D:$D,$A11,'Outside Review Form Responses'!I:I),"NA")</f>
        <v>25.5</v>
      </c>
      <c r="H11" s="112">
        <f>'MEEM Info'!D11</f>
        <v>37</v>
      </c>
    </row>
    <row r="12" spans="1:8">
      <c r="A12" s="188" t="s">
        <v>655</v>
      </c>
      <c r="B12" s="69" t="s">
        <v>540</v>
      </c>
      <c r="C12" s="110" t="str">
        <f>IF(COUNTIFS('Outside Review Form Responses'!D:D,$A12,'Outside Review Form Responses'!A:A,"&lt;&gt;")&gt;0, COUNTIFS('Outside Review Form Responses'!D:D,$A12,'Outside Review Form Responses'!A:A,"&lt;&gt;")&amp;" reviews", "NA")</f>
        <v>NA</v>
      </c>
      <c r="D12" s="111" t="str">
        <f>IFERROR(AVERAGEIF('Outside Review Form Responses'!$D:$D,$A12,'Outside Review Form Responses'!F:F),"NA")</f>
        <v>NA</v>
      </c>
      <c r="E12" s="111" t="str">
        <f>IFERROR(AVERAGEIF('Outside Review Form Responses'!$D:$D,$A12,'Outside Review Form Responses'!G:G),"NA")</f>
        <v>NA</v>
      </c>
      <c r="F12" s="111" t="str">
        <f>IFERROR(AVERAGEIF('Outside Review Form Responses'!$D:$D,$A12,'Outside Review Form Responses'!H:H),"NA")</f>
        <v>NA</v>
      </c>
      <c r="G12" s="111" t="str">
        <f>IFERROR(AVERAGEIF('Outside Review Form Responses'!$D:$D,$A12,'Outside Review Form Responses'!I:I),"NA")</f>
        <v>NA</v>
      </c>
      <c r="H12" s="112">
        <f>'MEEM Info'!D12</f>
        <v>15</v>
      </c>
    </row>
    <row r="13" spans="1:8">
      <c r="A13" s="189" t="s">
        <v>656</v>
      </c>
      <c r="B13" s="70" t="s">
        <v>540</v>
      </c>
      <c r="C13" s="110" t="str">
        <f>IF(COUNTIFS('Outside Review Form Responses'!D:D,$A13,'Outside Review Form Responses'!A:A,"&lt;&gt;")&gt;0, COUNTIFS('Outside Review Form Responses'!D:D,$A13,'Outside Review Form Responses'!A:A,"&lt;&gt;")&amp;" reviews", "NA")</f>
        <v>NA</v>
      </c>
      <c r="D13" s="111" t="str">
        <f>IFERROR(AVERAGEIF('Outside Review Form Responses'!$D:$D,$A13,'Outside Review Form Responses'!F:F),"NA")</f>
        <v>NA</v>
      </c>
      <c r="E13" s="111" t="str">
        <f>IFERROR(AVERAGEIF('Outside Review Form Responses'!$D:$D,$A13,'Outside Review Form Responses'!G:G),"NA")</f>
        <v>NA</v>
      </c>
      <c r="F13" s="111" t="str">
        <f>IFERROR(AVERAGEIF('Outside Review Form Responses'!$D:$D,$A13,'Outside Review Form Responses'!H:H),"NA")</f>
        <v>NA</v>
      </c>
      <c r="G13" s="111" t="str">
        <f>IFERROR(AVERAGEIF('Outside Review Form Responses'!$D:$D,$A13,'Outside Review Form Responses'!I:I),"NA")</f>
        <v>NA</v>
      </c>
      <c r="H13" s="112">
        <f>'MEEM Info'!D13</f>
        <v>18</v>
      </c>
    </row>
    <row r="14" spans="1:8">
      <c r="A14" s="193" t="s">
        <v>657</v>
      </c>
      <c r="B14" s="71" t="s">
        <v>540</v>
      </c>
      <c r="C14" s="110" t="str">
        <f>IF(COUNTIFS('Outside Review Form Responses'!D:D,$A14,'Outside Review Form Responses'!A:A,"&lt;&gt;")&gt;0, COUNTIFS('Outside Review Form Responses'!D:D,$A14,'Outside Review Form Responses'!A:A,"&lt;&gt;")&amp;" reviews", "NA")</f>
        <v>NA</v>
      </c>
      <c r="D14" s="111" t="str">
        <f>IFERROR(AVERAGEIF('Outside Review Form Responses'!$D:$D,$A14,'Outside Review Form Responses'!F:F),"NA")</f>
        <v>NA</v>
      </c>
      <c r="E14" s="111" t="str">
        <f>IFERROR(AVERAGEIF('Outside Review Form Responses'!$D:$D,$A14,'Outside Review Form Responses'!G:G),"NA")</f>
        <v>NA</v>
      </c>
      <c r="F14" s="111" t="str">
        <f>IFERROR(AVERAGEIF('Outside Review Form Responses'!$D:$D,$A14,'Outside Review Form Responses'!H:H),"NA")</f>
        <v>NA</v>
      </c>
      <c r="G14" s="111" t="str">
        <f>IFERROR(AVERAGEIF('Outside Review Form Responses'!$D:$D,$A14,'Outside Review Form Responses'!I:I),"NA")</f>
        <v>NA</v>
      </c>
      <c r="H14" s="112">
        <f>'MEEM Info'!D14</f>
        <v>21</v>
      </c>
    </row>
    <row r="15" spans="1:8">
      <c r="A15" s="188" t="s">
        <v>658</v>
      </c>
      <c r="B15" s="69" t="s">
        <v>540</v>
      </c>
      <c r="C15" s="110" t="str">
        <f>IF(COUNTIFS('Outside Review Form Responses'!D:D,$A15,'Outside Review Form Responses'!A:A,"&lt;&gt;")&gt;0, COUNTIFS('Outside Review Form Responses'!D:D,$A15,'Outside Review Form Responses'!A:A,"&lt;&gt;")&amp;" reviews", "NA")</f>
        <v>NA</v>
      </c>
      <c r="D15" s="111" t="str">
        <f>IFERROR(AVERAGEIF('Outside Review Form Responses'!$D:$D,$A15,'Outside Review Form Responses'!F:F),"NA")</f>
        <v>NA</v>
      </c>
      <c r="E15" s="111" t="str">
        <f>IFERROR(AVERAGEIF('Outside Review Form Responses'!$D:$D,$A15,'Outside Review Form Responses'!G:G),"NA")</f>
        <v>NA</v>
      </c>
      <c r="F15" s="111" t="str">
        <f>IFERROR(AVERAGEIF('Outside Review Form Responses'!$D:$D,$A15,'Outside Review Form Responses'!H:H),"NA")</f>
        <v>NA</v>
      </c>
      <c r="G15" s="111" t="str">
        <f>IFERROR(AVERAGEIF('Outside Review Form Responses'!$D:$D,$A15,'Outside Review Form Responses'!I:I),"NA")</f>
        <v>NA</v>
      </c>
      <c r="H15" s="112">
        <f>'MEEM Info'!D15</f>
        <v>9</v>
      </c>
    </row>
    <row r="16" spans="1:8">
      <c r="A16" s="232" t="s">
        <v>659</v>
      </c>
      <c r="B16" s="233" t="s">
        <v>540</v>
      </c>
      <c r="C16" s="110" t="str">
        <f>IF(COUNTIFS('Outside Review Form Responses'!D:D,$A16,'Outside Review Form Responses'!A:A,"&lt;&gt;")&gt;0, COUNTIFS('Outside Review Form Responses'!D:D,$A16,'Outside Review Form Responses'!A:A,"&lt;&gt;")&amp;" reviews", "NA")</f>
        <v>NA</v>
      </c>
      <c r="D16" s="111" t="str">
        <f>IFERROR(AVERAGEIF('Outside Review Form Responses'!$D:$D,$A16,'Outside Review Form Responses'!F:F),"NA")</f>
        <v>NA</v>
      </c>
      <c r="E16" s="111" t="str">
        <f>IFERROR(AVERAGEIF('Outside Review Form Responses'!$D:$D,$A16,'Outside Review Form Responses'!G:G),"NA")</f>
        <v>NA</v>
      </c>
      <c r="F16" s="111" t="str">
        <f>IFERROR(AVERAGEIF('Outside Review Form Responses'!$D:$D,$A16,'Outside Review Form Responses'!H:H),"NA")</f>
        <v>NA</v>
      </c>
      <c r="G16" s="111" t="str">
        <f>IFERROR(AVERAGEIF('Outside Review Form Responses'!$D:$D,$A16,'Outside Review Form Responses'!I:I),"NA")</f>
        <v>NA</v>
      </c>
      <c r="H16" s="112">
        <f>'MEEM Info'!D16</f>
        <v>8</v>
      </c>
    </row>
    <row r="17" spans="1:8">
      <c r="A17" s="239" t="s">
        <v>660</v>
      </c>
      <c r="B17" s="240" t="s">
        <v>540</v>
      </c>
      <c r="C17" s="110" t="str">
        <f>IF(COUNTIFS('Outside Review Form Responses'!D:D,$A17,'Outside Review Form Responses'!A:A,"&lt;&gt;")&gt;0, COUNTIFS('Outside Review Form Responses'!D:D,$A17,'Outside Review Form Responses'!A:A,"&lt;&gt;")&amp;" reviews", "NA")</f>
        <v>NA</v>
      </c>
      <c r="D17" s="111" t="str">
        <f>IFERROR(AVERAGEIF('Outside Review Form Responses'!$D:$D,$A17,'Outside Review Form Responses'!F:F),"NA")</f>
        <v>NA</v>
      </c>
      <c r="E17" s="111" t="str">
        <f>IFERROR(AVERAGEIF('Outside Review Form Responses'!$D:$D,$A17,'Outside Review Form Responses'!G:G),"NA")</f>
        <v>NA</v>
      </c>
      <c r="F17" s="111" t="str">
        <f>IFERROR(AVERAGEIF('Outside Review Form Responses'!$D:$D,$A17,'Outside Review Form Responses'!H:H),"NA")</f>
        <v>NA</v>
      </c>
      <c r="G17" s="111" t="str">
        <f>IFERROR(AVERAGEIF('Outside Review Form Responses'!$D:$D,$A17,'Outside Review Form Responses'!I:I),"NA")</f>
        <v>NA</v>
      </c>
      <c r="H17" s="112">
        <f>'MEEM Info'!D17</f>
        <v>12</v>
      </c>
    </row>
    <row r="18" spans="1:8">
      <c r="A18" s="246" t="s">
        <v>661</v>
      </c>
      <c r="B18" s="247" t="s">
        <v>540</v>
      </c>
      <c r="C18" s="110" t="str">
        <f>IF(COUNTIFS('Outside Review Form Responses'!D:D,$A18,'Outside Review Form Responses'!A:A,"&lt;&gt;")&gt;0, COUNTIFS('Outside Review Form Responses'!D:D,$A18,'Outside Review Form Responses'!A:A,"&lt;&gt;")&amp;" reviews", "NA")</f>
        <v>2 reviews</v>
      </c>
      <c r="D18" s="111">
        <f>IFERROR(AVERAGEIF('Outside Review Form Responses'!$D:$D,$A18,'Outside Review Form Responses'!F:F),"NA")</f>
        <v>4.5</v>
      </c>
      <c r="E18" s="111">
        <f>IFERROR(AVERAGEIF('Outside Review Form Responses'!$D:$D,$A18,'Outside Review Form Responses'!G:G),"NA")</f>
        <v>2.5</v>
      </c>
      <c r="F18" s="111">
        <f>IFERROR(AVERAGEIF('Outside Review Form Responses'!$D:$D,$A18,'Outside Review Form Responses'!H:H),"NA")</f>
        <v>4.5</v>
      </c>
      <c r="G18" s="111">
        <f>IFERROR(AVERAGEIF('Outside Review Form Responses'!$D:$D,$A18,'Outside Review Form Responses'!I:I),"NA")</f>
        <v>17</v>
      </c>
      <c r="H18" s="112">
        <f>'MEEM Info'!D18</f>
        <v>15</v>
      </c>
    </row>
    <row r="19" spans="1:8">
      <c r="A19" s="232" t="s">
        <v>662</v>
      </c>
      <c r="B19" s="233" t="s">
        <v>540</v>
      </c>
      <c r="C19" s="110" t="str">
        <f>IF(COUNTIFS('Outside Review Form Responses'!D:D,$A19,'Outside Review Form Responses'!A:A,"&lt;&gt;")&gt;0, COUNTIFS('Outside Review Form Responses'!D:D,$A19,'Outside Review Form Responses'!A:A,"&lt;&gt;")&amp;" reviews", "NA")</f>
        <v>NA</v>
      </c>
      <c r="D19" s="111" t="str">
        <f>IFERROR(AVERAGEIF('Outside Review Form Responses'!$D:$D,$A19,'Outside Review Form Responses'!F:F),"NA")</f>
        <v>NA</v>
      </c>
      <c r="E19" s="111" t="str">
        <f>IFERROR(AVERAGEIF('Outside Review Form Responses'!$D:$D,$A19,'Outside Review Form Responses'!G:G),"NA")</f>
        <v>NA</v>
      </c>
      <c r="F19" s="111" t="str">
        <f>IFERROR(AVERAGEIF('Outside Review Form Responses'!$D:$D,$A19,'Outside Review Form Responses'!H:H),"NA")</f>
        <v>NA</v>
      </c>
      <c r="G19" s="111" t="str">
        <f>IFERROR(AVERAGEIF('Outside Review Form Responses'!$D:$D,$A19,'Outside Review Form Responses'!I:I),"NA")</f>
        <v>NA</v>
      </c>
      <c r="H19" s="112">
        <f>'MEEM Info'!D19</f>
        <v>18</v>
      </c>
    </row>
    <row r="20" spans="1:8">
      <c r="A20" s="239" t="s">
        <v>663</v>
      </c>
      <c r="B20" s="240" t="s">
        <v>540</v>
      </c>
      <c r="C20" s="110" t="str">
        <f>IF(COUNTIFS('Outside Review Form Responses'!D:D,$A20,'Outside Review Form Responses'!A:A,"&lt;&gt;")&gt;0, COUNTIFS('Outside Review Form Responses'!D:D,$A20,'Outside Review Form Responses'!A:A,"&lt;&gt;")&amp;" reviews", "NA")</f>
        <v>NA</v>
      </c>
      <c r="D20" s="111" t="str">
        <f>IFERROR(AVERAGEIF('Outside Review Form Responses'!$D:$D,$A20,'Outside Review Form Responses'!F:F),"NA")</f>
        <v>NA</v>
      </c>
      <c r="E20" s="111" t="str">
        <f>IFERROR(AVERAGEIF('Outside Review Form Responses'!$D:$D,$A20,'Outside Review Form Responses'!G:G),"NA")</f>
        <v>NA</v>
      </c>
      <c r="F20" s="111" t="str">
        <f>IFERROR(AVERAGEIF('Outside Review Form Responses'!$D:$D,$A20,'Outside Review Form Responses'!H:H),"NA")</f>
        <v>NA</v>
      </c>
      <c r="G20" s="111" t="str">
        <f>IFERROR(AVERAGEIF('Outside Review Form Responses'!$D:$D,$A20,'Outside Review Form Responses'!I:I),"NA")</f>
        <v>NA</v>
      </c>
      <c r="H20" s="112">
        <f>'MEEM Info'!D20</f>
        <v>15</v>
      </c>
    </row>
    <row r="21" spans="1:8">
      <c r="A21" s="246" t="s">
        <v>664</v>
      </c>
      <c r="B21" s="247" t="s">
        <v>540</v>
      </c>
      <c r="C21" s="110" t="str">
        <f>IF(COUNTIFS('Outside Review Form Responses'!D:D,$A21,'Outside Review Form Responses'!A:A,"&lt;&gt;")&gt;0, COUNTIFS('Outside Review Form Responses'!D:D,$A21,'Outside Review Form Responses'!A:A,"&lt;&gt;")&amp;" reviews", "NA")</f>
        <v>NA</v>
      </c>
      <c r="D21" s="111" t="str">
        <f>IFERROR(AVERAGEIF('Outside Review Form Responses'!$D:$D,$A21,'Outside Review Form Responses'!F:F),"NA")</f>
        <v>NA</v>
      </c>
      <c r="E21" s="111" t="str">
        <f>IFERROR(AVERAGEIF('Outside Review Form Responses'!$D:$D,$A21,'Outside Review Form Responses'!G:G),"NA")</f>
        <v>NA</v>
      </c>
      <c r="F21" s="111" t="str">
        <f>IFERROR(AVERAGEIF('Outside Review Form Responses'!$D:$D,$A21,'Outside Review Form Responses'!H:H),"NA")</f>
        <v>NA</v>
      </c>
      <c r="G21" s="111" t="str">
        <f>IFERROR(AVERAGEIF('Outside Review Form Responses'!$D:$D,$A21,'Outside Review Form Responses'!I:I),"NA")</f>
        <v>NA</v>
      </c>
      <c r="H21" s="112">
        <f>'MEEM Info'!D21</f>
        <v>40</v>
      </c>
    </row>
    <row r="22" spans="1:8">
      <c r="A22" s="232" t="s">
        <v>665</v>
      </c>
      <c r="B22" s="233" t="s">
        <v>540</v>
      </c>
      <c r="C22" s="110" t="str">
        <f>IF(COUNTIFS('Outside Review Form Responses'!D:D,$A22,'Outside Review Form Responses'!A:A,"&lt;&gt;")&gt;0, COUNTIFS('Outside Review Form Responses'!D:D,$A22,'Outside Review Form Responses'!A:A,"&lt;&gt;")&amp;" reviews", "NA")</f>
        <v>NA</v>
      </c>
      <c r="D22" s="111" t="str">
        <f>IFERROR(AVERAGEIF('Outside Review Form Responses'!$D:$D,$A22,'Outside Review Form Responses'!F:F),"NA")</f>
        <v>NA</v>
      </c>
      <c r="E22" s="111" t="str">
        <f>IFERROR(AVERAGEIF('Outside Review Form Responses'!$D:$D,$A22,'Outside Review Form Responses'!G:G),"NA")</f>
        <v>NA</v>
      </c>
      <c r="F22" s="111" t="str">
        <f>IFERROR(AVERAGEIF('Outside Review Form Responses'!$D:$D,$A22,'Outside Review Form Responses'!H:H),"NA")</f>
        <v>NA</v>
      </c>
      <c r="G22" s="111" t="str">
        <f>IFERROR(AVERAGEIF('Outside Review Form Responses'!$D:$D,$A22,'Outside Review Form Responses'!I:I),"NA")</f>
        <v>NA</v>
      </c>
      <c r="H22" s="112">
        <f>'MEEM Info'!D22</f>
        <v>34</v>
      </c>
    </row>
    <row r="23" spans="1:8">
      <c r="A23" s="239" t="s">
        <v>666</v>
      </c>
      <c r="B23" s="240" t="s">
        <v>540</v>
      </c>
      <c r="C23" s="110" t="str">
        <f>IF(COUNTIFS('Outside Review Form Responses'!D:D,$A23,'Outside Review Form Responses'!A:A,"&lt;&gt;")&gt;0, COUNTIFS('Outside Review Form Responses'!D:D,$A23,'Outside Review Form Responses'!A:A,"&lt;&gt;")&amp;" reviews", "NA")</f>
        <v>NA</v>
      </c>
      <c r="D23" s="111" t="str">
        <f>IFERROR(AVERAGEIF('Outside Review Form Responses'!$D:$D,$A23,'Outside Review Form Responses'!F:F),"NA")</f>
        <v>NA</v>
      </c>
      <c r="E23" s="111" t="str">
        <f>IFERROR(AVERAGEIF('Outside Review Form Responses'!$D:$D,$A23,'Outside Review Form Responses'!G:G),"NA")</f>
        <v>NA</v>
      </c>
      <c r="F23" s="111" t="str">
        <f>IFERROR(AVERAGEIF('Outside Review Form Responses'!$D:$D,$A23,'Outside Review Form Responses'!H:H),"NA")</f>
        <v>NA</v>
      </c>
      <c r="G23" s="111" t="str">
        <f>IFERROR(AVERAGEIF('Outside Review Form Responses'!$D:$D,$A23,'Outside Review Form Responses'!I:I),"NA")</f>
        <v>NA</v>
      </c>
      <c r="H23" s="112">
        <f>'MEEM Info'!D23</f>
        <v>39</v>
      </c>
    </row>
    <row r="24" spans="1:8">
      <c r="A24" s="255" t="s">
        <v>667</v>
      </c>
      <c r="B24" s="256" t="s">
        <v>540</v>
      </c>
      <c r="C24" s="110" t="str">
        <f>IF(COUNTIFS('Outside Review Form Responses'!D:D,$A24,'Outside Review Form Responses'!A:A,"&lt;&gt;")&gt;0, COUNTIFS('Outside Review Form Responses'!D:D,$A24,'Outside Review Form Responses'!A:A,"&lt;&gt;")&amp;" reviews", "NA")</f>
        <v>1 reviews</v>
      </c>
      <c r="D24" s="111">
        <f>IFERROR(AVERAGEIF('Outside Review Form Responses'!$D:$D,$A24,'Outside Review Form Responses'!F:F),"NA")</f>
        <v>2</v>
      </c>
      <c r="E24" s="111">
        <f>IFERROR(AVERAGEIF('Outside Review Form Responses'!$D:$D,$A24,'Outside Review Form Responses'!G:G),"NA")</f>
        <v>3</v>
      </c>
      <c r="F24" s="111">
        <f>IFERROR(AVERAGEIF('Outside Review Form Responses'!$D:$D,$A24,'Outside Review Form Responses'!H:H),"NA")</f>
        <v>4</v>
      </c>
      <c r="G24" s="111">
        <f>IFERROR(AVERAGEIF('Outside Review Form Responses'!$D:$D,$A24,'Outside Review Form Responses'!I:I),"NA")</f>
        <v>35</v>
      </c>
      <c r="H24" s="112">
        <f>'MEEM Info'!D24</f>
        <v>15</v>
      </c>
    </row>
    <row r="25" spans="1:8">
      <c r="A25" s="232" t="s">
        <v>668</v>
      </c>
      <c r="B25" s="233" t="s">
        <v>540</v>
      </c>
      <c r="C25" s="110" t="str">
        <f>IF(COUNTIFS('Outside Review Form Responses'!D:D,$A25,'Outside Review Form Responses'!A:A,"&lt;&gt;")&gt;0, COUNTIFS('Outside Review Form Responses'!D:D,$A25,'Outside Review Form Responses'!A:A,"&lt;&gt;")&amp;" reviews", "NA")</f>
        <v>NA</v>
      </c>
      <c r="D25" s="111" t="str">
        <f>IFERROR(AVERAGEIF('Outside Review Form Responses'!$D:$D,$A25,'Outside Review Form Responses'!F:F),"NA")</f>
        <v>NA</v>
      </c>
      <c r="E25" s="111" t="str">
        <f>IFERROR(AVERAGEIF('Outside Review Form Responses'!$D:$D,$A25,'Outside Review Form Responses'!G:G),"NA")</f>
        <v>NA</v>
      </c>
      <c r="F25" s="111" t="str">
        <f>IFERROR(AVERAGEIF('Outside Review Form Responses'!$D:$D,$A25,'Outside Review Form Responses'!H:H),"NA")</f>
        <v>NA</v>
      </c>
      <c r="G25" s="111" t="str">
        <f>IFERROR(AVERAGEIF('Outside Review Form Responses'!$D:$D,$A25,'Outside Review Form Responses'!I:I),"NA")</f>
        <v>NA</v>
      </c>
      <c r="H25" s="112">
        <f>'MEEM Info'!D25</f>
        <v>15</v>
      </c>
    </row>
    <row r="26" spans="1:8">
      <c r="A26" s="262" t="s">
        <v>669</v>
      </c>
      <c r="B26" s="263" t="s">
        <v>540</v>
      </c>
      <c r="C26" s="110" t="str">
        <f>IF(COUNTIFS('Outside Review Form Responses'!D:D,$A26,'Outside Review Form Responses'!A:A,"&lt;&gt;")&gt;0, COUNTIFS('Outside Review Form Responses'!D:D,$A26,'Outside Review Form Responses'!A:A,"&lt;&gt;")&amp;" reviews", "NA")</f>
        <v>NA</v>
      </c>
      <c r="D26" s="111" t="str">
        <f>IFERROR(AVERAGEIF('Outside Review Form Responses'!$D:$D,$A26,'Outside Review Form Responses'!F:F),"NA")</f>
        <v>NA</v>
      </c>
      <c r="E26" s="111" t="str">
        <f>IFERROR(AVERAGEIF('Outside Review Form Responses'!$D:$D,$A26,'Outside Review Form Responses'!G:G),"NA")</f>
        <v>NA</v>
      </c>
      <c r="F26" s="111" t="str">
        <f>IFERROR(AVERAGEIF('Outside Review Form Responses'!$D:$D,$A26,'Outside Review Form Responses'!H:H),"NA")</f>
        <v>NA</v>
      </c>
      <c r="G26" s="111" t="str">
        <f>IFERROR(AVERAGEIF('Outside Review Form Responses'!$D:$D,$A26,'Outside Review Form Responses'!I:I),"NA")</f>
        <v>NA</v>
      </c>
      <c r="H26" s="112">
        <f>'MEEM Info'!D26</f>
        <v>15</v>
      </c>
    </row>
    <row r="27" spans="1:8">
      <c r="A27" s="246" t="s">
        <v>670</v>
      </c>
      <c r="B27" s="247" t="s">
        <v>540</v>
      </c>
      <c r="C27" s="110" t="str">
        <f>IF(COUNTIFS('Outside Review Form Responses'!D:D,$A27,'Outside Review Form Responses'!A:A,"&lt;&gt;")&gt;0, COUNTIFS('Outside Review Form Responses'!D:D,$A27,'Outside Review Form Responses'!A:A,"&lt;&gt;")&amp;" reviews", "NA")</f>
        <v>NA</v>
      </c>
      <c r="D27" s="111" t="str">
        <f>IFERROR(AVERAGEIF('Outside Review Form Responses'!$D:$D,$A27,'Outside Review Form Responses'!F:F),"NA")</f>
        <v>NA</v>
      </c>
      <c r="E27" s="111" t="str">
        <f>IFERROR(AVERAGEIF('Outside Review Form Responses'!$D:$D,$A27,'Outside Review Form Responses'!G:G),"NA")</f>
        <v>NA</v>
      </c>
      <c r="F27" s="111" t="str">
        <f>IFERROR(AVERAGEIF('Outside Review Form Responses'!$D:$D,$A27,'Outside Review Form Responses'!H:H),"NA")</f>
        <v>NA</v>
      </c>
      <c r="G27" s="111" t="str">
        <f>IFERROR(AVERAGEIF('Outside Review Form Responses'!$D:$D,$A27,'Outside Review Form Responses'!I:I),"NA")</f>
        <v>NA</v>
      </c>
      <c r="H27" s="112">
        <f>'MEEM Info'!D27</f>
        <v>25</v>
      </c>
    </row>
    <row r="28" spans="1:8">
      <c r="A28" s="232" t="s">
        <v>671</v>
      </c>
      <c r="B28" s="233" t="s">
        <v>540</v>
      </c>
      <c r="C28" s="110" t="str">
        <f>IF(COUNTIFS('Outside Review Form Responses'!D:D,$A28,'Outside Review Form Responses'!A:A,"&lt;&gt;")&gt;0, COUNTIFS('Outside Review Form Responses'!D:D,$A28,'Outside Review Form Responses'!A:A,"&lt;&gt;")&amp;" reviews", "NA")</f>
        <v>NA</v>
      </c>
      <c r="D28" s="111" t="str">
        <f>IFERROR(AVERAGEIF('Outside Review Form Responses'!$D:$D,$A28,'Outside Review Form Responses'!F:F),"NA")</f>
        <v>NA</v>
      </c>
      <c r="E28" s="111" t="str">
        <f>IFERROR(AVERAGEIF('Outside Review Form Responses'!$D:$D,$A28,'Outside Review Form Responses'!G:G),"NA")</f>
        <v>NA</v>
      </c>
      <c r="F28" s="111" t="str">
        <f>IFERROR(AVERAGEIF('Outside Review Form Responses'!$D:$D,$A28,'Outside Review Form Responses'!H:H),"NA")</f>
        <v>NA</v>
      </c>
      <c r="G28" s="111" t="str">
        <f>IFERROR(AVERAGEIF('Outside Review Form Responses'!$D:$D,$A28,'Outside Review Form Responses'!I:I),"NA")</f>
        <v>NA</v>
      </c>
      <c r="H28" s="112">
        <f>'MEEM Info'!D28</f>
        <v>24</v>
      </c>
    </row>
    <row r="29" spans="1:8">
      <c r="A29" s="239" t="s">
        <v>672</v>
      </c>
      <c r="B29" s="240" t="s">
        <v>540</v>
      </c>
      <c r="C29" s="110" t="str">
        <f>IF(COUNTIFS('Outside Review Form Responses'!D:D,$A29,'Outside Review Form Responses'!A:A,"&lt;&gt;")&gt;0, COUNTIFS('Outside Review Form Responses'!D:D,$A29,'Outside Review Form Responses'!A:A,"&lt;&gt;")&amp;" reviews", "NA")</f>
        <v>NA</v>
      </c>
      <c r="D29" s="111" t="str">
        <f>IFERROR(AVERAGEIF('Outside Review Form Responses'!$D:$D,$A29,'Outside Review Form Responses'!F:F),"NA")</f>
        <v>NA</v>
      </c>
      <c r="E29" s="111" t="str">
        <f>IFERROR(AVERAGEIF('Outside Review Form Responses'!$D:$D,$A29,'Outside Review Form Responses'!G:G),"NA")</f>
        <v>NA</v>
      </c>
      <c r="F29" s="111" t="str">
        <f>IFERROR(AVERAGEIF('Outside Review Form Responses'!$D:$D,$A29,'Outside Review Form Responses'!H:H),"NA")</f>
        <v>NA</v>
      </c>
      <c r="G29" s="111" t="str">
        <f>IFERROR(AVERAGEIF('Outside Review Form Responses'!$D:$D,$A29,'Outside Review Form Responses'!I:I),"NA")</f>
        <v>NA</v>
      </c>
      <c r="H29" s="112">
        <f>'MEEM Info'!D29</f>
        <v>14</v>
      </c>
    </row>
    <row r="30" spans="1:8">
      <c r="A30" s="255" t="s">
        <v>673</v>
      </c>
      <c r="B30" s="256" t="s">
        <v>540</v>
      </c>
      <c r="C30" s="110" t="str">
        <f>IF(COUNTIFS('Outside Review Form Responses'!D:D,$A30,'Outside Review Form Responses'!A:A,"&lt;&gt;")&gt;0, COUNTIFS('Outside Review Form Responses'!D:D,$A30,'Outside Review Form Responses'!A:A,"&lt;&gt;")&amp;" reviews", "NA")</f>
        <v>NA</v>
      </c>
      <c r="D30" s="111" t="str">
        <f>IFERROR(AVERAGEIF('Outside Review Form Responses'!$D:$D,$A30,'Outside Review Form Responses'!F:F),"NA")</f>
        <v>NA</v>
      </c>
      <c r="E30" s="111" t="str">
        <f>IFERROR(AVERAGEIF('Outside Review Form Responses'!$D:$D,$A30,'Outside Review Form Responses'!G:G),"NA")</f>
        <v>NA</v>
      </c>
      <c r="F30" s="111" t="str">
        <f>IFERROR(AVERAGEIF('Outside Review Form Responses'!$D:$D,$A30,'Outside Review Form Responses'!H:H),"NA")</f>
        <v>NA</v>
      </c>
      <c r="G30" s="111" t="str">
        <f>IFERROR(AVERAGEIF('Outside Review Form Responses'!$D:$D,$A30,'Outside Review Form Responses'!I:I),"NA")</f>
        <v>NA</v>
      </c>
      <c r="H30" s="112">
        <f>'MEEM Info'!D30</f>
        <v>22</v>
      </c>
    </row>
    <row r="31" spans="1:8">
      <c r="A31" s="232" t="s">
        <v>674</v>
      </c>
      <c r="B31" s="233" t="s">
        <v>540</v>
      </c>
      <c r="C31" s="110" t="str">
        <f>IF(COUNTIFS('Outside Review Form Responses'!D:D,$A31,'Outside Review Form Responses'!A:A,"&lt;&gt;")&gt;0, COUNTIFS('Outside Review Form Responses'!D:D,$A31,'Outside Review Form Responses'!A:A,"&lt;&gt;")&amp;" reviews", "NA")</f>
        <v>NA</v>
      </c>
      <c r="D31" s="111" t="str">
        <f>IFERROR(AVERAGEIF('Outside Review Form Responses'!$D:$D,$A31,'Outside Review Form Responses'!F:F),"NA")</f>
        <v>NA</v>
      </c>
      <c r="E31" s="111" t="str">
        <f>IFERROR(AVERAGEIF('Outside Review Form Responses'!$D:$D,$A31,'Outside Review Form Responses'!G:G),"NA")</f>
        <v>NA</v>
      </c>
      <c r="F31" s="111" t="str">
        <f>IFERROR(AVERAGEIF('Outside Review Form Responses'!$D:$D,$A31,'Outside Review Form Responses'!H:H),"NA")</f>
        <v>NA</v>
      </c>
      <c r="G31" s="111" t="str">
        <f>IFERROR(AVERAGEIF('Outside Review Form Responses'!$D:$D,$A31,'Outside Review Form Responses'!I:I),"NA")</f>
        <v>NA</v>
      </c>
      <c r="H31" s="112">
        <f>'MEEM Info'!D31</f>
        <v>21</v>
      </c>
    </row>
    <row r="32" spans="1:8">
      <c r="A32" s="262" t="s">
        <v>675</v>
      </c>
      <c r="B32" s="263" t="s">
        <v>540</v>
      </c>
      <c r="C32" s="110" t="str">
        <f>IF(COUNTIFS('Outside Review Form Responses'!D:D,$A32,'Outside Review Form Responses'!A:A,"&lt;&gt;")&gt;0, COUNTIFS('Outside Review Form Responses'!D:D,$A32,'Outside Review Form Responses'!A:A,"&lt;&gt;")&amp;" reviews", "NA")</f>
        <v>NA</v>
      </c>
      <c r="D32" s="111" t="str">
        <f>IFERROR(AVERAGEIF('Outside Review Form Responses'!$D:$D,$A32,'Outside Review Form Responses'!F:F),"NA")</f>
        <v>NA</v>
      </c>
      <c r="E32" s="111" t="str">
        <f>IFERROR(AVERAGEIF('Outside Review Form Responses'!$D:$D,$A32,'Outside Review Form Responses'!G:G),"NA")</f>
        <v>NA</v>
      </c>
      <c r="F32" s="111" t="str">
        <f>IFERROR(AVERAGEIF('Outside Review Form Responses'!$D:$D,$A32,'Outside Review Form Responses'!H:H),"NA")</f>
        <v>NA</v>
      </c>
      <c r="G32" s="111" t="str">
        <f>IFERROR(AVERAGEIF('Outside Review Form Responses'!$D:$D,$A32,'Outside Review Form Responses'!I:I),"NA")</f>
        <v>NA</v>
      </c>
      <c r="H32" s="112">
        <f>'MEEM Info'!D32</f>
        <v>20</v>
      </c>
    </row>
    <row r="33" spans="1:8">
      <c r="A33" s="246" t="s">
        <v>676</v>
      </c>
      <c r="B33" s="247" t="s">
        <v>540</v>
      </c>
      <c r="C33" s="110" t="str">
        <f>IF(COUNTIFS('Outside Review Form Responses'!D:D,$A33,'Outside Review Form Responses'!A:A,"&lt;&gt;")&gt;0, COUNTIFS('Outside Review Form Responses'!D:D,$A33,'Outside Review Form Responses'!A:A,"&lt;&gt;")&amp;" reviews", "NA")</f>
        <v>1 reviews</v>
      </c>
      <c r="D33" s="111">
        <f>IFERROR(AVERAGEIF('Outside Review Form Responses'!$D:$D,$A33,'Outside Review Form Responses'!F:F),"NA")</f>
        <v>3</v>
      </c>
      <c r="E33" s="111">
        <f>IFERROR(AVERAGEIF('Outside Review Form Responses'!$D:$D,$A33,'Outside Review Form Responses'!G:G),"NA")</f>
        <v>1</v>
      </c>
      <c r="F33" s="111">
        <f>IFERROR(AVERAGEIF('Outside Review Form Responses'!$D:$D,$A33,'Outside Review Form Responses'!H:H),"NA")</f>
        <v>3</v>
      </c>
      <c r="G33" s="111">
        <f>IFERROR(AVERAGEIF('Outside Review Form Responses'!$D:$D,$A33,'Outside Review Form Responses'!I:I),"NA")</f>
        <v>15</v>
      </c>
      <c r="H33" s="112">
        <f>'MEEM Info'!D33</f>
        <v>7</v>
      </c>
    </row>
    <row r="34" spans="1:8">
      <c r="A34" s="232" t="s">
        <v>677</v>
      </c>
      <c r="B34" s="233" t="s">
        <v>540</v>
      </c>
      <c r="C34" s="110" t="str">
        <f>IF(COUNTIFS('Outside Review Form Responses'!D:D,$A34,'Outside Review Form Responses'!A:A,"&lt;&gt;")&gt;0, COUNTIFS('Outside Review Form Responses'!D:D,$A34,'Outside Review Form Responses'!A:A,"&lt;&gt;")&amp;" reviews", "NA")</f>
        <v>NA</v>
      </c>
      <c r="D34" s="111" t="str">
        <f>IFERROR(AVERAGEIF('Outside Review Form Responses'!$D:$D,$A34,'Outside Review Form Responses'!F:F),"NA")</f>
        <v>NA</v>
      </c>
      <c r="E34" s="111" t="str">
        <f>IFERROR(AVERAGEIF('Outside Review Form Responses'!$D:$D,$A34,'Outside Review Form Responses'!G:G),"NA")</f>
        <v>NA</v>
      </c>
      <c r="F34" s="111" t="str">
        <f>IFERROR(AVERAGEIF('Outside Review Form Responses'!$D:$D,$A34,'Outside Review Form Responses'!H:H),"NA")</f>
        <v>NA</v>
      </c>
      <c r="G34" s="111" t="str">
        <f>IFERROR(AVERAGEIF('Outside Review Form Responses'!$D:$D,$A34,'Outside Review Form Responses'!I:I),"NA")</f>
        <v>NA</v>
      </c>
      <c r="H34" s="112">
        <f>'MEEM Info'!D34</f>
        <v>8</v>
      </c>
    </row>
    <row r="35" spans="1:8">
      <c r="A35" s="239" t="s">
        <v>678</v>
      </c>
      <c r="B35" s="240" t="s">
        <v>540</v>
      </c>
      <c r="C35" s="110" t="str">
        <f>IF(COUNTIFS('Outside Review Form Responses'!D:D,$A35,'Outside Review Form Responses'!A:A,"&lt;&gt;")&gt;0, COUNTIFS('Outside Review Form Responses'!D:D,$A35,'Outside Review Form Responses'!A:A,"&lt;&gt;")&amp;" reviews", "NA")</f>
        <v>NA</v>
      </c>
      <c r="D35" s="111" t="str">
        <f>IFERROR(AVERAGEIF('Outside Review Form Responses'!$D:$D,$A35,'Outside Review Form Responses'!F:F),"NA")</f>
        <v>NA</v>
      </c>
      <c r="E35" s="111" t="str">
        <f>IFERROR(AVERAGEIF('Outside Review Form Responses'!$D:$D,$A35,'Outside Review Form Responses'!G:G),"NA")</f>
        <v>NA</v>
      </c>
      <c r="F35" s="111" t="str">
        <f>IFERROR(AVERAGEIF('Outside Review Form Responses'!$D:$D,$A35,'Outside Review Form Responses'!H:H),"NA")</f>
        <v>NA</v>
      </c>
      <c r="G35" s="111" t="str">
        <f>IFERROR(AVERAGEIF('Outside Review Form Responses'!$D:$D,$A35,'Outside Review Form Responses'!I:I),"NA")</f>
        <v>NA</v>
      </c>
      <c r="H35" s="112">
        <f>'MEEM Info'!D35</f>
        <v>8</v>
      </c>
    </row>
    <row r="36" spans="1:8">
      <c r="A36" s="255" t="s">
        <v>679</v>
      </c>
      <c r="B36" s="256" t="s">
        <v>540</v>
      </c>
      <c r="C36" s="110" t="str">
        <f>IF(COUNTIFS('Outside Review Form Responses'!D:D,$A36,'Outside Review Form Responses'!A:A,"&lt;&gt;")&gt;0, COUNTIFS('Outside Review Form Responses'!D:D,$A36,'Outside Review Form Responses'!A:A,"&lt;&gt;")&amp;" reviews", "NA")</f>
        <v>NA</v>
      </c>
      <c r="D36" s="111" t="str">
        <f>IFERROR(AVERAGEIF('Outside Review Form Responses'!$D:$D,$A36,'Outside Review Form Responses'!F:F),"NA")</f>
        <v>NA</v>
      </c>
      <c r="E36" s="111" t="str">
        <f>IFERROR(AVERAGEIF('Outside Review Form Responses'!$D:$D,$A36,'Outside Review Form Responses'!G:G),"NA")</f>
        <v>NA</v>
      </c>
      <c r="F36" s="111" t="str">
        <f>IFERROR(AVERAGEIF('Outside Review Form Responses'!$D:$D,$A36,'Outside Review Form Responses'!H:H),"NA")</f>
        <v>NA</v>
      </c>
      <c r="G36" s="111" t="str">
        <f>IFERROR(AVERAGEIF('Outside Review Form Responses'!$D:$D,$A36,'Outside Review Form Responses'!I:I),"NA")</f>
        <v>NA</v>
      </c>
      <c r="H36" s="112">
        <f>'MEEM Info'!D36</f>
        <v>25</v>
      </c>
    </row>
    <row r="37" spans="1:8">
      <c r="A37" s="232" t="s">
        <v>680</v>
      </c>
      <c r="B37" s="233" t="s">
        <v>540</v>
      </c>
      <c r="C37" s="110" t="str">
        <f>IF(COUNTIFS('Outside Review Form Responses'!D:D,$A37,'Outside Review Form Responses'!A:A,"&lt;&gt;")&gt;0, COUNTIFS('Outside Review Form Responses'!D:D,$A37,'Outside Review Form Responses'!A:A,"&lt;&gt;")&amp;" reviews", "NA")</f>
        <v>NA</v>
      </c>
      <c r="D37" s="111" t="str">
        <f>IFERROR(AVERAGEIF('Outside Review Form Responses'!$D:$D,$A37,'Outside Review Form Responses'!F:F),"NA")</f>
        <v>NA</v>
      </c>
      <c r="E37" s="111" t="str">
        <f>IFERROR(AVERAGEIF('Outside Review Form Responses'!$D:$D,$A37,'Outside Review Form Responses'!G:G),"NA")</f>
        <v>NA</v>
      </c>
      <c r="F37" s="111" t="str">
        <f>IFERROR(AVERAGEIF('Outside Review Form Responses'!$D:$D,$A37,'Outside Review Form Responses'!H:H),"NA")</f>
        <v>NA</v>
      </c>
      <c r="G37" s="111" t="str">
        <f>IFERROR(AVERAGEIF('Outside Review Form Responses'!$D:$D,$A37,'Outside Review Form Responses'!I:I),"NA")</f>
        <v>NA</v>
      </c>
      <c r="H37" s="112">
        <f>'MEEM Info'!D37</f>
        <v>25</v>
      </c>
    </row>
    <row r="38" spans="1:8">
      <c r="A38" s="262" t="s">
        <v>681</v>
      </c>
      <c r="B38" s="263" t="s">
        <v>540</v>
      </c>
      <c r="C38" s="110" t="str">
        <f>IF(COUNTIFS('Outside Review Form Responses'!D:D,$A38,'Outside Review Form Responses'!A:A,"&lt;&gt;")&gt;0, COUNTIFS('Outside Review Form Responses'!D:D,$A38,'Outside Review Form Responses'!A:A,"&lt;&gt;")&amp;" reviews", "NA")</f>
        <v>NA</v>
      </c>
      <c r="D38" s="111" t="str">
        <f>IFERROR(AVERAGEIF('Outside Review Form Responses'!$D:$D,$A38,'Outside Review Form Responses'!F:F),"NA")</f>
        <v>NA</v>
      </c>
      <c r="E38" s="111" t="str">
        <f>IFERROR(AVERAGEIF('Outside Review Form Responses'!$D:$D,$A38,'Outside Review Form Responses'!G:G),"NA")</f>
        <v>NA</v>
      </c>
      <c r="F38" s="111" t="str">
        <f>IFERROR(AVERAGEIF('Outside Review Form Responses'!$D:$D,$A38,'Outside Review Form Responses'!H:H),"NA")</f>
        <v>NA</v>
      </c>
      <c r="G38" s="111" t="str">
        <f>IFERROR(AVERAGEIF('Outside Review Form Responses'!$D:$D,$A38,'Outside Review Form Responses'!I:I),"NA")</f>
        <v>NA</v>
      </c>
      <c r="H38" s="112">
        <f>'MEEM Info'!D38</f>
        <v>24</v>
      </c>
    </row>
    <row r="39" spans="1:8">
      <c r="A39" s="246" t="s">
        <v>682</v>
      </c>
      <c r="B39" s="247" t="s">
        <v>540</v>
      </c>
      <c r="C39" s="110" t="str">
        <f>IF(COUNTIFS('Outside Review Form Responses'!D:D,$A39,'Outside Review Form Responses'!A:A,"&lt;&gt;")&gt;0, COUNTIFS('Outside Review Form Responses'!D:D,$A39,'Outside Review Form Responses'!A:A,"&lt;&gt;")&amp;" reviews", "NA")</f>
        <v>1 reviews</v>
      </c>
      <c r="D39" s="111">
        <f>IFERROR(AVERAGEIF('Outside Review Form Responses'!$D:$D,$A39,'Outside Review Form Responses'!F:F),"NA")</f>
        <v>3</v>
      </c>
      <c r="E39" s="111">
        <f>IFERROR(AVERAGEIF('Outside Review Form Responses'!$D:$D,$A39,'Outside Review Form Responses'!G:G),"NA")</f>
        <v>4</v>
      </c>
      <c r="F39" s="111">
        <f>IFERROR(AVERAGEIF('Outside Review Form Responses'!$D:$D,$A39,'Outside Review Form Responses'!H:H),"NA")</f>
        <v>4</v>
      </c>
      <c r="G39" s="111">
        <f>IFERROR(AVERAGEIF('Outside Review Form Responses'!$D:$D,$A39,'Outside Review Form Responses'!I:I),"NA")</f>
        <v>14</v>
      </c>
      <c r="H39" s="112">
        <f>'MEEM Info'!D39</f>
        <v>18</v>
      </c>
    </row>
    <row r="40" spans="1:8">
      <c r="A40" s="232" t="s">
        <v>683</v>
      </c>
      <c r="B40" s="233" t="s">
        <v>540</v>
      </c>
      <c r="C40" s="110" t="str">
        <f>IF(COUNTIFS('Outside Review Form Responses'!D:D,$A40,'Outside Review Form Responses'!A:A,"&lt;&gt;")&gt;0, COUNTIFS('Outside Review Form Responses'!D:D,$A40,'Outside Review Form Responses'!A:A,"&lt;&gt;")&amp;" reviews", "NA")</f>
        <v>NA</v>
      </c>
      <c r="D40" s="111" t="str">
        <f>IFERROR(AVERAGEIF('Outside Review Form Responses'!$D:$D,$A40,'Outside Review Form Responses'!F:F),"NA")</f>
        <v>NA</v>
      </c>
      <c r="E40" s="111" t="str">
        <f>IFERROR(AVERAGEIF('Outside Review Form Responses'!$D:$D,$A40,'Outside Review Form Responses'!G:G),"NA")</f>
        <v>NA</v>
      </c>
      <c r="F40" s="111" t="str">
        <f>IFERROR(AVERAGEIF('Outside Review Form Responses'!$D:$D,$A40,'Outside Review Form Responses'!H:H),"NA")</f>
        <v>NA</v>
      </c>
      <c r="G40" s="111" t="str">
        <f>IFERROR(AVERAGEIF('Outside Review Form Responses'!$D:$D,$A40,'Outside Review Form Responses'!I:I),"NA")</f>
        <v>NA</v>
      </c>
      <c r="H40" s="112">
        <f>'MEEM Info'!D40</f>
        <v>19</v>
      </c>
    </row>
    <row r="41" spans="1:8">
      <c r="A41" s="239" t="s">
        <v>684</v>
      </c>
      <c r="B41" s="240" t="s">
        <v>540</v>
      </c>
      <c r="C41" s="110" t="str">
        <f>IF(COUNTIFS('Outside Review Form Responses'!D:D,$A41,'Outside Review Form Responses'!A:A,"&lt;&gt;")&gt;0, COUNTIFS('Outside Review Form Responses'!D:D,$A41,'Outside Review Form Responses'!A:A,"&lt;&gt;")&amp;" reviews", "NA")</f>
        <v>NA</v>
      </c>
      <c r="D41" s="111" t="str">
        <f>IFERROR(AVERAGEIF('Outside Review Form Responses'!$D:$D,$A41,'Outside Review Form Responses'!F:F),"NA")</f>
        <v>NA</v>
      </c>
      <c r="E41" s="111" t="str">
        <f>IFERROR(AVERAGEIF('Outside Review Form Responses'!$D:$D,$A41,'Outside Review Form Responses'!G:G),"NA")</f>
        <v>NA</v>
      </c>
      <c r="F41" s="111" t="str">
        <f>IFERROR(AVERAGEIF('Outside Review Form Responses'!$D:$D,$A41,'Outside Review Form Responses'!H:H),"NA")</f>
        <v>NA</v>
      </c>
      <c r="G41" s="111" t="str">
        <f>IFERROR(AVERAGEIF('Outside Review Form Responses'!$D:$D,$A41,'Outside Review Form Responses'!I:I),"NA")</f>
        <v>NA</v>
      </c>
      <c r="H41" s="112">
        <f>'MEEM Info'!D41</f>
        <v>21</v>
      </c>
    </row>
    <row r="42" spans="1:8">
      <c r="A42" s="255" t="s">
        <v>685</v>
      </c>
      <c r="B42" s="256" t="s">
        <v>540</v>
      </c>
      <c r="C42" s="110" t="str">
        <f>IF(COUNTIFS('Outside Review Form Responses'!D:D,$A42,'Outside Review Form Responses'!A:A,"&lt;&gt;")&gt;0, COUNTIFS('Outside Review Form Responses'!D:D,$A42,'Outside Review Form Responses'!A:A,"&lt;&gt;")&amp;" reviews", "NA")</f>
        <v>2 reviews</v>
      </c>
      <c r="D42" s="111">
        <f>IFERROR(AVERAGEIF('Outside Review Form Responses'!$D:$D,$A42,'Outside Review Form Responses'!F:F),"NA")</f>
        <v>4.5</v>
      </c>
      <c r="E42" s="111">
        <f>IFERROR(AVERAGEIF('Outside Review Form Responses'!$D:$D,$A42,'Outside Review Form Responses'!G:G),"NA")</f>
        <v>2</v>
      </c>
      <c r="F42" s="111">
        <f>IFERROR(AVERAGEIF('Outside Review Form Responses'!$D:$D,$A42,'Outside Review Form Responses'!H:H),"NA")</f>
        <v>4.5</v>
      </c>
      <c r="G42" s="111">
        <f>IFERROR(AVERAGEIF('Outside Review Form Responses'!$D:$D,$A42,'Outside Review Form Responses'!I:I),"NA")</f>
        <v>22.5</v>
      </c>
      <c r="H42" s="112">
        <f>'MEEM Info'!D42</f>
        <v>22</v>
      </c>
    </row>
    <row r="43" spans="1:8">
      <c r="A43" s="232" t="s">
        <v>686</v>
      </c>
      <c r="B43" s="233" t="s">
        <v>540</v>
      </c>
      <c r="C43" s="110" t="str">
        <f>IF(COUNTIFS('Outside Review Form Responses'!D:D,$A43,'Outside Review Form Responses'!A:A,"&lt;&gt;")&gt;0, COUNTIFS('Outside Review Form Responses'!D:D,$A43,'Outside Review Form Responses'!A:A,"&lt;&gt;")&amp;" reviews", "NA")</f>
        <v>NA</v>
      </c>
      <c r="D43" s="111" t="str">
        <f>IFERROR(AVERAGEIF('Outside Review Form Responses'!$D:$D,$A43,'Outside Review Form Responses'!F:F),"NA")</f>
        <v>NA</v>
      </c>
      <c r="E43" s="111" t="str">
        <f>IFERROR(AVERAGEIF('Outside Review Form Responses'!$D:$D,$A43,'Outside Review Form Responses'!G:G),"NA")</f>
        <v>NA</v>
      </c>
      <c r="F43" s="111" t="str">
        <f>IFERROR(AVERAGEIF('Outside Review Form Responses'!$D:$D,$A43,'Outside Review Form Responses'!H:H),"NA")</f>
        <v>NA</v>
      </c>
      <c r="G43" s="111" t="str">
        <f>IFERROR(AVERAGEIF('Outside Review Form Responses'!$D:$D,$A43,'Outside Review Form Responses'!I:I),"NA")</f>
        <v>NA</v>
      </c>
      <c r="H43" s="112">
        <f>'MEEM Info'!D43</f>
        <v>21</v>
      </c>
    </row>
    <row r="44" spans="1:8">
      <c r="A44" s="262" t="s">
        <v>687</v>
      </c>
      <c r="B44" s="263" t="s">
        <v>540</v>
      </c>
      <c r="C44" s="110" t="str">
        <f>IF(COUNTIFS('Outside Review Form Responses'!D:D,$A44,'Outside Review Form Responses'!A:A,"&lt;&gt;")&gt;0, COUNTIFS('Outside Review Form Responses'!D:D,$A44,'Outside Review Form Responses'!A:A,"&lt;&gt;")&amp;" reviews", "NA")</f>
        <v>NA</v>
      </c>
      <c r="D44" s="111" t="str">
        <f>IFERROR(AVERAGEIF('Outside Review Form Responses'!$D:$D,$A44,'Outside Review Form Responses'!F:F),"NA")</f>
        <v>NA</v>
      </c>
      <c r="E44" s="111" t="str">
        <f>IFERROR(AVERAGEIF('Outside Review Form Responses'!$D:$D,$A44,'Outside Review Form Responses'!G:G),"NA")</f>
        <v>NA</v>
      </c>
      <c r="F44" s="111" t="str">
        <f>IFERROR(AVERAGEIF('Outside Review Form Responses'!$D:$D,$A44,'Outside Review Form Responses'!H:H),"NA")</f>
        <v>NA</v>
      </c>
      <c r="G44" s="111" t="str">
        <f>IFERROR(AVERAGEIF('Outside Review Form Responses'!$D:$D,$A44,'Outside Review Form Responses'!I:I),"NA")</f>
        <v>NA</v>
      </c>
      <c r="H44" s="112">
        <f>'MEEM Info'!D44</f>
        <v>15</v>
      </c>
    </row>
    <row r="45" spans="1:8">
      <c r="A45" s="246" t="s">
        <v>688</v>
      </c>
      <c r="B45" s="247" t="s">
        <v>540</v>
      </c>
      <c r="C45" s="110" t="str">
        <f>IF(COUNTIFS('Outside Review Form Responses'!D:D,$A45,'Outside Review Form Responses'!A:A,"&lt;&gt;")&gt;0, COUNTIFS('Outside Review Form Responses'!D:D,$A45,'Outside Review Form Responses'!A:A,"&lt;&gt;")&amp;" reviews", "NA")</f>
        <v>NA</v>
      </c>
      <c r="D45" s="111" t="str">
        <f>IFERROR(AVERAGEIF('Outside Review Form Responses'!$D:$D,$A45,'Outside Review Form Responses'!F:F),"NA")</f>
        <v>NA</v>
      </c>
      <c r="E45" s="111" t="str">
        <f>IFERROR(AVERAGEIF('Outside Review Form Responses'!$D:$D,$A45,'Outside Review Form Responses'!G:G),"NA")</f>
        <v>NA</v>
      </c>
      <c r="F45" s="111" t="str">
        <f>IFERROR(AVERAGEIF('Outside Review Form Responses'!$D:$D,$A45,'Outside Review Form Responses'!H:H),"NA")</f>
        <v>NA</v>
      </c>
      <c r="G45" s="111" t="str">
        <f>IFERROR(AVERAGEIF('Outside Review Form Responses'!$D:$D,$A45,'Outside Review Form Responses'!I:I),"NA")</f>
        <v>NA</v>
      </c>
      <c r="H45" s="112">
        <f>'MEEM Info'!D45</f>
        <v>23</v>
      </c>
    </row>
    <row r="46" spans="1:8">
      <c r="A46" s="232" t="s">
        <v>689</v>
      </c>
      <c r="B46" s="233" t="s">
        <v>540</v>
      </c>
      <c r="C46" s="110" t="str">
        <f>IF(COUNTIFS('Outside Review Form Responses'!D:D,$A46,'Outside Review Form Responses'!A:A,"&lt;&gt;")&gt;0, COUNTIFS('Outside Review Form Responses'!D:D,$A46,'Outside Review Form Responses'!A:A,"&lt;&gt;")&amp;" reviews", "NA")</f>
        <v>NA</v>
      </c>
      <c r="D46" s="111" t="str">
        <f>IFERROR(AVERAGEIF('Outside Review Form Responses'!$D:$D,$A46,'Outside Review Form Responses'!F:F),"NA")</f>
        <v>NA</v>
      </c>
      <c r="E46" s="111" t="str">
        <f>IFERROR(AVERAGEIF('Outside Review Form Responses'!$D:$D,$A46,'Outside Review Form Responses'!G:G),"NA")</f>
        <v>NA</v>
      </c>
      <c r="F46" s="111" t="str">
        <f>IFERROR(AVERAGEIF('Outside Review Form Responses'!$D:$D,$A46,'Outside Review Form Responses'!H:H),"NA")</f>
        <v>NA</v>
      </c>
      <c r="G46" s="111" t="str">
        <f>IFERROR(AVERAGEIF('Outside Review Form Responses'!$D:$D,$A46,'Outside Review Form Responses'!I:I),"NA")</f>
        <v>NA</v>
      </c>
      <c r="H46" s="112">
        <f>'MEEM Info'!D46</f>
        <v>26</v>
      </c>
    </row>
    <row r="47" spans="1:8">
      <c r="A47" s="239" t="s">
        <v>690</v>
      </c>
      <c r="B47" s="240" t="s">
        <v>540</v>
      </c>
      <c r="C47" s="110" t="str">
        <f>IF(COUNTIFS('Outside Review Form Responses'!D:D,$A47,'Outside Review Form Responses'!A:A,"&lt;&gt;")&gt;0, COUNTIFS('Outside Review Form Responses'!D:D,$A47,'Outside Review Form Responses'!A:A,"&lt;&gt;")&amp;" reviews", "NA")</f>
        <v>NA</v>
      </c>
      <c r="D47" s="111" t="str">
        <f>IFERROR(AVERAGEIF('Outside Review Form Responses'!$D:$D,$A47,'Outside Review Form Responses'!F:F),"NA")</f>
        <v>NA</v>
      </c>
      <c r="E47" s="111" t="str">
        <f>IFERROR(AVERAGEIF('Outside Review Form Responses'!$D:$D,$A47,'Outside Review Form Responses'!G:G),"NA")</f>
        <v>NA</v>
      </c>
      <c r="F47" s="111" t="str">
        <f>IFERROR(AVERAGEIF('Outside Review Form Responses'!$D:$D,$A47,'Outside Review Form Responses'!H:H),"NA")</f>
        <v>NA</v>
      </c>
      <c r="G47" s="111" t="str">
        <f>IFERROR(AVERAGEIF('Outside Review Form Responses'!$D:$D,$A47,'Outside Review Form Responses'!I:I),"NA")</f>
        <v>NA</v>
      </c>
      <c r="H47" s="112">
        <f>'MEEM Info'!D47</f>
        <v>31</v>
      </c>
    </row>
    <row r="48" spans="1:8">
      <c r="A48" s="83"/>
      <c r="B48" s="82"/>
      <c r="C48" s="82"/>
      <c r="D48" s="82"/>
      <c r="E48" s="82"/>
      <c r="F48" s="83"/>
      <c r="G48" s="83"/>
      <c r="H48" s="83"/>
    </row>
    <row r="49" spans="1:8">
      <c r="A49" s="83"/>
      <c r="B49" s="82"/>
      <c r="C49" s="82"/>
      <c r="D49" s="82"/>
      <c r="E49" s="82"/>
      <c r="F49" s="83"/>
      <c r="G49" s="83"/>
      <c r="H49" s="83"/>
    </row>
    <row r="50" spans="1:8">
      <c r="A50" s="83"/>
      <c r="B50" s="82"/>
      <c r="C50" s="82"/>
      <c r="D50" s="82"/>
      <c r="E50" s="82"/>
      <c r="F50" s="83"/>
      <c r="G50" s="83"/>
      <c r="H50" s="83"/>
    </row>
    <row r="51" spans="1:8">
      <c r="A51" s="83"/>
      <c r="B51" s="82"/>
      <c r="C51" s="82"/>
      <c r="D51" s="82"/>
      <c r="E51" s="82"/>
      <c r="F51" s="83"/>
      <c r="G51" s="83"/>
      <c r="H51" s="83"/>
    </row>
    <row r="52" spans="1:8">
      <c r="A52" s="83"/>
      <c r="B52" s="82"/>
      <c r="C52" s="82"/>
      <c r="D52" s="82"/>
      <c r="E52" s="82"/>
      <c r="F52" s="83"/>
      <c r="G52" s="83"/>
      <c r="H52" s="83"/>
    </row>
    <row r="53" spans="1:8">
      <c r="A53" s="83"/>
      <c r="B53" s="82"/>
      <c r="C53" s="82"/>
      <c r="D53" s="82"/>
      <c r="E53" s="82"/>
      <c r="F53" s="83"/>
      <c r="G53" s="83"/>
      <c r="H53" s="83"/>
    </row>
    <row r="54" spans="1:8">
      <c r="A54" s="83"/>
      <c r="B54" s="82"/>
      <c r="C54" s="82"/>
      <c r="D54" s="82"/>
      <c r="E54" s="82"/>
      <c r="F54" s="83"/>
      <c r="G54" s="83"/>
      <c r="H54" s="83"/>
    </row>
    <row r="55" spans="1:8">
      <c r="A55" s="83"/>
      <c r="B55" s="82"/>
      <c r="C55" s="82"/>
      <c r="D55" s="82"/>
      <c r="E55" s="82"/>
      <c r="F55" s="83"/>
      <c r="G55" s="83"/>
      <c r="H55" s="83"/>
    </row>
    <row r="56" spans="1:8">
      <c r="A56" s="83"/>
      <c r="B56" s="82"/>
      <c r="C56" s="82"/>
      <c r="D56" s="82"/>
      <c r="E56" s="82"/>
      <c r="F56" s="83"/>
      <c r="G56" s="83"/>
      <c r="H56" s="83"/>
    </row>
    <row r="57" spans="1:8">
      <c r="A57" s="83"/>
      <c r="B57" s="82"/>
      <c r="C57" s="82"/>
      <c r="D57" s="82"/>
      <c r="E57" s="82"/>
      <c r="F57" s="83"/>
      <c r="G57" s="83"/>
      <c r="H57" s="83"/>
    </row>
    <row r="58" spans="1:8">
      <c r="A58" s="83"/>
      <c r="B58" s="82"/>
      <c r="C58" s="82"/>
      <c r="D58" s="82"/>
      <c r="E58" s="82"/>
      <c r="F58" s="83"/>
      <c r="G58" s="83"/>
      <c r="H58" s="83"/>
    </row>
    <row r="59" spans="1:8">
      <c r="A59" s="83"/>
      <c r="B59" s="82"/>
      <c r="C59" s="82"/>
      <c r="D59" s="82"/>
      <c r="E59" s="82"/>
      <c r="F59" s="83"/>
      <c r="G59" s="83"/>
      <c r="H59" s="83"/>
    </row>
    <row r="60" spans="1:8">
      <c r="A60" s="83"/>
      <c r="B60" s="82"/>
      <c r="C60" s="82"/>
      <c r="D60" s="82"/>
      <c r="E60" s="82"/>
      <c r="F60" s="83"/>
      <c r="G60" s="83"/>
      <c r="H60" s="83"/>
    </row>
    <row r="61" spans="1:8">
      <c r="A61" s="83"/>
      <c r="B61" s="82"/>
      <c r="C61" s="82"/>
      <c r="D61" s="82"/>
      <c r="E61" s="82"/>
      <c r="F61" s="83"/>
      <c r="G61" s="83"/>
      <c r="H61" s="83"/>
    </row>
    <row r="62" spans="1:8">
      <c r="A62" s="83"/>
      <c r="B62" s="82"/>
      <c r="C62" s="82"/>
      <c r="D62" s="82"/>
      <c r="E62" s="82"/>
      <c r="F62" s="83"/>
      <c r="G62" s="83"/>
      <c r="H62" s="83"/>
    </row>
    <row r="63" spans="1:8">
      <c r="A63" s="83"/>
      <c r="B63" s="82"/>
      <c r="C63" s="82"/>
      <c r="D63" s="82"/>
      <c r="E63" s="82"/>
      <c r="F63" s="83"/>
      <c r="G63" s="83"/>
      <c r="H63" s="83"/>
    </row>
    <row r="64" spans="1:8">
      <c r="A64" s="83"/>
      <c r="B64" s="82"/>
      <c r="C64" s="82"/>
      <c r="D64" s="82"/>
      <c r="E64" s="82"/>
      <c r="F64" s="83"/>
      <c r="G64" s="83"/>
      <c r="H64" s="83"/>
    </row>
    <row r="65" spans="1:8">
      <c r="A65" s="83"/>
      <c r="B65" s="82"/>
      <c r="C65" s="82"/>
      <c r="D65" s="82"/>
      <c r="E65" s="82"/>
      <c r="F65" s="83"/>
      <c r="G65" s="83"/>
      <c r="H65" s="83"/>
    </row>
    <row r="66" spans="1:8">
      <c r="A66" s="83"/>
      <c r="B66" s="82"/>
      <c r="C66" s="82"/>
      <c r="D66" s="82"/>
      <c r="E66" s="82"/>
      <c r="F66" s="83"/>
      <c r="G66" s="83"/>
      <c r="H66" s="83"/>
    </row>
    <row r="67" spans="1:8">
      <c r="A67" s="83"/>
      <c r="B67" s="82"/>
      <c r="C67" s="82"/>
      <c r="D67" s="82"/>
      <c r="E67" s="82"/>
      <c r="F67" s="83"/>
      <c r="G67" s="83"/>
      <c r="H67" s="83"/>
    </row>
    <row r="68" spans="1:8">
      <c r="A68" s="83"/>
      <c r="B68" s="82"/>
      <c r="C68" s="82"/>
      <c r="D68" s="82"/>
      <c r="E68" s="82"/>
      <c r="F68" s="83"/>
      <c r="G68" s="83"/>
      <c r="H68" s="83"/>
    </row>
    <row r="69" spans="1:8">
      <c r="A69" s="83"/>
      <c r="B69" s="82"/>
      <c r="C69" s="82"/>
      <c r="D69" s="82"/>
      <c r="E69" s="82"/>
      <c r="F69" s="83"/>
      <c r="G69" s="83"/>
      <c r="H69" s="83"/>
    </row>
    <row r="70" spans="1:8">
      <c r="A70" s="83"/>
      <c r="B70" s="82"/>
      <c r="C70" s="82"/>
      <c r="D70" s="82"/>
      <c r="E70" s="82"/>
      <c r="F70" s="83"/>
      <c r="G70" s="83"/>
      <c r="H70" s="83"/>
    </row>
    <row r="71" spans="1:8">
      <c r="A71" s="83"/>
      <c r="B71" s="82"/>
      <c r="C71" s="82"/>
      <c r="D71" s="82"/>
      <c r="E71" s="82"/>
      <c r="F71" s="83"/>
      <c r="G71" s="83"/>
      <c r="H71" s="83"/>
    </row>
    <row r="72" spans="1:8">
      <c r="A72" s="83"/>
      <c r="B72" s="82"/>
      <c r="C72" s="82"/>
      <c r="D72" s="82"/>
      <c r="E72" s="82"/>
      <c r="F72" s="83"/>
      <c r="G72" s="83"/>
      <c r="H72" s="83"/>
    </row>
    <row r="73" spans="1:8">
      <c r="A73" s="83"/>
      <c r="B73" s="82"/>
      <c r="C73" s="82"/>
      <c r="D73" s="82"/>
      <c r="E73" s="82"/>
      <c r="F73" s="83"/>
      <c r="G73" s="83"/>
      <c r="H73" s="83"/>
    </row>
    <row r="74" spans="1:8">
      <c r="A74" s="83"/>
      <c r="B74" s="82"/>
      <c r="C74" s="82"/>
      <c r="D74" s="82"/>
      <c r="E74" s="82"/>
      <c r="F74" s="83"/>
      <c r="G74" s="83"/>
      <c r="H74" s="83"/>
    </row>
    <row r="75" spans="1:8">
      <c r="A75" s="83"/>
      <c r="B75" s="82"/>
      <c r="C75" s="82"/>
      <c r="D75" s="82"/>
      <c r="E75" s="82"/>
      <c r="F75" s="83"/>
      <c r="G75" s="83"/>
      <c r="H75" s="83"/>
    </row>
    <row r="76" spans="1:8">
      <c r="A76" s="83"/>
      <c r="B76" s="82"/>
      <c r="C76" s="82"/>
      <c r="D76" s="82"/>
      <c r="E76" s="82"/>
      <c r="F76" s="83"/>
      <c r="G76" s="83"/>
      <c r="H76" s="83"/>
    </row>
    <row r="77" spans="1:8">
      <c r="A77" s="83"/>
      <c r="B77" s="82"/>
      <c r="C77" s="82"/>
      <c r="D77" s="82"/>
      <c r="E77" s="82"/>
      <c r="F77" s="83"/>
      <c r="G77" s="83"/>
      <c r="H77" s="83"/>
    </row>
    <row r="78" spans="1:8">
      <c r="A78" s="83"/>
      <c r="B78" s="82"/>
      <c r="C78" s="82"/>
      <c r="D78" s="82"/>
      <c r="E78" s="82"/>
      <c r="F78" s="83"/>
      <c r="G78" s="83"/>
      <c r="H78" s="83"/>
    </row>
    <row r="79" spans="1:8">
      <c r="A79" s="83"/>
      <c r="B79" s="82"/>
      <c r="C79" s="82"/>
      <c r="D79" s="82"/>
      <c r="E79" s="82"/>
      <c r="F79" s="83"/>
      <c r="G79" s="83"/>
      <c r="H79" s="83"/>
    </row>
    <row r="80" spans="1:8">
      <c r="A80" s="83"/>
      <c r="B80" s="82"/>
      <c r="C80" s="82"/>
      <c r="D80" s="82"/>
      <c r="E80" s="82"/>
      <c r="F80" s="83"/>
      <c r="G80" s="83"/>
      <c r="H80" s="83"/>
    </row>
    <row r="81" spans="1:8">
      <c r="A81" s="83"/>
      <c r="B81" s="82"/>
      <c r="C81" s="82"/>
      <c r="D81" s="82"/>
      <c r="E81" s="82"/>
      <c r="F81" s="83"/>
      <c r="G81" s="83"/>
      <c r="H81" s="83"/>
    </row>
    <row r="82" spans="1:8">
      <c r="A82" s="83"/>
      <c r="B82" s="82"/>
      <c r="C82" s="82"/>
      <c r="D82" s="82"/>
      <c r="E82" s="82"/>
      <c r="F82" s="83"/>
      <c r="G82" s="83"/>
      <c r="H82" s="83"/>
    </row>
    <row r="83" spans="1:8">
      <c r="A83" s="83"/>
      <c r="B83" s="82"/>
      <c r="C83" s="82"/>
      <c r="D83" s="82"/>
      <c r="E83" s="82"/>
      <c r="F83" s="83"/>
      <c r="G83" s="83"/>
      <c r="H83" s="83"/>
    </row>
    <row r="84" spans="1:8">
      <c r="A84" s="83"/>
      <c r="B84" s="82"/>
      <c r="C84" s="82"/>
      <c r="D84" s="82"/>
      <c r="E84" s="82"/>
      <c r="F84" s="83"/>
      <c r="G84" s="83"/>
      <c r="H84" s="83"/>
    </row>
    <row r="85" spans="1:8">
      <c r="A85" s="83"/>
      <c r="B85" s="82"/>
      <c r="C85" s="82"/>
      <c r="D85" s="82"/>
      <c r="E85" s="82"/>
      <c r="F85" s="83"/>
      <c r="G85" s="83"/>
      <c r="H85" s="83"/>
    </row>
    <row r="86" spans="1:8">
      <c r="A86" s="83"/>
      <c r="B86" s="82"/>
      <c r="C86" s="82"/>
      <c r="D86" s="82"/>
      <c r="E86" s="82"/>
      <c r="F86" s="83"/>
      <c r="G86" s="83"/>
      <c r="H86" s="83"/>
    </row>
    <row r="87" spans="1:8">
      <c r="A87" s="83"/>
      <c r="B87" s="82"/>
      <c r="C87" s="82"/>
      <c r="D87" s="82"/>
      <c r="E87" s="82"/>
      <c r="F87" s="83"/>
      <c r="G87" s="83"/>
      <c r="H87" s="83"/>
    </row>
    <row r="88" spans="1:8">
      <c r="A88" s="83"/>
      <c r="B88" s="82"/>
      <c r="C88" s="82"/>
      <c r="D88" s="82"/>
      <c r="E88" s="82"/>
      <c r="F88" s="83"/>
      <c r="G88" s="83"/>
      <c r="H88" s="83"/>
    </row>
    <row r="89" spans="1:8">
      <c r="A89" s="83"/>
      <c r="B89" s="82"/>
      <c r="C89" s="82"/>
      <c r="D89" s="82"/>
      <c r="E89" s="82"/>
      <c r="F89" s="83"/>
      <c r="G89" s="83"/>
      <c r="H89" s="83"/>
    </row>
    <row r="90" spans="1:8">
      <c r="A90" s="83"/>
      <c r="B90" s="82"/>
      <c r="C90" s="82"/>
      <c r="D90" s="82"/>
      <c r="E90" s="82"/>
      <c r="F90" s="83"/>
      <c r="G90" s="83"/>
      <c r="H90" s="83"/>
    </row>
    <row r="91" spans="1:8">
      <c r="A91" s="83"/>
      <c r="B91" s="82"/>
      <c r="C91" s="82"/>
      <c r="D91" s="82"/>
      <c r="E91" s="82"/>
      <c r="F91" s="83"/>
      <c r="G91" s="83"/>
      <c r="H91" s="83"/>
    </row>
    <row r="92" spans="1:8">
      <c r="A92" s="83"/>
      <c r="B92" s="82"/>
      <c r="C92" s="82"/>
      <c r="D92" s="82"/>
      <c r="E92" s="82"/>
      <c r="F92" s="83"/>
      <c r="G92" s="83"/>
      <c r="H92" s="83"/>
    </row>
    <row r="93" spans="1:8">
      <c r="A93" s="83"/>
      <c r="B93" s="82"/>
      <c r="C93" s="82"/>
      <c r="D93" s="82"/>
      <c r="E93" s="82"/>
      <c r="F93" s="83"/>
      <c r="G93" s="83"/>
      <c r="H93" s="83"/>
    </row>
    <row r="94" spans="1:8">
      <c r="A94" s="83"/>
      <c r="B94" s="82"/>
      <c r="C94" s="82"/>
      <c r="D94" s="82"/>
      <c r="E94" s="82"/>
      <c r="F94" s="83"/>
      <c r="G94" s="83"/>
      <c r="H94" s="83"/>
    </row>
    <row r="95" spans="1:8">
      <c r="A95" s="83"/>
      <c r="B95" s="82"/>
      <c r="C95" s="82"/>
      <c r="D95" s="82"/>
      <c r="E95" s="82"/>
      <c r="F95" s="83"/>
      <c r="G95" s="83"/>
      <c r="H95" s="83"/>
    </row>
    <row r="96" spans="1:8">
      <c r="A96" s="83"/>
      <c r="B96" s="82"/>
      <c r="C96" s="82"/>
      <c r="D96" s="82"/>
      <c r="E96" s="82"/>
      <c r="F96" s="83"/>
      <c r="G96" s="83"/>
      <c r="H96" s="83"/>
    </row>
    <row r="97" spans="1:8">
      <c r="A97" s="83"/>
      <c r="B97" s="82"/>
      <c r="C97" s="82"/>
      <c r="D97" s="82"/>
      <c r="E97" s="82"/>
      <c r="F97" s="83"/>
      <c r="G97" s="83"/>
      <c r="H97" s="83"/>
    </row>
    <row r="98" spans="1:8">
      <c r="A98" s="83"/>
      <c r="B98" s="82"/>
      <c r="C98" s="82"/>
      <c r="D98" s="82"/>
      <c r="E98" s="82"/>
      <c r="F98" s="83"/>
      <c r="G98" s="83"/>
      <c r="H98" s="83"/>
    </row>
    <row r="99" spans="1:8">
      <c r="A99" s="83"/>
      <c r="B99" s="82"/>
      <c r="C99" s="82"/>
      <c r="D99" s="82"/>
      <c r="E99" s="82"/>
      <c r="F99" s="83"/>
      <c r="G99" s="83"/>
      <c r="H99" s="83"/>
    </row>
    <row r="100" spans="1:8">
      <c r="A100" s="83"/>
      <c r="B100" s="82"/>
      <c r="C100" s="82"/>
      <c r="D100" s="82"/>
      <c r="E100" s="82"/>
      <c r="F100" s="83"/>
      <c r="G100" s="83"/>
      <c r="H100" s="83"/>
    </row>
    <row r="101" spans="1:8">
      <c r="A101" s="83"/>
      <c r="B101" s="82"/>
      <c r="C101" s="82"/>
      <c r="D101" s="82"/>
      <c r="E101" s="82"/>
      <c r="F101" s="83"/>
      <c r="G101" s="83"/>
      <c r="H101" s="83"/>
    </row>
    <row r="102" spans="1:8">
      <c r="A102" s="83"/>
      <c r="B102" s="82"/>
      <c r="C102" s="82"/>
      <c r="D102" s="82"/>
      <c r="E102" s="82"/>
      <c r="F102" s="83"/>
      <c r="G102" s="83"/>
      <c r="H102" s="83"/>
    </row>
    <row r="103" spans="1:8">
      <c r="A103" s="83"/>
      <c r="B103" s="82"/>
      <c r="C103" s="82"/>
      <c r="D103" s="82"/>
      <c r="E103" s="82"/>
      <c r="F103" s="83"/>
      <c r="G103" s="83"/>
      <c r="H103" s="83"/>
    </row>
    <row r="104" spans="1:8">
      <c r="A104" s="83"/>
      <c r="B104" s="82"/>
      <c r="C104" s="82"/>
      <c r="D104" s="82"/>
      <c r="E104" s="82"/>
      <c r="F104" s="83"/>
      <c r="G104" s="83"/>
      <c r="H104" s="83"/>
    </row>
    <row r="105" spans="1:8">
      <c r="A105" s="83"/>
      <c r="B105" s="82"/>
      <c r="C105" s="82"/>
      <c r="D105" s="82"/>
      <c r="E105" s="82"/>
      <c r="F105" s="83"/>
      <c r="G105" s="83"/>
      <c r="H105" s="83"/>
    </row>
    <row r="106" spans="1:8">
      <c r="A106" s="83"/>
      <c r="B106" s="82"/>
      <c r="C106" s="82"/>
      <c r="D106" s="82"/>
      <c r="E106" s="82"/>
      <c r="F106" s="83"/>
      <c r="G106" s="83"/>
      <c r="H106" s="83"/>
    </row>
    <row r="107" spans="1:8">
      <c r="A107" s="83"/>
      <c r="B107" s="82"/>
      <c r="C107" s="82"/>
      <c r="D107" s="82"/>
      <c r="E107" s="82"/>
      <c r="F107" s="83"/>
      <c r="G107" s="83"/>
      <c r="H107" s="83"/>
    </row>
    <row r="108" spans="1:8">
      <c r="A108" s="83"/>
      <c r="B108" s="82"/>
      <c r="C108" s="82"/>
      <c r="D108" s="82"/>
      <c r="E108" s="82"/>
      <c r="F108" s="83"/>
      <c r="G108" s="83"/>
      <c r="H108" s="83"/>
    </row>
    <row r="109" spans="1:8">
      <c r="A109" s="83"/>
      <c r="B109" s="82"/>
      <c r="C109" s="82"/>
      <c r="D109" s="82"/>
      <c r="E109" s="82"/>
      <c r="F109" s="83"/>
      <c r="G109" s="83"/>
      <c r="H109" s="83"/>
    </row>
    <row r="110" spans="1:8">
      <c r="A110" s="83"/>
      <c r="B110" s="82"/>
      <c r="C110" s="82"/>
      <c r="D110" s="82"/>
      <c r="E110" s="82"/>
      <c r="F110" s="83"/>
      <c r="G110" s="83"/>
      <c r="H110" s="83"/>
    </row>
    <row r="111" spans="1:8">
      <c r="A111" s="83"/>
      <c r="B111" s="82"/>
      <c r="C111" s="82"/>
      <c r="D111" s="82"/>
      <c r="E111" s="82"/>
      <c r="F111" s="83"/>
      <c r="G111" s="83"/>
      <c r="H111" s="83"/>
    </row>
    <row r="112" spans="1:8">
      <c r="A112" s="83"/>
      <c r="B112" s="82"/>
      <c r="C112" s="82"/>
      <c r="D112" s="82"/>
      <c r="E112" s="82"/>
      <c r="F112" s="83"/>
      <c r="G112" s="83"/>
      <c r="H112" s="83"/>
    </row>
    <row r="113" spans="1:8">
      <c r="A113" s="83"/>
      <c r="B113" s="82"/>
      <c r="C113" s="82"/>
      <c r="D113" s="82"/>
      <c r="E113" s="82"/>
      <c r="F113" s="83"/>
      <c r="G113" s="83"/>
      <c r="H113" s="83"/>
    </row>
    <row r="114" spans="1:8">
      <c r="A114" s="83"/>
      <c r="B114" s="82"/>
      <c r="C114" s="82"/>
      <c r="D114" s="82"/>
      <c r="E114" s="82"/>
      <c r="F114" s="83"/>
      <c r="G114" s="83"/>
      <c r="H114" s="83"/>
    </row>
    <row r="115" spans="1:8">
      <c r="A115" s="83"/>
      <c r="B115" s="82"/>
      <c r="C115" s="82"/>
      <c r="D115" s="82"/>
      <c r="E115" s="82"/>
      <c r="F115" s="83"/>
      <c r="G115" s="83"/>
      <c r="H115" s="83"/>
    </row>
    <row r="116" spans="1:8">
      <c r="A116" s="83"/>
      <c r="B116" s="82"/>
      <c r="C116" s="82"/>
      <c r="D116" s="82"/>
      <c r="E116" s="82"/>
      <c r="F116" s="83"/>
      <c r="G116" s="83"/>
      <c r="H116" s="83"/>
    </row>
    <row r="117" spans="1:8">
      <c r="A117" s="83"/>
      <c r="B117" s="82"/>
      <c r="C117" s="82"/>
      <c r="D117" s="82"/>
      <c r="E117" s="82"/>
      <c r="F117" s="83"/>
      <c r="G117" s="83"/>
      <c r="H117" s="83"/>
    </row>
    <row r="118" spans="1:8">
      <c r="A118" s="83"/>
      <c r="B118" s="82"/>
      <c r="C118" s="82"/>
      <c r="D118" s="82"/>
      <c r="E118" s="82"/>
      <c r="F118" s="83"/>
      <c r="G118" s="83"/>
      <c r="H118" s="83"/>
    </row>
    <row r="119" spans="1:8">
      <c r="A119" s="83"/>
      <c r="B119" s="82"/>
      <c r="C119" s="82"/>
      <c r="D119" s="82"/>
      <c r="E119" s="82"/>
      <c r="F119" s="83"/>
      <c r="G119" s="83"/>
      <c r="H119" s="83"/>
    </row>
    <row r="120" spans="1:8">
      <c r="A120" s="83"/>
      <c r="B120" s="82"/>
      <c r="C120" s="82"/>
      <c r="D120" s="82"/>
      <c r="E120" s="82"/>
      <c r="F120" s="83"/>
      <c r="G120" s="83"/>
      <c r="H120" s="83"/>
    </row>
    <row r="121" spans="1:8">
      <c r="A121" s="83"/>
      <c r="B121" s="82"/>
      <c r="C121" s="82"/>
      <c r="D121" s="82"/>
      <c r="E121" s="82"/>
      <c r="F121" s="83"/>
      <c r="G121" s="83"/>
      <c r="H121" s="83"/>
    </row>
    <row r="122" spans="1:8">
      <c r="A122" s="83"/>
      <c r="B122" s="82"/>
      <c r="C122" s="82"/>
      <c r="D122" s="82"/>
      <c r="E122" s="82"/>
      <c r="F122" s="83"/>
      <c r="G122" s="83"/>
      <c r="H122" s="83"/>
    </row>
    <row r="123" spans="1:8">
      <c r="A123" s="83"/>
      <c r="B123" s="82"/>
      <c r="C123" s="82"/>
      <c r="D123" s="82"/>
      <c r="E123" s="82"/>
      <c r="F123" s="83"/>
      <c r="G123" s="83"/>
      <c r="H123" s="83"/>
    </row>
    <row r="124" spans="1:8">
      <c r="A124" s="83"/>
      <c r="B124" s="82"/>
      <c r="C124" s="82"/>
      <c r="D124" s="82"/>
      <c r="E124" s="82"/>
      <c r="F124" s="83"/>
      <c r="G124" s="83"/>
      <c r="H124" s="83"/>
    </row>
    <row r="125" spans="1:8">
      <c r="A125" s="83"/>
      <c r="B125" s="82"/>
      <c r="C125" s="82"/>
      <c r="D125" s="82"/>
      <c r="E125" s="82"/>
      <c r="F125" s="83"/>
      <c r="G125" s="83"/>
      <c r="H125" s="83"/>
    </row>
    <row r="126" spans="1:8">
      <c r="A126" s="83"/>
      <c r="B126" s="82"/>
      <c r="C126" s="82"/>
      <c r="D126" s="82"/>
      <c r="E126" s="82"/>
      <c r="F126" s="83"/>
      <c r="G126" s="83"/>
      <c r="H126" s="83"/>
    </row>
    <row r="127" spans="1:8">
      <c r="A127" s="83"/>
      <c r="B127" s="82"/>
      <c r="C127" s="82"/>
      <c r="D127" s="82"/>
      <c r="E127" s="82"/>
      <c r="F127" s="83"/>
      <c r="G127" s="83"/>
      <c r="H127" s="83"/>
    </row>
    <row r="128" spans="1:8">
      <c r="A128" s="83"/>
      <c r="B128" s="82"/>
      <c r="C128" s="82"/>
      <c r="D128" s="82"/>
      <c r="E128" s="82"/>
      <c r="F128" s="83"/>
      <c r="G128" s="83"/>
      <c r="H128" s="83"/>
    </row>
    <row r="129" spans="1:8">
      <c r="A129" s="83"/>
      <c r="B129" s="82"/>
      <c r="C129" s="82"/>
      <c r="D129" s="82"/>
      <c r="E129" s="82"/>
      <c r="F129" s="83"/>
      <c r="G129" s="83"/>
      <c r="H129" s="83"/>
    </row>
    <row r="130" spans="1:8">
      <c r="A130" s="83"/>
      <c r="B130" s="82"/>
      <c r="C130" s="82"/>
      <c r="D130" s="82"/>
      <c r="E130" s="82"/>
      <c r="F130" s="83"/>
      <c r="G130" s="83"/>
      <c r="H130" s="83"/>
    </row>
    <row r="131" spans="1:8">
      <c r="A131" s="83"/>
      <c r="B131" s="82"/>
      <c r="C131" s="82"/>
      <c r="D131" s="82"/>
      <c r="E131" s="82"/>
      <c r="F131" s="83"/>
      <c r="G131" s="83"/>
      <c r="H131" s="83"/>
    </row>
    <row r="132" spans="1:8">
      <c r="A132" s="83"/>
      <c r="B132" s="82"/>
      <c r="C132" s="82"/>
      <c r="D132" s="82"/>
      <c r="E132" s="82"/>
      <c r="F132" s="83"/>
      <c r="G132" s="83"/>
      <c r="H132" s="83"/>
    </row>
    <row r="133" spans="1:8">
      <c r="A133" s="83"/>
      <c r="B133" s="82"/>
      <c r="C133" s="82"/>
      <c r="D133" s="82"/>
      <c r="E133" s="82"/>
      <c r="F133" s="83"/>
      <c r="G133" s="83"/>
      <c r="H133" s="83"/>
    </row>
    <row r="134" spans="1:8">
      <c r="A134" s="83"/>
      <c r="B134" s="82"/>
      <c r="C134" s="82"/>
      <c r="D134" s="82"/>
      <c r="E134" s="82"/>
      <c r="F134" s="83"/>
      <c r="G134" s="83"/>
      <c r="H134" s="83"/>
    </row>
    <row r="135" spans="1:8">
      <c r="A135" s="83"/>
      <c r="B135" s="82"/>
      <c r="C135" s="82"/>
      <c r="D135" s="82"/>
      <c r="E135" s="82"/>
      <c r="F135" s="83"/>
      <c r="G135" s="83"/>
      <c r="H135" s="83"/>
    </row>
    <row r="136" spans="1:8">
      <c r="A136" s="83"/>
      <c r="B136" s="82"/>
      <c r="C136" s="82"/>
      <c r="D136" s="82"/>
      <c r="E136" s="82"/>
      <c r="F136" s="83"/>
      <c r="G136" s="83"/>
      <c r="H136" s="83"/>
    </row>
    <row r="137" spans="1:8">
      <c r="A137" s="83"/>
      <c r="B137" s="82"/>
      <c r="C137" s="82"/>
      <c r="D137" s="82"/>
      <c r="E137" s="82"/>
      <c r="F137" s="83"/>
      <c r="G137" s="83"/>
      <c r="H137" s="83"/>
    </row>
    <row r="138" spans="1:8">
      <c r="A138" s="83"/>
      <c r="B138" s="82"/>
      <c r="C138" s="82"/>
      <c r="D138" s="82"/>
      <c r="E138" s="82"/>
      <c r="F138" s="83"/>
      <c r="G138" s="83"/>
      <c r="H138" s="83"/>
    </row>
    <row r="139" spans="1:8">
      <c r="A139" s="83"/>
      <c r="B139" s="82"/>
      <c r="C139" s="82"/>
      <c r="D139" s="82"/>
      <c r="E139" s="82"/>
      <c r="F139" s="83"/>
      <c r="G139" s="83"/>
      <c r="H139" s="83"/>
    </row>
    <row r="140" spans="1:8">
      <c r="A140" s="83"/>
      <c r="B140" s="82"/>
      <c r="C140" s="82"/>
      <c r="D140" s="82"/>
      <c r="E140" s="82"/>
      <c r="F140" s="83"/>
      <c r="G140" s="83"/>
      <c r="H140" s="83"/>
    </row>
    <row r="141" spans="1:8">
      <c r="A141" s="83"/>
      <c r="B141" s="82"/>
      <c r="C141" s="82"/>
      <c r="D141" s="82"/>
      <c r="E141" s="82"/>
      <c r="F141" s="83"/>
      <c r="G141" s="83"/>
      <c r="H141" s="83"/>
    </row>
    <row r="142" spans="1:8">
      <c r="A142" s="83"/>
      <c r="B142" s="82"/>
      <c r="C142" s="82"/>
      <c r="D142" s="82"/>
      <c r="E142" s="82"/>
      <c r="F142" s="83"/>
      <c r="G142" s="83"/>
      <c r="H142" s="83"/>
    </row>
    <row r="143" spans="1:8">
      <c r="A143" s="83"/>
      <c r="B143" s="82"/>
      <c r="C143" s="82"/>
      <c r="D143" s="82"/>
      <c r="E143" s="82"/>
      <c r="F143" s="83"/>
      <c r="G143" s="83"/>
      <c r="H143" s="83"/>
    </row>
    <row r="144" spans="1:8">
      <c r="A144" s="83"/>
      <c r="B144" s="82"/>
      <c r="C144" s="82"/>
      <c r="D144" s="82"/>
      <c r="E144" s="82"/>
      <c r="F144" s="83"/>
      <c r="G144" s="83"/>
      <c r="H144" s="83"/>
    </row>
    <row r="145" spans="1:8">
      <c r="A145" s="83"/>
      <c r="B145" s="82"/>
      <c r="C145" s="82"/>
      <c r="D145" s="82"/>
      <c r="E145" s="82"/>
      <c r="F145" s="83"/>
      <c r="G145" s="83"/>
      <c r="H145" s="83"/>
    </row>
    <row r="146" spans="1:8">
      <c r="A146" s="83"/>
      <c r="B146" s="82"/>
      <c r="C146" s="82"/>
      <c r="D146" s="82"/>
      <c r="E146" s="82"/>
      <c r="F146" s="83"/>
      <c r="G146" s="83"/>
      <c r="H146" s="83"/>
    </row>
    <row r="147" spans="1:8">
      <c r="A147" s="83"/>
      <c r="B147" s="82"/>
      <c r="C147" s="82"/>
      <c r="D147" s="82"/>
      <c r="E147" s="82"/>
      <c r="F147" s="83"/>
      <c r="G147" s="83"/>
      <c r="H147" s="83"/>
    </row>
    <row r="148" spans="1:8">
      <c r="A148" s="83"/>
      <c r="B148" s="82"/>
      <c r="C148" s="82"/>
      <c r="D148" s="82"/>
      <c r="E148" s="82"/>
      <c r="F148" s="83"/>
      <c r="G148" s="83"/>
      <c r="H148" s="83"/>
    </row>
    <row r="149" spans="1:8">
      <c r="A149" s="83"/>
      <c r="B149" s="82"/>
      <c r="C149" s="82"/>
      <c r="D149" s="82"/>
      <c r="E149" s="82"/>
      <c r="F149" s="83"/>
      <c r="G149" s="83"/>
      <c r="H149" s="83"/>
    </row>
    <row r="150" spans="1:8">
      <c r="A150" s="83"/>
      <c r="B150" s="82"/>
      <c r="C150" s="82"/>
      <c r="D150" s="82"/>
      <c r="E150" s="82"/>
      <c r="F150" s="83"/>
      <c r="G150" s="83"/>
      <c r="H150" s="83"/>
    </row>
    <row r="151" spans="1:8">
      <c r="A151" s="83"/>
      <c r="B151" s="82"/>
      <c r="C151" s="82"/>
      <c r="D151" s="82"/>
      <c r="E151" s="82"/>
      <c r="F151" s="83"/>
      <c r="G151" s="83"/>
      <c r="H151" s="83"/>
    </row>
    <row r="152" spans="1:8">
      <c r="A152" s="83"/>
      <c r="B152" s="82"/>
      <c r="C152" s="82"/>
      <c r="D152" s="82"/>
      <c r="E152" s="82"/>
      <c r="F152" s="83"/>
      <c r="G152" s="83"/>
      <c r="H152" s="83"/>
    </row>
    <row r="153" spans="1:8">
      <c r="A153" s="83"/>
      <c r="B153" s="82"/>
      <c r="C153" s="82"/>
      <c r="D153" s="82"/>
      <c r="E153" s="82"/>
      <c r="F153" s="83"/>
      <c r="G153" s="83"/>
      <c r="H153" s="83"/>
    </row>
    <row r="154" spans="1:8">
      <c r="A154" s="83"/>
      <c r="B154" s="82"/>
      <c r="C154" s="82"/>
      <c r="D154" s="82"/>
      <c r="E154" s="82"/>
      <c r="F154" s="83"/>
      <c r="G154" s="83"/>
      <c r="H154" s="83"/>
    </row>
    <row r="155" spans="1:8">
      <c r="A155" s="83"/>
      <c r="B155" s="82"/>
      <c r="C155" s="82"/>
      <c r="D155" s="82"/>
      <c r="E155" s="82"/>
      <c r="F155" s="83"/>
      <c r="G155" s="83"/>
      <c r="H155" s="83"/>
    </row>
    <row r="156" spans="1:8">
      <c r="A156" s="83"/>
      <c r="B156" s="82"/>
      <c r="C156" s="82"/>
      <c r="D156" s="82"/>
      <c r="E156" s="82"/>
      <c r="F156" s="83"/>
      <c r="G156" s="83"/>
      <c r="H156" s="83"/>
    </row>
    <row r="157" spans="1:8">
      <c r="A157" s="83"/>
      <c r="B157" s="82"/>
      <c r="C157" s="82"/>
      <c r="D157" s="82"/>
      <c r="E157" s="82"/>
      <c r="F157" s="83"/>
      <c r="G157" s="83"/>
      <c r="H157" s="83"/>
    </row>
    <row r="158" spans="1:8">
      <c r="A158" s="83"/>
      <c r="B158" s="82"/>
      <c r="C158" s="82"/>
      <c r="D158" s="82"/>
      <c r="E158" s="82"/>
      <c r="F158" s="83"/>
      <c r="G158" s="83"/>
      <c r="H158" s="83"/>
    </row>
    <row r="159" spans="1:8">
      <c r="A159" s="83"/>
      <c r="B159" s="82"/>
      <c r="C159" s="82"/>
      <c r="D159" s="82"/>
      <c r="E159" s="82"/>
      <c r="F159" s="83"/>
      <c r="G159" s="83"/>
      <c r="H159" s="83"/>
    </row>
    <row r="160" spans="1:8">
      <c r="A160" s="83"/>
      <c r="B160" s="82"/>
      <c r="C160" s="82"/>
      <c r="D160" s="82"/>
      <c r="E160" s="82"/>
      <c r="F160" s="83"/>
      <c r="G160" s="83"/>
      <c r="H160" s="83"/>
    </row>
    <row r="161" spans="1:8">
      <c r="A161" s="83"/>
      <c r="B161" s="82"/>
      <c r="C161" s="82"/>
      <c r="D161" s="82"/>
      <c r="E161" s="82"/>
      <c r="F161" s="83"/>
      <c r="G161" s="83"/>
      <c r="H161" s="83"/>
    </row>
    <row r="162" spans="1:8">
      <c r="A162" s="83"/>
      <c r="B162" s="82"/>
      <c r="C162" s="82"/>
      <c r="D162" s="82"/>
      <c r="E162" s="82"/>
      <c r="F162" s="83"/>
      <c r="G162" s="83"/>
      <c r="H162" s="83"/>
    </row>
    <row r="163" spans="1:8">
      <c r="A163" s="83"/>
      <c r="B163" s="82"/>
      <c r="C163" s="82"/>
      <c r="D163" s="82"/>
      <c r="E163" s="82"/>
      <c r="F163" s="83"/>
      <c r="G163" s="83"/>
      <c r="H163" s="83"/>
    </row>
    <row r="164" spans="1:8">
      <c r="A164" s="83"/>
      <c r="B164" s="82"/>
      <c r="C164" s="82"/>
      <c r="D164" s="82"/>
      <c r="E164" s="82"/>
      <c r="F164" s="83"/>
      <c r="G164" s="83"/>
      <c r="H164" s="83"/>
    </row>
    <row r="165" spans="1:8">
      <c r="A165" s="83"/>
      <c r="B165" s="82"/>
      <c r="C165" s="82"/>
      <c r="D165" s="82"/>
      <c r="E165" s="82"/>
      <c r="F165" s="83"/>
      <c r="G165" s="83"/>
      <c r="H165" s="83"/>
    </row>
    <row r="166" spans="1:8">
      <c r="A166" s="83"/>
      <c r="B166" s="82"/>
      <c r="C166" s="82"/>
      <c r="D166" s="82"/>
      <c r="E166" s="82"/>
      <c r="F166" s="83"/>
      <c r="G166" s="83"/>
      <c r="H166" s="83"/>
    </row>
    <row r="167" spans="1:8">
      <c r="A167" s="83"/>
      <c r="B167" s="82"/>
      <c r="C167" s="82"/>
      <c r="D167" s="82"/>
      <c r="E167" s="82"/>
      <c r="F167" s="83"/>
      <c r="G167" s="83"/>
      <c r="H167" s="83"/>
    </row>
    <row r="168" spans="1:8">
      <c r="A168" s="83"/>
      <c r="B168" s="82"/>
      <c r="C168" s="82"/>
      <c r="D168" s="82"/>
      <c r="E168" s="82"/>
      <c r="F168" s="83"/>
      <c r="G168" s="83"/>
      <c r="H168" s="83"/>
    </row>
    <row r="169" spans="1:8">
      <c r="A169" s="83"/>
      <c r="B169" s="82"/>
      <c r="C169" s="82"/>
      <c r="D169" s="82"/>
      <c r="E169" s="82"/>
      <c r="F169" s="83"/>
      <c r="G169" s="83"/>
      <c r="H169" s="83"/>
    </row>
    <row r="170" spans="1:8">
      <c r="A170" s="83"/>
      <c r="B170" s="82"/>
      <c r="C170" s="82"/>
      <c r="D170" s="82"/>
      <c r="E170" s="82"/>
      <c r="F170" s="83"/>
      <c r="G170" s="83"/>
      <c r="H170" s="83"/>
    </row>
    <row r="171" spans="1:8">
      <c r="A171" s="83"/>
      <c r="B171" s="82"/>
      <c r="C171" s="82"/>
      <c r="D171" s="82"/>
      <c r="E171" s="82"/>
      <c r="F171" s="83"/>
      <c r="G171" s="83"/>
      <c r="H171" s="83"/>
    </row>
    <row r="172" spans="1:8">
      <c r="A172" s="83"/>
      <c r="B172" s="82"/>
      <c r="C172" s="82"/>
      <c r="D172" s="82"/>
      <c r="E172" s="82"/>
      <c r="F172" s="83"/>
      <c r="G172" s="83"/>
      <c r="H172" s="83"/>
    </row>
    <row r="173" spans="1:8">
      <c r="A173" s="83"/>
      <c r="B173" s="82"/>
      <c r="C173" s="82"/>
      <c r="D173" s="82"/>
      <c r="E173" s="82"/>
      <c r="F173" s="83"/>
      <c r="G173" s="83"/>
      <c r="H173" s="83"/>
    </row>
    <row r="174" spans="1:8">
      <c r="A174" s="83"/>
      <c r="B174" s="82"/>
      <c r="C174" s="82"/>
      <c r="D174" s="82"/>
      <c r="E174" s="82"/>
      <c r="F174" s="83"/>
      <c r="G174" s="83"/>
      <c r="H174" s="83"/>
    </row>
    <row r="175" spans="1:8">
      <c r="A175" s="83"/>
      <c r="B175" s="82"/>
      <c r="C175" s="82"/>
      <c r="D175" s="82"/>
      <c r="E175" s="82"/>
      <c r="F175" s="83"/>
      <c r="G175" s="83"/>
      <c r="H175" s="83"/>
    </row>
    <row r="176" spans="1:8">
      <c r="A176" s="83"/>
      <c r="B176" s="82"/>
      <c r="C176" s="82"/>
      <c r="D176" s="82"/>
      <c r="E176" s="82"/>
      <c r="F176" s="83"/>
      <c r="G176" s="83"/>
      <c r="H176" s="83"/>
    </row>
    <row r="177" spans="1:8">
      <c r="A177" s="83"/>
      <c r="B177" s="82"/>
      <c r="C177" s="82"/>
      <c r="D177" s="82"/>
      <c r="E177" s="82"/>
      <c r="F177" s="83"/>
      <c r="G177" s="83"/>
      <c r="H177" s="83"/>
    </row>
    <row r="178" spans="1:8">
      <c r="A178" s="83"/>
      <c r="B178" s="82"/>
      <c r="C178" s="82"/>
      <c r="D178" s="82"/>
      <c r="E178" s="82"/>
      <c r="F178" s="83"/>
      <c r="G178" s="83"/>
      <c r="H178" s="83"/>
    </row>
    <row r="179" spans="1:8">
      <c r="A179" s="83"/>
      <c r="B179" s="82"/>
      <c r="C179" s="82"/>
      <c r="D179" s="82"/>
      <c r="E179" s="82"/>
      <c r="F179" s="83"/>
      <c r="G179" s="83"/>
      <c r="H179" s="83"/>
    </row>
    <row r="180" spans="1:8">
      <c r="A180" s="83"/>
      <c r="B180" s="82"/>
      <c r="C180" s="82"/>
      <c r="D180" s="82"/>
      <c r="E180" s="82"/>
      <c r="F180" s="83"/>
      <c r="G180" s="83"/>
      <c r="H180" s="83"/>
    </row>
    <row r="181" spans="1:8">
      <c r="A181" s="83"/>
      <c r="B181" s="82"/>
      <c r="C181" s="82"/>
      <c r="D181" s="82"/>
      <c r="E181" s="82"/>
      <c r="F181" s="83"/>
      <c r="G181" s="83"/>
      <c r="H181" s="83"/>
    </row>
    <row r="182" spans="1:8">
      <c r="A182" s="83"/>
      <c r="B182" s="82"/>
      <c r="C182" s="82"/>
      <c r="D182" s="82"/>
      <c r="E182" s="82"/>
      <c r="F182" s="83"/>
      <c r="G182" s="83"/>
      <c r="H182" s="83"/>
    </row>
    <row r="183" spans="1:8">
      <c r="A183" s="83"/>
      <c r="B183" s="82"/>
      <c r="C183" s="82"/>
      <c r="D183" s="82"/>
      <c r="E183" s="82"/>
      <c r="F183" s="83"/>
      <c r="G183" s="83"/>
      <c r="H183" s="83"/>
    </row>
    <row r="184" spans="1:8">
      <c r="A184" s="83"/>
      <c r="B184" s="82"/>
      <c r="C184" s="82"/>
      <c r="D184" s="82"/>
      <c r="E184" s="82"/>
      <c r="F184" s="83"/>
      <c r="G184" s="83"/>
      <c r="H184" s="83"/>
    </row>
    <row r="185" spans="1:8">
      <c r="A185" s="83"/>
      <c r="B185" s="82"/>
      <c r="C185" s="82"/>
      <c r="D185" s="82"/>
      <c r="E185" s="82"/>
      <c r="F185" s="83"/>
      <c r="G185" s="83"/>
      <c r="H185" s="83"/>
    </row>
    <row r="186" spans="1:8">
      <c r="A186" s="83"/>
      <c r="B186" s="82"/>
      <c r="C186" s="82"/>
      <c r="D186" s="82"/>
      <c r="E186" s="82"/>
      <c r="F186" s="83"/>
      <c r="G186" s="83"/>
      <c r="H186" s="83"/>
    </row>
    <row r="187" spans="1:8">
      <c r="A187" s="83"/>
      <c r="B187" s="82"/>
      <c r="C187" s="82"/>
      <c r="D187" s="82"/>
      <c r="E187" s="82"/>
      <c r="F187" s="83"/>
      <c r="G187" s="83"/>
      <c r="H187" s="83"/>
    </row>
    <row r="188" spans="1:8">
      <c r="A188" s="83"/>
      <c r="B188" s="82"/>
      <c r="C188" s="82"/>
      <c r="D188" s="82"/>
      <c r="E188" s="82"/>
      <c r="F188" s="83"/>
      <c r="G188" s="83"/>
      <c r="H188" s="83"/>
    </row>
    <row r="189" spans="1:8">
      <c r="A189" s="83"/>
      <c r="B189" s="82"/>
      <c r="C189" s="82"/>
      <c r="D189" s="82"/>
      <c r="E189" s="82"/>
      <c r="F189" s="83"/>
      <c r="G189" s="83"/>
      <c r="H189" s="83"/>
    </row>
    <row r="190" spans="1:8">
      <c r="A190" s="83"/>
      <c r="B190" s="82"/>
      <c r="C190" s="82"/>
      <c r="D190" s="82"/>
      <c r="E190" s="82"/>
      <c r="F190" s="83"/>
      <c r="G190" s="83"/>
      <c r="H190" s="83"/>
    </row>
    <row r="191" spans="1:8">
      <c r="A191" s="83"/>
      <c r="B191" s="82"/>
      <c r="C191" s="82"/>
      <c r="D191" s="82"/>
      <c r="E191" s="82"/>
      <c r="F191" s="83"/>
      <c r="G191" s="83"/>
      <c r="H191" s="83"/>
    </row>
    <row r="192" spans="1:8">
      <c r="A192" s="83"/>
      <c r="B192" s="82"/>
      <c r="C192" s="82"/>
      <c r="D192" s="82"/>
      <c r="E192" s="82"/>
      <c r="F192" s="83"/>
      <c r="G192" s="83"/>
      <c r="H192" s="83"/>
    </row>
    <row r="193" spans="1:8">
      <c r="A193" s="83"/>
      <c r="B193" s="82"/>
      <c r="C193" s="82"/>
      <c r="D193" s="82"/>
      <c r="E193" s="82"/>
      <c r="F193" s="83"/>
      <c r="G193" s="83"/>
      <c r="H193" s="83"/>
    </row>
    <row r="194" spans="1:8">
      <c r="A194" s="83"/>
      <c r="B194" s="82"/>
      <c r="C194" s="82"/>
      <c r="D194" s="82"/>
      <c r="E194" s="82"/>
      <c r="F194" s="83"/>
      <c r="G194" s="83"/>
      <c r="H194" s="83"/>
    </row>
    <row r="195" spans="1:8">
      <c r="A195" s="83"/>
      <c r="B195" s="82"/>
      <c r="C195" s="82"/>
      <c r="D195" s="82"/>
      <c r="E195" s="82"/>
      <c r="F195" s="83"/>
      <c r="G195" s="83"/>
      <c r="H195" s="83"/>
    </row>
    <row r="196" spans="1:8">
      <c r="A196" s="83"/>
      <c r="B196" s="82"/>
      <c r="C196" s="82"/>
      <c r="D196" s="82"/>
      <c r="E196" s="82"/>
      <c r="F196" s="83"/>
      <c r="G196" s="83"/>
      <c r="H196" s="83"/>
    </row>
    <row r="197" spans="1:8">
      <c r="A197" s="83"/>
      <c r="B197" s="82"/>
      <c r="C197" s="82"/>
      <c r="D197" s="82"/>
      <c r="E197" s="82"/>
      <c r="F197" s="83"/>
      <c r="G197" s="83"/>
      <c r="H197" s="83"/>
    </row>
    <row r="198" spans="1:8">
      <c r="A198" s="83"/>
      <c r="B198" s="82"/>
      <c r="C198" s="82"/>
      <c r="D198" s="82"/>
      <c r="E198" s="82"/>
      <c r="F198" s="83"/>
      <c r="G198" s="83"/>
      <c r="H198" s="83"/>
    </row>
    <row r="199" spans="1:8">
      <c r="A199" s="83"/>
      <c r="B199" s="82"/>
      <c r="C199" s="82"/>
      <c r="D199" s="82"/>
      <c r="E199" s="82"/>
      <c r="F199" s="83"/>
      <c r="G199" s="83"/>
      <c r="H199" s="83"/>
    </row>
    <row r="200" spans="1:8">
      <c r="A200" s="83"/>
      <c r="B200" s="82"/>
      <c r="C200" s="82"/>
      <c r="D200" s="82"/>
      <c r="E200" s="82"/>
      <c r="F200" s="83"/>
      <c r="G200" s="83"/>
      <c r="H200" s="83"/>
    </row>
    <row r="201" spans="1:8">
      <c r="A201" s="83"/>
      <c r="B201" s="82"/>
      <c r="C201" s="82"/>
      <c r="D201" s="82"/>
      <c r="E201" s="82"/>
      <c r="F201" s="83"/>
      <c r="G201" s="83"/>
      <c r="H201" s="83"/>
    </row>
    <row r="202" spans="1:8">
      <c r="A202" s="83"/>
      <c r="B202" s="82"/>
      <c r="C202" s="82"/>
      <c r="D202" s="82"/>
      <c r="E202" s="82"/>
      <c r="F202" s="83"/>
      <c r="G202" s="83"/>
      <c r="H202" s="83"/>
    </row>
    <row r="203" spans="1:8">
      <c r="A203" s="83"/>
      <c r="B203" s="82"/>
      <c r="C203" s="82"/>
      <c r="D203" s="82"/>
      <c r="E203" s="82"/>
      <c r="F203" s="83"/>
      <c r="G203" s="83"/>
      <c r="H203" s="83"/>
    </row>
    <row r="204" spans="1:8">
      <c r="A204" s="83"/>
      <c r="B204" s="82"/>
      <c r="C204" s="82"/>
      <c r="D204" s="82"/>
      <c r="E204" s="82"/>
      <c r="F204" s="83"/>
      <c r="G204" s="83"/>
      <c r="H204" s="83"/>
    </row>
    <row r="205" spans="1:8">
      <c r="A205" s="83"/>
      <c r="B205" s="82"/>
      <c r="C205" s="82"/>
      <c r="D205" s="82"/>
      <c r="E205" s="82"/>
      <c r="F205" s="83"/>
      <c r="G205" s="83"/>
      <c r="H205" s="83"/>
    </row>
    <row r="206" spans="1:8">
      <c r="A206" s="83"/>
      <c r="B206" s="82"/>
      <c r="C206" s="82"/>
      <c r="D206" s="82"/>
      <c r="E206" s="82"/>
      <c r="F206" s="83"/>
      <c r="G206" s="83"/>
      <c r="H206" s="83"/>
    </row>
    <row r="207" spans="1:8">
      <c r="A207" s="83"/>
      <c r="B207" s="82"/>
      <c r="C207" s="82"/>
      <c r="D207" s="82"/>
      <c r="E207" s="82"/>
      <c r="F207" s="83"/>
      <c r="G207" s="83"/>
      <c r="H207" s="83"/>
    </row>
    <row r="208" spans="1:8">
      <c r="A208" s="83"/>
      <c r="B208" s="82"/>
      <c r="C208" s="82"/>
      <c r="D208" s="82"/>
      <c r="E208" s="82"/>
      <c r="F208" s="83"/>
      <c r="G208" s="83"/>
      <c r="H208" s="83"/>
    </row>
    <row r="209" spans="1:8">
      <c r="A209" s="83"/>
      <c r="B209" s="82"/>
      <c r="C209" s="82"/>
      <c r="D209" s="82"/>
      <c r="E209" s="82"/>
      <c r="F209" s="83"/>
      <c r="G209" s="83"/>
      <c r="H209" s="83"/>
    </row>
    <row r="210" spans="1:8">
      <c r="A210" s="83"/>
      <c r="B210" s="82"/>
      <c r="C210" s="82"/>
      <c r="D210" s="82"/>
      <c r="E210" s="82"/>
      <c r="F210" s="83"/>
      <c r="G210" s="83"/>
      <c r="H210" s="83"/>
    </row>
    <row r="211" spans="1:8">
      <c r="A211" s="83"/>
      <c r="B211" s="82"/>
      <c r="C211" s="82"/>
      <c r="D211" s="82"/>
      <c r="E211" s="82"/>
      <c r="F211" s="83"/>
      <c r="G211" s="83"/>
      <c r="H211" s="83"/>
    </row>
    <row r="212" spans="1:8">
      <c r="A212" s="83"/>
      <c r="B212" s="82"/>
      <c r="C212" s="82"/>
      <c r="D212" s="82"/>
      <c r="E212" s="82"/>
      <c r="F212" s="83"/>
      <c r="G212" s="83"/>
      <c r="H212" s="83"/>
    </row>
    <row r="213" spans="1:8">
      <c r="A213" s="83"/>
      <c r="B213" s="82"/>
      <c r="C213" s="82"/>
      <c r="D213" s="82"/>
      <c r="E213" s="82"/>
      <c r="F213" s="83"/>
      <c r="G213" s="83"/>
      <c r="H213" s="83"/>
    </row>
    <row r="214" spans="1:8">
      <c r="A214" s="83"/>
      <c r="B214" s="82"/>
      <c r="C214" s="82"/>
      <c r="D214" s="82"/>
      <c r="E214" s="82"/>
      <c r="F214" s="83"/>
      <c r="G214" s="83"/>
      <c r="H214" s="83"/>
    </row>
    <row r="215" spans="1:8">
      <c r="A215" s="83"/>
      <c r="B215" s="82"/>
      <c r="C215" s="82"/>
      <c r="D215" s="82"/>
      <c r="E215" s="82"/>
      <c r="F215" s="83"/>
      <c r="G215" s="83"/>
      <c r="H215" s="83"/>
    </row>
    <row r="216" spans="1:8">
      <c r="A216" s="83"/>
      <c r="B216" s="82"/>
      <c r="C216" s="82"/>
      <c r="D216" s="82"/>
      <c r="E216" s="82"/>
      <c r="F216" s="83"/>
      <c r="G216" s="83"/>
      <c r="H216" s="83"/>
    </row>
    <row r="217" spans="1:8">
      <c r="A217" s="83"/>
      <c r="B217" s="82"/>
      <c r="C217" s="82"/>
      <c r="D217" s="82"/>
      <c r="E217" s="82"/>
      <c r="F217" s="83"/>
      <c r="G217" s="83"/>
      <c r="H217" s="83"/>
    </row>
    <row r="218" spans="1:8">
      <c r="A218" s="83"/>
      <c r="B218" s="82"/>
      <c r="C218" s="82"/>
      <c r="D218" s="82"/>
      <c r="E218" s="82"/>
      <c r="F218" s="83"/>
      <c r="G218" s="83"/>
      <c r="H218" s="83"/>
    </row>
    <row r="219" spans="1:8">
      <c r="A219" s="83"/>
      <c r="B219" s="82"/>
      <c r="C219" s="82"/>
      <c r="D219" s="82"/>
      <c r="E219" s="82"/>
      <c r="F219" s="83"/>
      <c r="G219" s="83"/>
      <c r="H219" s="83"/>
    </row>
    <row r="220" spans="1:8">
      <c r="A220" s="83"/>
      <c r="B220" s="82"/>
      <c r="C220" s="82"/>
      <c r="D220" s="82"/>
      <c r="E220" s="82"/>
      <c r="F220" s="83"/>
      <c r="G220" s="83"/>
      <c r="H220" s="83"/>
    </row>
    <row r="221" spans="1:8">
      <c r="A221" s="83"/>
      <c r="B221" s="82"/>
      <c r="C221" s="82"/>
      <c r="D221" s="82"/>
      <c r="E221" s="82"/>
      <c r="F221" s="83"/>
      <c r="G221" s="83"/>
      <c r="H221" s="83"/>
    </row>
    <row r="222" spans="1:8">
      <c r="A222" s="83"/>
      <c r="B222" s="82"/>
      <c r="C222" s="82"/>
      <c r="D222" s="82"/>
      <c r="E222" s="82"/>
      <c r="F222" s="83"/>
      <c r="G222" s="83"/>
      <c r="H222" s="83"/>
    </row>
    <row r="223" spans="1:8">
      <c r="A223" s="83"/>
      <c r="B223" s="82"/>
      <c r="C223" s="82"/>
      <c r="D223" s="82"/>
      <c r="E223" s="82"/>
      <c r="F223" s="83"/>
      <c r="G223" s="83"/>
      <c r="H223" s="83"/>
    </row>
    <row r="224" spans="1:8">
      <c r="A224" s="83"/>
      <c r="B224" s="82"/>
      <c r="C224" s="82"/>
      <c r="D224" s="82"/>
      <c r="E224" s="82"/>
      <c r="F224" s="83"/>
      <c r="G224" s="83"/>
      <c r="H224" s="83"/>
    </row>
    <row r="225" spans="1:8">
      <c r="A225" s="83"/>
      <c r="B225" s="82"/>
      <c r="C225" s="82"/>
      <c r="D225" s="82"/>
      <c r="E225" s="82"/>
      <c r="F225" s="83"/>
      <c r="G225" s="83"/>
      <c r="H225" s="83"/>
    </row>
    <row r="226" spans="1:8">
      <c r="A226" s="83"/>
      <c r="B226" s="82"/>
      <c r="C226" s="82"/>
      <c r="D226" s="82"/>
      <c r="E226" s="82"/>
      <c r="F226" s="83"/>
      <c r="G226" s="83"/>
      <c r="H226" s="83"/>
    </row>
    <row r="227" spans="1:8">
      <c r="A227" s="83"/>
      <c r="B227" s="82"/>
      <c r="C227" s="82"/>
      <c r="D227" s="82"/>
      <c r="E227" s="82"/>
      <c r="F227" s="83"/>
      <c r="G227" s="83"/>
      <c r="H227" s="83"/>
    </row>
    <row r="228" spans="1:8">
      <c r="A228" s="83"/>
      <c r="B228" s="82"/>
      <c r="C228" s="82"/>
      <c r="D228" s="82"/>
      <c r="E228" s="82"/>
      <c r="F228" s="83"/>
      <c r="G228" s="83"/>
      <c r="H228" s="83"/>
    </row>
    <row r="229" spans="1:8">
      <c r="A229" s="83"/>
      <c r="B229" s="82"/>
      <c r="C229" s="82"/>
      <c r="D229" s="82"/>
      <c r="E229" s="82"/>
      <c r="F229" s="83"/>
      <c r="G229" s="83"/>
      <c r="H229" s="83"/>
    </row>
    <row r="230" spans="1:8">
      <c r="A230" s="83"/>
      <c r="B230" s="82"/>
      <c r="C230" s="82"/>
      <c r="D230" s="82"/>
      <c r="E230" s="82"/>
      <c r="F230" s="83"/>
      <c r="G230" s="83"/>
      <c r="H230" s="83"/>
    </row>
    <row r="231" spans="1:8">
      <c r="A231" s="83"/>
      <c r="B231" s="82"/>
      <c r="C231" s="82"/>
      <c r="D231" s="82"/>
      <c r="E231" s="82"/>
      <c r="F231" s="83"/>
      <c r="G231" s="83"/>
      <c r="H231" s="83"/>
    </row>
    <row r="232" spans="1:8">
      <c r="A232" s="83"/>
      <c r="B232" s="82"/>
      <c r="C232" s="82"/>
      <c r="D232" s="82"/>
      <c r="E232" s="82"/>
      <c r="F232" s="83"/>
      <c r="G232" s="83"/>
      <c r="H232" s="83"/>
    </row>
    <row r="233" spans="1:8">
      <c r="A233" s="83"/>
      <c r="B233" s="82"/>
      <c r="C233" s="82"/>
      <c r="D233" s="82"/>
      <c r="E233" s="82"/>
      <c r="F233" s="83"/>
      <c r="G233" s="83"/>
      <c r="H233" s="83"/>
    </row>
    <row r="234" spans="1:8">
      <c r="A234" s="83"/>
      <c r="B234" s="82"/>
      <c r="C234" s="82"/>
      <c r="D234" s="82"/>
      <c r="E234" s="82"/>
      <c r="F234" s="83"/>
      <c r="G234" s="83"/>
      <c r="H234" s="83"/>
    </row>
    <row r="235" spans="1:8">
      <c r="A235" s="83"/>
      <c r="B235" s="82"/>
      <c r="C235" s="82"/>
      <c r="D235" s="82"/>
      <c r="E235" s="82"/>
      <c r="F235" s="83"/>
      <c r="G235" s="83"/>
      <c r="H235" s="83"/>
    </row>
    <row r="236" spans="1:8">
      <c r="A236" s="83"/>
      <c r="B236" s="82"/>
      <c r="C236" s="82"/>
      <c r="D236" s="82"/>
      <c r="E236" s="82"/>
      <c r="F236" s="83"/>
      <c r="G236" s="83"/>
      <c r="H236" s="83"/>
    </row>
    <row r="237" spans="1:8">
      <c r="A237" s="83"/>
      <c r="B237" s="82"/>
      <c r="C237" s="82"/>
      <c r="D237" s="82"/>
      <c r="E237" s="82"/>
      <c r="F237" s="83"/>
      <c r="G237" s="83"/>
      <c r="H237" s="83"/>
    </row>
    <row r="238" spans="1:8">
      <c r="A238" s="83"/>
      <c r="B238" s="82"/>
      <c r="C238" s="82"/>
      <c r="D238" s="82"/>
      <c r="E238" s="82"/>
      <c r="F238" s="83"/>
      <c r="G238" s="83"/>
      <c r="H238" s="83"/>
    </row>
    <row r="239" spans="1:8">
      <c r="A239" s="83"/>
      <c r="B239" s="82"/>
      <c r="C239" s="82"/>
      <c r="D239" s="82"/>
      <c r="E239" s="82"/>
      <c r="F239" s="83"/>
      <c r="G239" s="83"/>
      <c r="H239" s="83"/>
    </row>
    <row r="240" spans="1:8">
      <c r="A240" s="83"/>
      <c r="B240" s="82"/>
      <c r="C240" s="82"/>
      <c r="D240" s="82"/>
      <c r="E240" s="82"/>
      <c r="F240" s="83"/>
      <c r="G240" s="83"/>
      <c r="H240" s="83"/>
    </row>
    <row r="241" spans="1:8">
      <c r="A241" s="83"/>
      <c r="B241" s="82"/>
      <c r="C241" s="82"/>
      <c r="D241" s="82"/>
      <c r="E241" s="82"/>
      <c r="F241" s="83"/>
      <c r="G241" s="83"/>
      <c r="H241" s="83"/>
    </row>
    <row r="242" spans="1:8">
      <c r="A242" s="83"/>
      <c r="B242" s="82"/>
      <c r="C242" s="82"/>
      <c r="D242" s="82"/>
      <c r="E242" s="82"/>
      <c r="F242" s="83"/>
      <c r="G242" s="83"/>
      <c r="H242" s="83"/>
    </row>
    <row r="243" spans="1:8">
      <c r="A243" s="83"/>
      <c r="B243" s="82"/>
      <c r="C243" s="82"/>
      <c r="D243" s="82"/>
      <c r="E243" s="82"/>
      <c r="F243" s="83"/>
      <c r="G243" s="83"/>
      <c r="H243" s="83"/>
    </row>
    <row r="244" spans="1:8">
      <c r="A244" s="83"/>
      <c r="B244" s="82"/>
      <c r="C244" s="82"/>
      <c r="D244" s="82"/>
      <c r="E244" s="82"/>
      <c r="F244" s="83"/>
      <c r="G244" s="83"/>
      <c r="H244" s="83"/>
    </row>
    <row r="245" spans="1:8">
      <c r="A245" s="83"/>
      <c r="B245" s="82"/>
      <c r="C245" s="82"/>
      <c r="D245" s="82"/>
      <c r="E245" s="82"/>
      <c r="F245" s="83"/>
      <c r="G245" s="83"/>
      <c r="H245" s="83"/>
    </row>
    <row r="246" spans="1:8">
      <c r="A246" s="83"/>
      <c r="B246" s="82"/>
      <c r="C246" s="82"/>
      <c r="D246" s="82"/>
      <c r="E246" s="82"/>
      <c r="F246" s="83"/>
      <c r="G246" s="83"/>
      <c r="H246" s="83"/>
    </row>
    <row r="247" spans="1:8">
      <c r="A247" s="83"/>
      <c r="B247" s="82"/>
      <c r="C247" s="82"/>
      <c r="D247" s="82"/>
      <c r="E247" s="82"/>
      <c r="F247" s="83"/>
      <c r="G247" s="83"/>
      <c r="H247" s="83"/>
    </row>
    <row r="248" spans="1:8">
      <c r="A248" s="83"/>
      <c r="B248" s="82"/>
      <c r="C248" s="82"/>
      <c r="D248" s="82"/>
      <c r="E248" s="82"/>
      <c r="F248" s="83"/>
      <c r="G248" s="83"/>
      <c r="H248" s="83"/>
    </row>
    <row r="249" spans="1:8">
      <c r="A249" s="83"/>
      <c r="B249" s="82"/>
      <c r="C249" s="82"/>
      <c r="D249" s="82"/>
      <c r="E249" s="82"/>
      <c r="F249" s="83"/>
      <c r="G249" s="83"/>
      <c r="H249" s="83"/>
    </row>
    <row r="250" spans="1:8">
      <c r="A250" s="83"/>
      <c r="B250" s="82"/>
      <c r="C250" s="82"/>
      <c r="D250" s="82"/>
      <c r="E250" s="82"/>
      <c r="F250" s="83"/>
      <c r="G250" s="83"/>
      <c r="H250" s="83"/>
    </row>
    <row r="251" spans="1:8">
      <c r="A251" s="83"/>
      <c r="B251" s="82"/>
      <c r="C251" s="82"/>
      <c r="D251" s="82"/>
      <c r="E251" s="82"/>
      <c r="F251" s="83"/>
      <c r="G251" s="83"/>
      <c r="H251" s="83"/>
    </row>
    <row r="252" spans="1:8">
      <c r="A252" s="83"/>
      <c r="B252" s="82"/>
      <c r="C252" s="82"/>
      <c r="D252" s="82"/>
      <c r="E252" s="82"/>
      <c r="F252" s="83"/>
      <c r="G252" s="83"/>
      <c r="H252" s="83"/>
    </row>
    <row r="253" spans="1:8">
      <c r="A253" s="83"/>
      <c r="B253" s="82"/>
      <c r="C253" s="82"/>
      <c r="D253" s="82"/>
      <c r="E253" s="82"/>
      <c r="F253" s="83"/>
      <c r="G253" s="83"/>
      <c r="H253" s="83"/>
    </row>
    <row r="254" spans="1:8">
      <c r="A254" s="83"/>
      <c r="B254" s="82"/>
      <c r="C254" s="82"/>
      <c r="D254" s="82"/>
      <c r="E254" s="82"/>
      <c r="F254" s="83"/>
      <c r="G254" s="83"/>
      <c r="H254" s="83"/>
    </row>
    <row r="255" spans="1:8">
      <c r="A255" s="83"/>
      <c r="B255" s="82"/>
      <c r="C255" s="82"/>
      <c r="D255" s="82"/>
      <c r="E255" s="82"/>
      <c r="F255" s="83"/>
      <c r="G255" s="83"/>
      <c r="H255" s="83"/>
    </row>
    <row r="256" spans="1:8">
      <c r="A256" s="83"/>
      <c r="B256" s="82"/>
      <c r="C256" s="82"/>
      <c r="D256" s="82"/>
      <c r="E256" s="82"/>
      <c r="F256" s="83"/>
      <c r="G256" s="83"/>
      <c r="H256" s="83"/>
    </row>
    <row r="257" spans="1:8">
      <c r="A257" s="83"/>
      <c r="B257" s="82"/>
      <c r="C257" s="82"/>
      <c r="D257" s="82"/>
      <c r="E257" s="82"/>
      <c r="F257" s="83"/>
      <c r="G257" s="83"/>
      <c r="H257" s="83"/>
    </row>
    <row r="258" spans="1:8">
      <c r="A258" s="83"/>
      <c r="B258" s="82"/>
      <c r="C258" s="82"/>
      <c r="D258" s="82"/>
      <c r="E258" s="82"/>
      <c r="F258" s="83"/>
      <c r="G258" s="83"/>
      <c r="H258" s="83"/>
    </row>
    <row r="259" spans="1:8">
      <c r="A259" s="83"/>
      <c r="B259" s="82"/>
      <c r="C259" s="82"/>
      <c r="D259" s="82"/>
      <c r="E259" s="82"/>
      <c r="F259" s="83"/>
      <c r="G259" s="83"/>
      <c r="H259" s="83"/>
    </row>
    <row r="260" spans="1:8">
      <c r="A260" s="83"/>
      <c r="B260" s="82"/>
      <c r="C260" s="82"/>
      <c r="D260" s="82"/>
      <c r="E260" s="82"/>
      <c r="F260" s="83"/>
      <c r="G260" s="83"/>
      <c r="H260" s="83"/>
    </row>
    <row r="261" spans="1:8">
      <c r="A261" s="83"/>
      <c r="B261" s="82"/>
      <c r="C261" s="82"/>
      <c r="D261" s="82"/>
      <c r="E261" s="82"/>
      <c r="F261" s="83"/>
      <c r="G261" s="83"/>
      <c r="H261" s="83"/>
    </row>
    <row r="262" spans="1:8">
      <c r="A262" s="83"/>
      <c r="B262" s="82"/>
      <c r="C262" s="82"/>
      <c r="D262" s="82"/>
      <c r="E262" s="82"/>
      <c r="F262" s="83"/>
      <c r="G262" s="83"/>
      <c r="H262" s="83"/>
    </row>
    <row r="263" spans="1:8">
      <c r="A263" s="83"/>
      <c r="B263" s="82"/>
      <c r="C263" s="82"/>
      <c r="D263" s="82"/>
      <c r="E263" s="82"/>
      <c r="F263" s="83"/>
      <c r="G263" s="83"/>
      <c r="H263" s="83"/>
    </row>
    <row r="264" spans="1:8">
      <c r="A264" s="83"/>
      <c r="B264" s="82"/>
      <c r="C264" s="82"/>
      <c r="D264" s="82"/>
      <c r="E264" s="82"/>
      <c r="F264" s="83"/>
      <c r="G264" s="83"/>
      <c r="H264" s="83"/>
    </row>
    <row r="265" spans="1:8">
      <c r="A265" s="83"/>
      <c r="B265" s="82"/>
      <c r="C265" s="82"/>
      <c r="D265" s="82"/>
      <c r="E265" s="82"/>
      <c r="F265" s="83"/>
      <c r="G265" s="83"/>
      <c r="H265" s="83"/>
    </row>
    <row r="266" spans="1:8">
      <c r="A266" s="83"/>
      <c r="B266" s="82"/>
      <c r="C266" s="82"/>
      <c r="D266" s="82"/>
      <c r="E266" s="82"/>
      <c r="F266" s="83"/>
      <c r="G266" s="83"/>
      <c r="H266" s="83"/>
    </row>
    <row r="267" spans="1:8">
      <c r="A267" s="83"/>
      <c r="B267" s="82"/>
      <c r="C267" s="82"/>
      <c r="D267" s="82"/>
      <c r="E267" s="82"/>
      <c r="F267" s="83"/>
      <c r="G267" s="83"/>
      <c r="H267" s="83"/>
    </row>
    <row r="268" spans="1:8">
      <c r="A268" s="83"/>
      <c r="B268" s="82"/>
      <c r="C268" s="82"/>
      <c r="D268" s="82"/>
      <c r="E268" s="82"/>
      <c r="F268" s="83"/>
      <c r="G268" s="83"/>
      <c r="H268" s="83"/>
    </row>
    <row r="269" spans="1:8">
      <c r="A269" s="83"/>
      <c r="B269" s="82"/>
      <c r="C269" s="82"/>
      <c r="D269" s="82"/>
      <c r="E269" s="82"/>
      <c r="F269" s="83"/>
      <c r="G269" s="83"/>
      <c r="H269" s="83"/>
    </row>
    <row r="270" spans="1:8">
      <c r="A270" s="83"/>
      <c r="B270" s="82"/>
      <c r="C270" s="82"/>
      <c r="D270" s="82"/>
      <c r="E270" s="82"/>
      <c r="F270" s="83"/>
      <c r="G270" s="83"/>
      <c r="H270" s="83"/>
    </row>
    <row r="271" spans="1:8">
      <c r="A271" s="83"/>
      <c r="B271" s="82"/>
      <c r="C271" s="82"/>
      <c r="D271" s="82"/>
      <c r="E271" s="82"/>
      <c r="F271" s="83"/>
      <c r="G271" s="83"/>
      <c r="H271" s="83"/>
    </row>
    <row r="272" spans="1:8">
      <c r="A272" s="83"/>
      <c r="B272" s="82"/>
      <c r="C272" s="82"/>
      <c r="D272" s="82"/>
      <c r="E272" s="82"/>
      <c r="F272" s="83"/>
      <c r="G272" s="83"/>
      <c r="H272" s="83"/>
    </row>
    <row r="273" spans="1:8">
      <c r="A273" s="83"/>
      <c r="B273" s="82"/>
      <c r="C273" s="82"/>
      <c r="D273" s="82"/>
      <c r="E273" s="82"/>
      <c r="F273" s="83"/>
      <c r="G273" s="83"/>
      <c r="H273" s="83"/>
    </row>
    <row r="274" spans="1:8">
      <c r="A274" s="83"/>
      <c r="B274" s="82"/>
      <c r="C274" s="82"/>
      <c r="D274" s="82"/>
      <c r="E274" s="82"/>
      <c r="F274" s="83"/>
      <c r="G274" s="83"/>
      <c r="H274" s="83"/>
    </row>
    <row r="275" spans="1:8">
      <c r="A275" s="83"/>
      <c r="B275" s="82"/>
      <c r="C275" s="82"/>
      <c r="D275" s="82"/>
      <c r="E275" s="82"/>
      <c r="F275" s="83"/>
      <c r="G275" s="83"/>
      <c r="H275" s="83"/>
    </row>
    <row r="276" spans="1:8">
      <c r="A276" s="83"/>
      <c r="B276" s="82"/>
      <c r="C276" s="82"/>
      <c r="D276" s="82"/>
      <c r="E276" s="82"/>
      <c r="F276" s="83"/>
      <c r="G276" s="83"/>
      <c r="H276" s="83"/>
    </row>
    <row r="277" spans="1:8">
      <c r="A277" s="83"/>
      <c r="B277" s="82"/>
      <c r="C277" s="82"/>
      <c r="D277" s="82"/>
      <c r="E277" s="82"/>
      <c r="F277" s="83"/>
      <c r="G277" s="83"/>
      <c r="H277" s="83"/>
    </row>
    <row r="278" spans="1:8">
      <c r="A278" s="83"/>
      <c r="B278" s="82"/>
      <c r="C278" s="82"/>
      <c r="D278" s="82"/>
      <c r="E278" s="82"/>
      <c r="F278" s="83"/>
      <c r="G278" s="83"/>
      <c r="H278" s="83"/>
    </row>
    <row r="279" spans="1:8">
      <c r="A279" s="83"/>
      <c r="B279" s="82"/>
      <c r="C279" s="82"/>
      <c r="D279" s="82"/>
      <c r="E279" s="82"/>
      <c r="F279" s="83"/>
      <c r="G279" s="83"/>
      <c r="H279" s="83"/>
    </row>
    <row r="280" spans="1:8">
      <c r="A280" s="83"/>
      <c r="B280" s="82"/>
      <c r="C280" s="82"/>
      <c r="D280" s="82"/>
      <c r="E280" s="82"/>
      <c r="F280" s="83"/>
      <c r="G280" s="83"/>
      <c r="H280" s="83"/>
    </row>
    <row r="281" spans="1:8">
      <c r="A281" s="83"/>
      <c r="B281" s="82"/>
      <c r="C281" s="82"/>
      <c r="D281" s="82"/>
      <c r="E281" s="82"/>
      <c r="F281" s="83"/>
      <c r="G281" s="83"/>
      <c r="H281" s="83"/>
    </row>
    <row r="282" spans="1:8">
      <c r="A282" s="83"/>
      <c r="B282" s="82"/>
      <c r="C282" s="82"/>
      <c r="D282" s="82"/>
      <c r="E282" s="82"/>
      <c r="F282" s="83"/>
      <c r="G282" s="83"/>
      <c r="H282" s="83"/>
    </row>
    <row r="283" spans="1:8">
      <c r="A283" s="83"/>
      <c r="B283" s="82"/>
      <c r="C283" s="82"/>
      <c r="D283" s="82"/>
      <c r="E283" s="82"/>
      <c r="F283" s="83"/>
      <c r="G283" s="83"/>
      <c r="H283" s="83"/>
    </row>
    <row r="284" spans="1:8">
      <c r="A284" s="83"/>
      <c r="B284" s="82"/>
      <c r="C284" s="82"/>
      <c r="D284" s="82"/>
      <c r="E284" s="82"/>
      <c r="F284" s="83"/>
      <c r="G284" s="83"/>
      <c r="H284" s="83"/>
    </row>
    <row r="285" spans="1:8">
      <c r="A285" s="83"/>
      <c r="B285" s="82"/>
      <c r="C285" s="82"/>
      <c r="D285" s="82"/>
      <c r="E285" s="82"/>
      <c r="F285" s="83"/>
      <c r="G285" s="83"/>
      <c r="H285" s="83"/>
    </row>
    <row r="286" spans="1:8">
      <c r="A286" s="83"/>
      <c r="B286" s="82"/>
      <c r="C286" s="82"/>
      <c r="D286" s="82"/>
      <c r="E286" s="82"/>
      <c r="F286" s="83"/>
      <c r="G286" s="83"/>
      <c r="H286" s="83"/>
    </row>
    <row r="287" spans="1:8">
      <c r="A287" s="83"/>
      <c r="B287" s="82"/>
      <c r="C287" s="82"/>
      <c r="D287" s="82"/>
      <c r="E287" s="82"/>
      <c r="F287" s="83"/>
      <c r="G287" s="83"/>
      <c r="H287" s="83"/>
    </row>
    <row r="288" spans="1:8">
      <c r="A288" s="83"/>
      <c r="B288" s="82"/>
      <c r="C288" s="82"/>
      <c r="D288" s="82"/>
      <c r="E288" s="82"/>
      <c r="F288" s="83"/>
      <c r="G288" s="83"/>
      <c r="H288" s="83"/>
    </row>
    <row r="289" spans="1:8">
      <c r="A289" s="83"/>
      <c r="B289" s="82"/>
      <c r="C289" s="82"/>
      <c r="D289" s="82"/>
      <c r="E289" s="82"/>
      <c r="F289" s="83"/>
      <c r="G289" s="83"/>
      <c r="H289" s="83"/>
    </row>
    <row r="290" spans="1:8">
      <c r="A290" s="83"/>
      <c r="B290" s="82"/>
      <c r="C290" s="82"/>
      <c r="D290" s="82"/>
      <c r="E290" s="82"/>
      <c r="F290" s="83"/>
      <c r="G290" s="83"/>
      <c r="H290" s="83"/>
    </row>
    <row r="291" spans="1:8">
      <c r="A291" s="83"/>
      <c r="B291" s="82"/>
      <c r="C291" s="82"/>
      <c r="D291" s="82"/>
      <c r="E291" s="82"/>
      <c r="F291" s="83"/>
      <c r="G291" s="83"/>
      <c r="H291" s="83"/>
    </row>
    <row r="292" spans="1:8">
      <c r="A292" s="83"/>
      <c r="B292" s="82"/>
      <c r="C292" s="82"/>
      <c r="D292" s="82"/>
      <c r="E292" s="82"/>
      <c r="F292" s="83"/>
      <c r="G292" s="83"/>
      <c r="H292" s="83"/>
    </row>
    <row r="293" spans="1:8">
      <c r="A293" s="83"/>
      <c r="B293" s="82"/>
      <c r="C293" s="82"/>
      <c r="D293" s="82"/>
      <c r="E293" s="82"/>
      <c r="F293" s="83"/>
      <c r="G293" s="83"/>
      <c r="H293" s="83"/>
    </row>
    <row r="294" spans="1:8">
      <c r="A294" s="83"/>
      <c r="B294" s="82"/>
      <c r="C294" s="82"/>
      <c r="D294" s="82"/>
      <c r="E294" s="82"/>
      <c r="F294" s="83"/>
      <c r="G294" s="83"/>
      <c r="H294" s="83"/>
    </row>
    <row r="295" spans="1:8">
      <c r="A295" s="83"/>
      <c r="B295" s="82"/>
      <c r="C295" s="82"/>
      <c r="D295" s="82"/>
      <c r="E295" s="82"/>
      <c r="F295" s="83"/>
      <c r="G295" s="83"/>
      <c r="H295" s="83"/>
    </row>
    <row r="296" spans="1:8">
      <c r="A296" s="83"/>
      <c r="B296" s="82"/>
      <c r="C296" s="82"/>
      <c r="D296" s="82"/>
      <c r="E296" s="82"/>
      <c r="F296" s="83"/>
      <c r="G296" s="83"/>
      <c r="H296" s="83"/>
    </row>
    <row r="297" spans="1:8">
      <c r="A297" s="83"/>
      <c r="B297" s="82"/>
      <c r="C297" s="82"/>
      <c r="D297" s="82"/>
      <c r="E297" s="82"/>
      <c r="F297" s="83"/>
      <c r="G297" s="83"/>
      <c r="H297" s="83"/>
    </row>
    <row r="298" spans="1:8">
      <c r="A298" s="83"/>
      <c r="B298" s="82"/>
      <c r="C298" s="82"/>
      <c r="D298" s="82"/>
      <c r="E298" s="82"/>
      <c r="F298" s="83"/>
      <c r="G298" s="83"/>
      <c r="H298" s="83"/>
    </row>
    <row r="299" spans="1:8">
      <c r="A299" s="83"/>
      <c r="B299" s="82"/>
      <c r="C299" s="82"/>
      <c r="D299" s="82"/>
      <c r="E299" s="82"/>
      <c r="F299" s="83"/>
      <c r="G299" s="83"/>
      <c r="H299" s="83"/>
    </row>
    <row r="300" spans="1:8">
      <c r="A300" s="83"/>
      <c r="B300" s="82"/>
      <c r="C300" s="82"/>
      <c r="D300" s="82"/>
      <c r="E300" s="82"/>
      <c r="F300" s="83"/>
      <c r="G300" s="83"/>
      <c r="H300" s="83"/>
    </row>
    <row r="301" spans="1:8">
      <c r="A301" s="83"/>
      <c r="B301" s="82"/>
      <c r="C301" s="82"/>
      <c r="D301" s="82"/>
      <c r="E301" s="82"/>
      <c r="F301" s="83"/>
      <c r="G301" s="83"/>
      <c r="H301" s="83"/>
    </row>
    <row r="302" spans="1:8">
      <c r="A302" s="83"/>
      <c r="B302" s="82"/>
      <c r="C302" s="82"/>
      <c r="D302" s="82"/>
      <c r="E302" s="82"/>
      <c r="F302" s="83"/>
      <c r="G302" s="83"/>
      <c r="H302" s="83"/>
    </row>
    <row r="303" spans="1:8">
      <c r="A303" s="83"/>
      <c r="B303" s="82"/>
      <c r="C303" s="82"/>
      <c r="D303" s="82"/>
      <c r="E303" s="82"/>
      <c r="F303" s="83"/>
      <c r="G303" s="83"/>
      <c r="H303" s="83"/>
    </row>
    <row r="304" spans="1:8">
      <c r="A304" s="83"/>
      <c r="B304" s="82"/>
      <c r="C304" s="82"/>
      <c r="D304" s="82"/>
      <c r="E304" s="82"/>
      <c r="F304" s="83"/>
      <c r="G304" s="83"/>
      <c r="H304" s="83"/>
    </row>
    <row r="305" spans="1:8">
      <c r="A305" s="83"/>
      <c r="B305" s="82"/>
      <c r="C305" s="82"/>
      <c r="D305" s="82"/>
      <c r="E305" s="82"/>
      <c r="F305" s="83"/>
      <c r="G305" s="83"/>
      <c r="H305" s="83"/>
    </row>
    <row r="306" spans="1:8">
      <c r="A306" s="83"/>
      <c r="B306" s="82"/>
      <c r="C306" s="82"/>
      <c r="D306" s="82"/>
      <c r="E306" s="82"/>
      <c r="F306" s="83"/>
      <c r="G306" s="83"/>
      <c r="H306" s="83"/>
    </row>
    <row r="307" spans="1:8">
      <c r="A307" s="83"/>
      <c r="B307" s="82"/>
      <c r="C307" s="82"/>
      <c r="D307" s="82"/>
      <c r="E307" s="82"/>
      <c r="F307" s="83"/>
      <c r="G307" s="83"/>
      <c r="H307" s="83"/>
    </row>
    <row r="308" spans="1:8">
      <c r="A308" s="83"/>
      <c r="B308" s="82"/>
      <c r="C308" s="82"/>
      <c r="D308" s="82"/>
      <c r="E308" s="82"/>
      <c r="F308" s="83"/>
      <c r="G308" s="83"/>
      <c r="H308" s="83"/>
    </row>
    <row r="309" spans="1:8">
      <c r="A309" s="83"/>
      <c r="B309" s="82"/>
      <c r="C309" s="82"/>
      <c r="D309" s="82"/>
      <c r="E309" s="82"/>
      <c r="F309" s="83"/>
      <c r="G309" s="83"/>
      <c r="H309" s="83"/>
    </row>
    <row r="310" spans="1:8">
      <c r="A310" s="83"/>
      <c r="B310" s="82"/>
      <c r="C310" s="82"/>
      <c r="D310" s="82"/>
      <c r="E310" s="82"/>
      <c r="F310" s="83"/>
      <c r="G310" s="83"/>
      <c r="H310" s="83"/>
    </row>
    <row r="311" spans="1:8">
      <c r="A311" s="83"/>
      <c r="B311" s="82"/>
      <c r="C311" s="82"/>
      <c r="D311" s="82"/>
      <c r="E311" s="82"/>
      <c r="F311" s="83"/>
      <c r="G311" s="83"/>
      <c r="H311" s="83"/>
    </row>
    <row r="312" spans="1:8">
      <c r="A312" s="83"/>
      <c r="B312" s="82"/>
      <c r="C312" s="82"/>
      <c r="D312" s="82"/>
      <c r="E312" s="82"/>
      <c r="F312" s="83"/>
      <c r="G312" s="83"/>
      <c r="H312" s="83"/>
    </row>
    <row r="313" spans="1:8">
      <c r="A313" s="83"/>
      <c r="B313" s="82"/>
      <c r="C313" s="82"/>
      <c r="D313" s="82"/>
      <c r="E313" s="82"/>
      <c r="F313" s="83"/>
      <c r="G313" s="83"/>
      <c r="H313" s="83"/>
    </row>
    <row r="314" spans="1:8">
      <c r="A314" s="83"/>
      <c r="B314" s="82"/>
      <c r="C314" s="82"/>
      <c r="D314" s="82"/>
      <c r="E314" s="82"/>
      <c r="F314" s="83"/>
      <c r="G314" s="83"/>
      <c r="H314" s="83"/>
    </row>
    <row r="315" spans="1:8">
      <c r="A315" s="83"/>
      <c r="B315" s="82"/>
      <c r="C315" s="82"/>
      <c r="D315" s="82"/>
      <c r="E315" s="82"/>
      <c r="F315" s="83"/>
      <c r="G315" s="83"/>
      <c r="H315" s="83"/>
    </row>
    <row r="316" spans="1:8">
      <c r="A316" s="83"/>
      <c r="B316" s="82"/>
      <c r="C316" s="82"/>
      <c r="D316" s="82"/>
      <c r="E316" s="82"/>
      <c r="F316" s="83"/>
      <c r="G316" s="83"/>
      <c r="H316" s="83"/>
    </row>
    <row r="317" spans="1:8">
      <c r="A317" s="83"/>
      <c r="B317" s="82"/>
      <c r="C317" s="82"/>
      <c r="D317" s="82"/>
      <c r="E317" s="82"/>
      <c r="F317" s="83"/>
      <c r="G317" s="83"/>
      <c r="H317" s="83"/>
    </row>
    <row r="318" spans="1:8">
      <c r="A318" s="83"/>
      <c r="B318" s="82"/>
      <c r="C318" s="82"/>
      <c r="D318" s="82"/>
      <c r="E318" s="82"/>
      <c r="F318" s="83"/>
      <c r="G318" s="83"/>
      <c r="H318" s="83"/>
    </row>
    <row r="319" spans="1:8">
      <c r="A319" s="83"/>
      <c r="B319" s="82"/>
      <c r="C319" s="82"/>
      <c r="D319" s="82"/>
      <c r="E319" s="82"/>
      <c r="F319" s="83"/>
      <c r="G319" s="83"/>
      <c r="H319" s="83"/>
    </row>
    <row r="320" spans="1:8">
      <c r="A320" s="83"/>
      <c r="B320" s="82"/>
      <c r="C320" s="82"/>
      <c r="D320" s="82"/>
      <c r="E320" s="82"/>
      <c r="F320" s="83"/>
      <c r="G320" s="83"/>
      <c r="H320" s="83"/>
    </row>
    <row r="321" spans="1:8">
      <c r="A321" s="83"/>
      <c r="B321" s="82"/>
      <c r="C321" s="82"/>
      <c r="D321" s="82"/>
      <c r="E321" s="82"/>
      <c r="F321" s="83"/>
      <c r="G321" s="83"/>
      <c r="H321" s="83"/>
    </row>
    <row r="322" spans="1:8">
      <c r="A322" s="83"/>
      <c r="B322" s="82"/>
      <c r="C322" s="82"/>
      <c r="D322" s="82"/>
      <c r="E322" s="82"/>
      <c r="F322" s="83"/>
      <c r="G322" s="83"/>
      <c r="H322" s="83"/>
    </row>
    <row r="323" spans="1:8">
      <c r="A323" s="83"/>
      <c r="B323" s="82"/>
      <c r="C323" s="82"/>
      <c r="D323" s="82"/>
      <c r="E323" s="82"/>
      <c r="F323" s="83"/>
      <c r="G323" s="83"/>
      <c r="H323" s="83"/>
    </row>
    <row r="324" spans="1:8">
      <c r="A324" s="83"/>
      <c r="B324" s="82"/>
      <c r="C324" s="82"/>
      <c r="D324" s="82"/>
      <c r="E324" s="82"/>
      <c r="F324" s="83"/>
      <c r="G324" s="83"/>
      <c r="H324" s="83"/>
    </row>
    <row r="325" spans="1:8">
      <c r="A325" s="83"/>
      <c r="B325" s="82"/>
      <c r="C325" s="82"/>
      <c r="D325" s="82"/>
      <c r="E325" s="82"/>
      <c r="F325" s="83"/>
      <c r="G325" s="83"/>
      <c r="H325" s="83"/>
    </row>
    <row r="326" spans="1:8">
      <c r="A326" s="83"/>
      <c r="B326" s="82"/>
      <c r="C326" s="82"/>
      <c r="D326" s="82"/>
      <c r="E326" s="82"/>
      <c r="F326" s="83"/>
      <c r="G326" s="83"/>
      <c r="H326" s="83"/>
    </row>
    <row r="327" spans="1:8">
      <c r="A327" s="83"/>
      <c r="B327" s="82"/>
      <c r="C327" s="82"/>
      <c r="D327" s="82"/>
      <c r="E327" s="82"/>
      <c r="F327" s="83"/>
      <c r="G327" s="83"/>
      <c r="H327" s="83"/>
    </row>
    <row r="328" spans="1:8">
      <c r="A328" s="83"/>
      <c r="B328" s="82"/>
      <c r="C328" s="82"/>
      <c r="D328" s="82"/>
      <c r="E328" s="82"/>
      <c r="F328" s="83"/>
      <c r="G328" s="83"/>
      <c r="H328" s="83"/>
    </row>
    <row r="329" spans="1:8">
      <c r="A329" s="83"/>
      <c r="B329" s="82"/>
      <c r="C329" s="82"/>
      <c r="D329" s="82"/>
      <c r="E329" s="82"/>
      <c r="F329" s="83"/>
      <c r="G329" s="83"/>
      <c r="H329" s="83"/>
    </row>
    <row r="330" spans="1:8">
      <c r="A330" s="83"/>
      <c r="B330" s="82"/>
      <c r="C330" s="82"/>
      <c r="D330" s="82"/>
      <c r="E330" s="82"/>
      <c r="F330" s="83"/>
      <c r="G330" s="83"/>
      <c r="H330" s="83"/>
    </row>
    <row r="331" spans="1:8">
      <c r="A331" s="83"/>
      <c r="B331" s="82"/>
      <c r="C331" s="82"/>
      <c r="D331" s="82"/>
      <c r="E331" s="82"/>
      <c r="F331" s="83"/>
      <c r="G331" s="83"/>
      <c r="H331" s="83"/>
    </row>
    <row r="332" spans="1:8">
      <c r="A332" s="83"/>
      <c r="B332" s="82"/>
      <c r="C332" s="82"/>
      <c r="D332" s="82"/>
      <c r="E332" s="82"/>
      <c r="F332" s="83"/>
      <c r="G332" s="83"/>
      <c r="H332" s="83"/>
    </row>
    <row r="333" spans="1:8">
      <c r="A333" s="83"/>
      <c r="B333" s="82"/>
      <c r="C333" s="82"/>
      <c r="D333" s="82"/>
      <c r="E333" s="82"/>
      <c r="F333" s="83"/>
      <c r="G333" s="83"/>
      <c r="H333" s="83"/>
    </row>
    <row r="334" spans="1:8">
      <c r="A334" s="83"/>
      <c r="B334" s="82"/>
      <c r="C334" s="82"/>
      <c r="D334" s="82"/>
      <c r="E334" s="82"/>
      <c r="F334" s="83"/>
      <c r="G334" s="83"/>
      <c r="H334" s="83"/>
    </row>
    <row r="335" spans="1:8">
      <c r="A335" s="83"/>
      <c r="B335" s="82"/>
      <c r="C335" s="82"/>
      <c r="D335" s="82"/>
      <c r="E335" s="82"/>
      <c r="F335" s="83"/>
      <c r="G335" s="83"/>
      <c r="H335" s="83"/>
    </row>
    <row r="336" spans="1:8">
      <c r="A336" s="83"/>
      <c r="B336" s="82"/>
      <c r="C336" s="82"/>
      <c r="D336" s="82"/>
      <c r="E336" s="82"/>
      <c r="F336" s="83"/>
      <c r="G336" s="83"/>
      <c r="H336" s="83"/>
    </row>
    <row r="337" spans="1:8">
      <c r="A337" s="83"/>
      <c r="B337" s="82"/>
      <c r="C337" s="82"/>
      <c r="D337" s="82"/>
      <c r="E337" s="82"/>
      <c r="F337" s="83"/>
      <c r="G337" s="83"/>
      <c r="H337" s="83"/>
    </row>
    <row r="338" spans="1:8">
      <c r="A338" s="83"/>
      <c r="B338" s="82"/>
      <c r="C338" s="82"/>
      <c r="D338" s="82"/>
      <c r="E338" s="82"/>
      <c r="F338" s="83"/>
      <c r="G338" s="83"/>
      <c r="H338" s="83"/>
    </row>
    <row r="339" spans="1:8">
      <c r="A339" s="83"/>
      <c r="B339" s="82"/>
      <c r="C339" s="82"/>
      <c r="D339" s="82"/>
      <c r="E339" s="82"/>
      <c r="F339" s="83"/>
      <c r="G339" s="83"/>
      <c r="H339" s="83"/>
    </row>
    <row r="340" spans="1:8">
      <c r="A340" s="83"/>
      <c r="B340" s="82"/>
      <c r="C340" s="82"/>
      <c r="D340" s="82"/>
      <c r="E340" s="82"/>
      <c r="F340" s="83"/>
      <c r="G340" s="83"/>
      <c r="H340" s="83"/>
    </row>
    <row r="341" spans="1:8">
      <c r="A341" s="83"/>
      <c r="B341" s="82"/>
      <c r="C341" s="82"/>
      <c r="D341" s="82"/>
      <c r="E341" s="82"/>
      <c r="F341" s="83"/>
      <c r="G341" s="83"/>
      <c r="H341" s="83"/>
    </row>
    <row r="342" spans="1:8">
      <c r="A342" s="83"/>
      <c r="B342" s="82"/>
      <c r="C342" s="82"/>
      <c r="D342" s="82"/>
      <c r="E342" s="82"/>
      <c r="F342" s="83"/>
      <c r="G342" s="83"/>
      <c r="H342" s="83"/>
    </row>
    <row r="343" spans="1:8">
      <c r="A343" s="83"/>
      <c r="B343" s="82"/>
      <c r="C343" s="82"/>
      <c r="D343" s="82"/>
      <c r="E343" s="82"/>
      <c r="F343" s="83"/>
      <c r="G343" s="83"/>
      <c r="H343" s="83"/>
    </row>
    <row r="344" spans="1:8">
      <c r="A344" s="83"/>
      <c r="B344" s="82"/>
      <c r="C344" s="82"/>
      <c r="D344" s="82"/>
      <c r="E344" s="82"/>
      <c r="F344" s="83"/>
      <c r="G344" s="83"/>
      <c r="H344" s="83"/>
    </row>
    <row r="345" spans="1:8">
      <c r="A345" s="83"/>
      <c r="B345" s="82"/>
      <c r="C345" s="82"/>
      <c r="D345" s="82"/>
      <c r="E345" s="82"/>
      <c r="F345" s="83"/>
      <c r="G345" s="83"/>
      <c r="H345" s="83"/>
    </row>
    <row r="346" spans="1:8">
      <c r="A346" s="83"/>
      <c r="B346" s="82"/>
      <c r="C346" s="82"/>
      <c r="D346" s="82"/>
      <c r="E346" s="82"/>
      <c r="F346" s="83"/>
      <c r="G346" s="83"/>
      <c r="H346" s="83"/>
    </row>
    <row r="347" spans="1:8">
      <c r="A347" s="83"/>
      <c r="B347" s="82"/>
      <c r="C347" s="82"/>
      <c r="D347" s="82"/>
      <c r="E347" s="82"/>
      <c r="F347" s="83"/>
      <c r="G347" s="83"/>
      <c r="H347" s="83"/>
    </row>
    <row r="348" spans="1:8">
      <c r="A348" s="83"/>
      <c r="B348" s="82"/>
      <c r="C348" s="82"/>
      <c r="D348" s="82"/>
      <c r="E348" s="82"/>
      <c r="F348" s="83"/>
      <c r="G348" s="83"/>
      <c r="H348" s="83"/>
    </row>
    <row r="349" spans="1:8">
      <c r="A349" s="83"/>
      <c r="B349" s="82"/>
      <c r="C349" s="82"/>
      <c r="D349" s="82"/>
      <c r="E349" s="82"/>
      <c r="F349" s="83"/>
      <c r="G349" s="83"/>
      <c r="H349" s="83"/>
    </row>
    <row r="350" spans="1:8">
      <c r="A350" s="83"/>
      <c r="B350" s="82"/>
      <c r="C350" s="82"/>
      <c r="D350" s="82"/>
      <c r="E350" s="82"/>
      <c r="F350" s="83"/>
      <c r="G350" s="83"/>
      <c r="H350" s="83"/>
    </row>
    <row r="351" spans="1:8">
      <c r="A351" s="83"/>
      <c r="B351" s="82"/>
      <c r="C351" s="82"/>
      <c r="D351" s="82"/>
      <c r="E351" s="82"/>
      <c r="F351" s="83"/>
      <c r="G351" s="83"/>
      <c r="H351" s="83"/>
    </row>
    <row r="352" spans="1:8">
      <c r="A352" s="83"/>
      <c r="B352" s="82"/>
      <c r="C352" s="82"/>
      <c r="D352" s="82"/>
      <c r="E352" s="82"/>
      <c r="F352" s="83"/>
      <c r="G352" s="83"/>
      <c r="H352" s="83"/>
    </row>
    <row r="353" spans="1:8">
      <c r="A353" s="83"/>
      <c r="B353" s="82"/>
      <c r="C353" s="82"/>
      <c r="D353" s="82"/>
      <c r="E353" s="82"/>
      <c r="F353" s="83"/>
      <c r="G353" s="83"/>
      <c r="H353" s="83"/>
    </row>
    <row r="354" spans="1:8">
      <c r="A354" s="83"/>
      <c r="B354" s="82"/>
      <c r="C354" s="82"/>
      <c r="D354" s="82"/>
      <c r="E354" s="82"/>
      <c r="F354" s="83"/>
      <c r="G354" s="83"/>
      <c r="H354" s="83"/>
    </row>
    <row r="355" spans="1:8">
      <c r="A355" s="83"/>
      <c r="B355" s="82"/>
      <c r="C355" s="82"/>
      <c r="D355" s="82"/>
      <c r="E355" s="82"/>
      <c r="F355" s="83"/>
      <c r="G355" s="83"/>
      <c r="H355" s="83"/>
    </row>
    <row r="356" spans="1:8">
      <c r="A356" s="83"/>
      <c r="B356" s="82"/>
      <c r="C356" s="82"/>
      <c r="D356" s="82"/>
      <c r="E356" s="82"/>
      <c r="F356" s="83"/>
      <c r="G356" s="83"/>
      <c r="H356" s="83"/>
    </row>
    <row r="357" spans="1:8">
      <c r="A357" s="83"/>
      <c r="B357" s="82"/>
      <c r="C357" s="82"/>
      <c r="D357" s="82"/>
      <c r="E357" s="82"/>
      <c r="F357" s="83"/>
      <c r="G357" s="83"/>
      <c r="H357" s="83"/>
    </row>
    <row r="358" spans="1:8">
      <c r="A358" s="83"/>
      <c r="B358" s="82"/>
      <c r="C358" s="82"/>
      <c r="D358" s="82"/>
      <c r="E358" s="82"/>
      <c r="F358" s="83"/>
      <c r="G358" s="83"/>
      <c r="H358" s="83"/>
    </row>
    <row r="359" spans="1:8">
      <c r="A359" s="83"/>
      <c r="B359" s="82"/>
      <c r="C359" s="82"/>
      <c r="D359" s="82"/>
      <c r="E359" s="82"/>
      <c r="F359" s="83"/>
      <c r="G359" s="83"/>
      <c r="H359" s="83"/>
    </row>
    <row r="360" spans="1:8">
      <c r="A360" s="83"/>
      <c r="B360" s="82"/>
      <c r="C360" s="82"/>
      <c r="D360" s="82"/>
      <c r="E360" s="82"/>
      <c r="F360" s="83"/>
      <c r="G360" s="83"/>
      <c r="H360" s="83"/>
    </row>
    <row r="361" spans="1:8">
      <c r="A361" s="83"/>
      <c r="B361" s="82"/>
      <c r="C361" s="82"/>
      <c r="D361" s="82"/>
      <c r="E361" s="82"/>
      <c r="F361" s="83"/>
      <c r="G361" s="83"/>
      <c r="H361" s="83"/>
    </row>
    <row r="362" spans="1:8">
      <c r="A362" s="83"/>
      <c r="B362" s="82"/>
      <c r="C362" s="82"/>
      <c r="D362" s="82"/>
      <c r="E362" s="82"/>
      <c r="F362" s="83"/>
      <c r="G362" s="83"/>
      <c r="H362" s="83"/>
    </row>
    <row r="363" spans="1:8">
      <c r="A363" s="83"/>
      <c r="B363" s="82"/>
      <c r="C363" s="82"/>
      <c r="D363" s="82"/>
      <c r="E363" s="82"/>
      <c r="F363" s="83"/>
      <c r="G363" s="83"/>
      <c r="H363" s="83"/>
    </row>
    <row r="364" spans="1:8">
      <c r="A364" s="83"/>
      <c r="B364" s="82"/>
      <c r="C364" s="82"/>
      <c r="D364" s="82"/>
      <c r="E364" s="82"/>
      <c r="F364" s="83"/>
      <c r="G364" s="83"/>
      <c r="H364" s="83"/>
    </row>
    <row r="365" spans="1:8">
      <c r="A365" s="83"/>
      <c r="B365" s="82"/>
      <c r="C365" s="82"/>
      <c r="D365" s="82"/>
      <c r="E365" s="82"/>
      <c r="F365" s="83"/>
      <c r="G365" s="83"/>
      <c r="H365" s="83"/>
    </row>
    <row r="366" spans="1:8">
      <c r="A366" s="83"/>
      <c r="B366" s="82"/>
      <c r="C366" s="82"/>
      <c r="D366" s="82"/>
      <c r="E366" s="82"/>
      <c r="F366" s="83"/>
      <c r="G366" s="83"/>
      <c r="H366" s="83"/>
    </row>
    <row r="367" spans="1:8">
      <c r="A367" s="83"/>
      <c r="B367" s="82"/>
      <c r="C367" s="82"/>
      <c r="D367" s="82"/>
      <c r="E367" s="82"/>
      <c r="F367" s="83"/>
      <c r="G367" s="83"/>
      <c r="H367" s="83"/>
    </row>
    <row r="368" spans="1:8">
      <c r="A368" s="83"/>
      <c r="B368" s="82"/>
      <c r="C368" s="82"/>
      <c r="D368" s="82"/>
      <c r="E368" s="82"/>
      <c r="F368" s="83"/>
      <c r="G368" s="83"/>
      <c r="H368" s="83"/>
    </row>
    <row r="369" spans="1:8">
      <c r="A369" s="83"/>
      <c r="B369" s="82"/>
      <c r="C369" s="82"/>
      <c r="D369" s="82"/>
      <c r="E369" s="82"/>
      <c r="F369" s="83"/>
      <c r="G369" s="83"/>
      <c r="H369" s="83"/>
    </row>
    <row r="370" spans="1:8">
      <c r="A370" s="83"/>
      <c r="B370" s="82"/>
      <c r="C370" s="82"/>
      <c r="D370" s="82"/>
      <c r="E370" s="82"/>
      <c r="F370" s="83"/>
      <c r="G370" s="83"/>
      <c r="H370" s="83"/>
    </row>
    <row r="371" spans="1:8">
      <c r="A371" s="83"/>
      <c r="B371" s="82"/>
      <c r="C371" s="82"/>
      <c r="D371" s="82"/>
      <c r="E371" s="82"/>
      <c r="F371" s="83"/>
      <c r="G371" s="83"/>
      <c r="H371" s="83"/>
    </row>
    <row r="372" spans="1:8">
      <c r="A372" s="83"/>
      <c r="B372" s="82"/>
      <c r="C372" s="82"/>
      <c r="D372" s="82"/>
      <c r="E372" s="82"/>
      <c r="F372" s="83"/>
      <c r="G372" s="83"/>
      <c r="H372" s="83"/>
    </row>
    <row r="373" spans="1:8">
      <c r="A373" s="83"/>
      <c r="B373" s="82"/>
      <c r="C373" s="82"/>
      <c r="D373" s="82"/>
      <c r="E373" s="82"/>
      <c r="F373" s="83"/>
      <c r="G373" s="83"/>
      <c r="H373" s="83"/>
    </row>
    <row r="374" spans="1:8">
      <c r="A374" s="83"/>
      <c r="B374" s="82"/>
      <c r="C374" s="82"/>
      <c r="D374" s="82"/>
      <c r="E374" s="82"/>
      <c r="F374" s="83"/>
      <c r="G374" s="83"/>
      <c r="H374" s="83"/>
    </row>
    <row r="375" spans="1:8">
      <c r="A375" s="83"/>
      <c r="B375" s="82"/>
      <c r="C375" s="82"/>
      <c r="D375" s="82"/>
      <c r="E375" s="82"/>
      <c r="F375" s="83"/>
      <c r="G375" s="83"/>
      <c r="H375" s="83"/>
    </row>
    <row r="376" spans="1:8">
      <c r="A376" s="83"/>
      <c r="B376" s="82"/>
      <c r="C376" s="82"/>
      <c r="D376" s="82"/>
      <c r="E376" s="82"/>
      <c r="F376" s="83"/>
      <c r="G376" s="83"/>
      <c r="H376" s="83"/>
    </row>
    <row r="377" spans="1:8">
      <c r="A377" s="83"/>
      <c r="B377" s="82"/>
      <c r="C377" s="82"/>
      <c r="D377" s="82"/>
      <c r="E377" s="82"/>
      <c r="F377" s="83"/>
      <c r="G377" s="83"/>
      <c r="H377" s="83"/>
    </row>
    <row r="378" spans="1:8">
      <c r="A378" s="83"/>
      <c r="B378" s="82"/>
      <c r="C378" s="82"/>
      <c r="D378" s="82"/>
      <c r="E378" s="82"/>
      <c r="F378" s="83"/>
      <c r="G378" s="83"/>
      <c r="H378" s="83"/>
    </row>
    <row r="379" spans="1:8">
      <c r="A379" s="83"/>
      <c r="B379" s="82"/>
      <c r="C379" s="82"/>
      <c r="D379" s="82"/>
      <c r="E379" s="82"/>
      <c r="F379" s="83"/>
      <c r="G379" s="83"/>
      <c r="H379" s="83"/>
    </row>
    <row r="380" spans="1:8">
      <c r="A380" s="83"/>
      <c r="B380" s="82"/>
      <c r="C380" s="82"/>
      <c r="D380" s="82"/>
      <c r="E380" s="82"/>
      <c r="F380" s="83"/>
      <c r="G380" s="83"/>
      <c r="H380" s="83"/>
    </row>
    <row r="381" spans="1:8">
      <c r="A381" s="83"/>
      <c r="B381" s="82"/>
      <c r="C381" s="82"/>
      <c r="D381" s="82"/>
      <c r="E381" s="82"/>
      <c r="F381" s="83"/>
      <c r="G381" s="83"/>
      <c r="H381" s="83"/>
    </row>
    <row r="382" spans="1:8">
      <c r="A382" s="83"/>
      <c r="B382" s="82"/>
      <c r="C382" s="82"/>
      <c r="D382" s="82"/>
      <c r="E382" s="82"/>
      <c r="F382" s="83"/>
      <c r="G382" s="83"/>
      <c r="H382" s="83"/>
    </row>
    <row r="383" spans="1:8">
      <c r="A383" s="83"/>
      <c r="B383" s="82"/>
      <c r="C383" s="82"/>
      <c r="D383" s="82"/>
      <c r="E383" s="82"/>
      <c r="F383" s="83"/>
      <c r="G383" s="83"/>
      <c r="H383" s="83"/>
    </row>
    <row r="384" spans="1:8">
      <c r="A384" s="83"/>
      <c r="B384" s="82"/>
      <c r="C384" s="82"/>
      <c r="D384" s="82"/>
      <c r="E384" s="82"/>
      <c r="F384" s="83"/>
      <c r="G384" s="83"/>
      <c r="H384" s="83"/>
    </row>
    <row r="385" spans="1:8">
      <c r="A385" s="83"/>
      <c r="B385" s="82"/>
      <c r="C385" s="82"/>
      <c r="D385" s="82"/>
      <c r="E385" s="82"/>
      <c r="F385" s="83"/>
      <c r="G385" s="83"/>
      <c r="H385" s="83"/>
    </row>
    <row r="386" spans="1:8">
      <c r="A386" s="83"/>
      <c r="B386" s="82"/>
      <c r="C386" s="82"/>
      <c r="D386" s="82"/>
      <c r="E386" s="82"/>
      <c r="F386" s="83"/>
      <c r="G386" s="83"/>
      <c r="H386" s="83"/>
    </row>
    <row r="387" spans="1:8">
      <c r="A387" s="83"/>
      <c r="B387" s="82"/>
      <c r="C387" s="82"/>
      <c r="D387" s="82"/>
      <c r="E387" s="82"/>
      <c r="F387" s="83"/>
      <c r="G387" s="83"/>
      <c r="H387" s="83"/>
    </row>
    <row r="388" spans="1:8">
      <c r="A388" s="83"/>
      <c r="B388" s="82"/>
      <c r="C388" s="82"/>
      <c r="D388" s="82"/>
      <c r="E388" s="82"/>
      <c r="F388" s="83"/>
      <c r="G388" s="83"/>
      <c r="H388" s="83"/>
    </row>
    <row r="389" spans="1:8">
      <c r="A389" s="83"/>
      <c r="B389" s="82"/>
      <c r="C389" s="82"/>
      <c r="D389" s="82"/>
      <c r="E389" s="82"/>
      <c r="F389" s="83"/>
      <c r="G389" s="83"/>
      <c r="H389" s="83"/>
    </row>
    <row r="390" spans="1:8">
      <c r="A390" s="83"/>
      <c r="B390" s="82"/>
      <c r="C390" s="82"/>
      <c r="D390" s="82"/>
      <c r="E390" s="82"/>
      <c r="F390" s="83"/>
      <c r="G390" s="83"/>
      <c r="H390" s="83"/>
    </row>
    <row r="391" spans="1:8">
      <c r="A391" s="83"/>
      <c r="B391" s="82"/>
      <c r="C391" s="82"/>
      <c r="D391" s="82"/>
      <c r="E391" s="82"/>
      <c r="F391" s="83"/>
      <c r="G391" s="83"/>
      <c r="H391" s="83"/>
    </row>
    <row r="392" spans="1:8">
      <c r="A392" s="83"/>
      <c r="B392" s="82"/>
      <c r="C392" s="82"/>
      <c r="D392" s="82"/>
      <c r="E392" s="82"/>
      <c r="F392" s="83"/>
      <c r="G392" s="83"/>
      <c r="H392" s="83"/>
    </row>
    <row r="393" spans="1:8">
      <c r="A393" s="83"/>
      <c r="B393" s="82"/>
      <c r="C393" s="82"/>
      <c r="D393" s="82"/>
      <c r="E393" s="82"/>
      <c r="F393" s="83"/>
      <c r="G393" s="83"/>
      <c r="H393" s="83"/>
    </row>
    <row r="394" spans="1:8">
      <c r="A394" s="83"/>
      <c r="B394" s="82"/>
      <c r="C394" s="82"/>
      <c r="D394" s="82"/>
      <c r="E394" s="82"/>
      <c r="F394" s="83"/>
      <c r="G394" s="83"/>
      <c r="H394" s="83"/>
    </row>
    <row r="395" spans="1:8">
      <c r="A395" s="83"/>
      <c r="B395" s="82"/>
      <c r="C395" s="82"/>
      <c r="D395" s="82"/>
      <c r="E395" s="82"/>
      <c r="F395" s="83"/>
      <c r="G395" s="83"/>
      <c r="H395" s="83"/>
    </row>
    <row r="396" spans="1:8">
      <c r="A396" s="83"/>
      <c r="B396" s="82"/>
      <c r="C396" s="82"/>
      <c r="D396" s="82"/>
      <c r="E396" s="82"/>
      <c r="F396" s="83"/>
      <c r="G396" s="83"/>
      <c r="H396" s="83"/>
    </row>
    <row r="397" spans="1:8">
      <c r="A397" s="83"/>
      <c r="B397" s="82"/>
      <c r="C397" s="82"/>
      <c r="D397" s="82"/>
      <c r="E397" s="82"/>
      <c r="F397" s="83"/>
      <c r="G397" s="83"/>
      <c r="H397" s="83"/>
    </row>
    <row r="398" spans="1:8">
      <c r="A398" s="83"/>
      <c r="B398" s="82"/>
      <c r="C398" s="82"/>
      <c r="D398" s="82"/>
      <c r="E398" s="82"/>
      <c r="F398" s="83"/>
      <c r="G398" s="83"/>
      <c r="H398" s="83"/>
    </row>
    <row r="399" spans="1:8">
      <c r="A399" s="83"/>
      <c r="B399" s="82"/>
      <c r="C399" s="82"/>
      <c r="D399" s="82"/>
      <c r="E399" s="82"/>
      <c r="F399" s="83"/>
      <c r="G399" s="83"/>
      <c r="H399" s="83"/>
    </row>
    <row r="400" spans="1:8">
      <c r="A400" s="83"/>
      <c r="B400" s="82"/>
      <c r="C400" s="82"/>
      <c r="D400" s="82"/>
      <c r="E400" s="82"/>
      <c r="F400" s="83"/>
      <c r="G400" s="83"/>
      <c r="H400" s="83"/>
    </row>
    <row r="401" spans="1:8">
      <c r="A401" s="83"/>
      <c r="B401" s="82"/>
      <c r="C401" s="82"/>
      <c r="D401" s="82"/>
      <c r="E401" s="82"/>
      <c r="F401" s="83"/>
      <c r="G401" s="83"/>
      <c r="H401" s="83"/>
    </row>
    <row r="402" spans="1:8">
      <c r="A402" s="83"/>
      <c r="B402" s="82"/>
      <c r="C402" s="82"/>
      <c r="D402" s="82"/>
      <c r="E402" s="82"/>
      <c r="F402" s="83"/>
      <c r="G402" s="83"/>
      <c r="H402" s="83"/>
    </row>
    <row r="403" spans="1:8">
      <c r="A403" s="83"/>
      <c r="B403" s="82"/>
      <c r="C403" s="82"/>
      <c r="D403" s="82"/>
      <c r="E403" s="82"/>
      <c r="F403" s="83"/>
      <c r="G403" s="83"/>
      <c r="H403" s="83"/>
    </row>
    <row r="404" spans="1:8">
      <c r="A404" s="83"/>
      <c r="B404" s="82"/>
      <c r="C404" s="82"/>
      <c r="D404" s="82"/>
      <c r="E404" s="82"/>
      <c r="F404" s="83"/>
      <c r="G404" s="83"/>
      <c r="H404" s="83"/>
    </row>
    <row r="405" spans="1:8">
      <c r="A405" s="83"/>
      <c r="B405" s="82"/>
      <c r="C405" s="82"/>
      <c r="D405" s="82"/>
      <c r="E405" s="82"/>
      <c r="F405" s="83"/>
      <c r="G405" s="83"/>
      <c r="H405" s="83"/>
    </row>
    <row r="406" spans="1:8">
      <c r="A406" s="83"/>
      <c r="B406" s="82"/>
      <c r="C406" s="82"/>
      <c r="D406" s="82"/>
      <c r="E406" s="82"/>
      <c r="F406" s="83"/>
      <c r="G406" s="83"/>
      <c r="H406" s="83"/>
    </row>
    <row r="407" spans="1:8">
      <c r="A407" s="83"/>
      <c r="B407" s="82"/>
      <c r="C407" s="82"/>
      <c r="D407" s="82"/>
      <c r="E407" s="82"/>
      <c r="F407" s="83"/>
      <c r="G407" s="83"/>
      <c r="H407" s="83"/>
    </row>
    <row r="408" spans="1:8">
      <c r="A408" s="83"/>
      <c r="B408" s="82"/>
      <c r="C408" s="82"/>
      <c r="D408" s="82"/>
      <c r="E408" s="82"/>
      <c r="F408" s="83"/>
      <c r="G408" s="83"/>
      <c r="H408" s="83"/>
    </row>
    <row r="409" spans="1:8">
      <c r="A409" s="83"/>
      <c r="B409" s="82"/>
      <c r="C409" s="82"/>
      <c r="D409" s="82"/>
      <c r="E409" s="82"/>
      <c r="F409" s="83"/>
      <c r="G409" s="83"/>
      <c r="H409" s="83"/>
    </row>
    <row r="410" spans="1:8">
      <c r="A410" s="83"/>
      <c r="B410" s="82"/>
      <c r="C410" s="82"/>
      <c r="D410" s="82"/>
      <c r="E410" s="82"/>
      <c r="F410" s="83"/>
      <c r="G410" s="83"/>
      <c r="H410" s="83"/>
    </row>
    <row r="411" spans="1:8">
      <c r="A411" s="83"/>
      <c r="B411" s="82"/>
      <c r="C411" s="82"/>
      <c r="D411" s="82"/>
      <c r="E411" s="82"/>
      <c r="F411" s="83"/>
      <c r="G411" s="83"/>
      <c r="H411" s="83"/>
    </row>
    <row r="412" spans="1:8">
      <c r="A412" s="83"/>
      <c r="B412" s="82"/>
      <c r="C412" s="82"/>
      <c r="D412" s="82"/>
      <c r="E412" s="82"/>
      <c r="F412" s="83"/>
      <c r="G412" s="83"/>
      <c r="H412" s="83"/>
    </row>
    <row r="413" spans="1:8">
      <c r="A413" s="83"/>
      <c r="B413" s="82"/>
      <c r="C413" s="82"/>
      <c r="D413" s="82"/>
      <c r="E413" s="82"/>
      <c r="F413" s="83"/>
      <c r="G413" s="83"/>
      <c r="H413" s="83"/>
    </row>
    <row r="414" spans="1:8">
      <c r="A414" s="83"/>
      <c r="B414" s="82"/>
      <c r="C414" s="82"/>
      <c r="D414" s="82"/>
      <c r="E414" s="82"/>
      <c r="F414" s="83"/>
      <c r="G414" s="83"/>
      <c r="H414" s="83"/>
    </row>
    <row r="415" spans="1:8">
      <c r="A415" s="83"/>
      <c r="B415" s="82"/>
      <c r="C415" s="82"/>
      <c r="D415" s="82"/>
      <c r="E415" s="82"/>
      <c r="F415" s="83"/>
      <c r="G415" s="83"/>
      <c r="H415" s="83"/>
    </row>
    <row r="416" spans="1:8">
      <c r="A416" s="83"/>
      <c r="B416" s="82"/>
      <c r="C416" s="82"/>
      <c r="D416" s="82"/>
      <c r="E416" s="82"/>
      <c r="F416" s="83"/>
      <c r="G416" s="83"/>
      <c r="H416" s="83"/>
    </row>
    <row r="417" spans="1:8">
      <c r="A417" s="83"/>
      <c r="B417" s="82"/>
      <c r="C417" s="82"/>
      <c r="D417" s="82"/>
      <c r="E417" s="82"/>
      <c r="F417" s="83"/>
      <c r="G417" s="83"/>
      <c r="H417" s="83"/>
    </row>
    <row r="418" spans="1:8">
      <c r="A418" s="83"/>
      <c r="B418" s="82"/>
      <c r="C418" s="82"/>
      <c r="D418" s="82"/>
      <c r="E418" s="82"/>
      <c r="F418" s="83"/>
      <c r="G418" s="83"/>
      <c r="H418" s="83"/>
    </row>
    <row r="419" spans="1:8">
      <c r="A419" s="83"/>
      <c r="B419" s="82"/>
      <c r="C419" s="82"/>
      <c r="D419" s="82"/>
      <c r="E419" s="82"/>
      <c r="F419" s="83"/>
      <c r="G419" s="83"/>
      <c r="H419" s="83"/>
    </row>
    <row r="420" spans="1:8">
      <c r="A420" s="83"/>
      <c r="B420" s="82"/>
      <c r="C420" s="82"/>
      <c r="D420" s="82"/>
      <c r="E420" s="82"/>
      <c r="F420" s="83"/>
      <c r="G420" s="83"/>
      <c r="H420" s="83"/>
    </row>
    <row r="421" spans="1:8">
      <c r="A421" s="83"/>
      <c r="B421" s="82"/>
      <c r="C421" s="82"/>
      <c r="D421" s="82"/>
      <c r="E421" s="82"/>
      <c r="F421" s="83"/>
      <c r="G421" s="83"/>
      <c r="H421" s="83"/>
    </row>
    <row r="422" spans="1:8">
      <c r="A422" s="83"/>
      <c r="B422" s="82"/>
      <c r="C422" s="82"/>
      <c r="D422" s="82"/>
      <c r="E422" s="82"/>
      <c r="F422" s="83"/>
      <c r="G422" s="83"/>
      <c r="H422" s="83"/>
    </row>
    <row r="423" spans="1:8">
      <c r="A423" s="83"/>
      <c r="B423" s="82"/>
      <c r="C423" s="82"/>
      <c r="D423" s="82"/>
      <c r="E423" s="82"/>
      <c r="F423" s="83"/>
      <c r="G423" s="83"/>
      <c r="H423" s="83"/>
    </row>
    <row r="424" spans="1:8">
      <c r="A424" s="83"/>
      <c r="B424" s="82"/>
      <c r="C424" s="82"/>
      <c r="D424" s="82"/>
      <c r="E424" s="82"/>
      <c r="F424" s="83"/>
      <c r="G424" s="83"/>
      <c r="H424" s="83"/>
    </row>
    <row r="425" spans="1:8">
      <c r="A425" s="83"/>
      <c r="B425" s="82"/>
      <c r="C425" s="82"/>
      <c r="D425" s="82"/>
      <c r="E425" s="82"/>
      <c r="F425" s="83"/>
      <c r="G425" s="83"/>
      <c r="H425" s="83"/>
    </row>
    <row r="426" spans="1:8">
      <c r="A426" s="83"/>
      <c r="B426" s="82"/>
      <c r="C426" s="82"/>
      <c r="D426" s="82"/>
      <c r="E426" s="82"/>
      <c r="F426" s="83"/>
      <c r="G426" s="83"/>
      <c r="H426" s="83"/>
    </row>
    <row r="427" spans="1:8">
      <c r="A427" s="83"/>
      <c r="B427" s="82"/>
      <c r="C427" s="82"/>
      <c r="D427" s="82"/>
      <c r="E427" s="82"/>
      <c r="F427" s="83"/>
      <c r="G427" s="83"/>
      <c r="H427" s="83"/>
    </row>
    <row r="428" spans="1:8">
      <c r="A428" s="83"/>
      <c r="B428" s="82"/>
      <c r="C428" s="82"/>
      <c r="D428" s="82"/>
      <c r="E428" s="82"/>
      <c r="F428" s="83"/>
      <c r="G428" s="83"/>
      <c r="H428" s="83"/>
    </row>
    <row r="429" spans="1:8">
      <c r="A429" s="83"/>
      <c r="B429" s="82"/>
      <c r="C429" s="82"/>
      <c r="D429" s="82"/>
      <c r="E429" s="82"/>
      <c r="F429" s="83"/>
      <c r="G429" s="83"/>
      <c r="H429" s="83"/>
    </row>
    <row r="430" spans="1:8">
      <c r="A430" s="83"/>
      <c r="B430" s="82"/>
      <c r="C430" s="82"/>
      <c r="D430" s="82"/>
      <c r="E430" s="82"/>
      <c r="F430" s="83"/>
      <c r="G430" s="83"/>
      <c r="H430" s="83"/>
    </row>
    <row r="431" spans="1:8">
      <c r="A431" s="83"/>
      <c r="B431" s="82"/>
      <c r="C431" s="82"/>
      <c r="D431" s="82"/>
      <c r="E431" s="82"/>
      <c r="F431" s="83"/>
      <c r="G431" s="83"/>
      <c r="H431" s="83"/>
    </row>
    <row r="432" spans="1:8">
      <c r="A432" s="83"/>
      <c r="B432" s="82"/>
      <c r="C432" s="82"/>
      <c r="D432" s="82"/>
      <c r="E432" s="82"/>
      <c r="F432" s="83"/>
      <c r="G432" s="83"/>
      <c r="H432" s="83"/>
    </row>
    <row r="433" spans="1:8">
      <c r="A433" s="83"/>
      <c r="B433" s="82"/>
      <c r="C433" s="82"/>
      <c r="D433" s="82"/>
      <c r="E433" s="82"/>
      <c r="F433" s="83"/>
      <c r="G433" s="83"/>
      <c r="H433" s="83"/>
    </row>
    <row r="434" spans="1:8">
      <c r="A434" s="83"/>
      <c r="B434" s="82"/>
      <c r="C434" s="82"/>
      <c r="D434" s="82"/>
      <c r="E434" s="82"/>
      <c r="F434" s="83"/>
      <c r="G434" s="83"/>
      <c r="H434" s="83"/>
    </row>
    <row r="435" spans="1:8">
      <c r="A435" s="83"/>
      <c r="B435" s="82"/>
      <c r="C435" s="82"/>
      <c r="D435" s="82"/>
      <c r="E435" s="82"/>
      <c r="F435" s="83"/>
      <c r="G435" s="83"/>
      <c r="H435" s="83"/>
    </row>
    <row r="436" spans="1:8">
      <c r="A436" s="83"/>
      <c r="B436" s="82"/>
      <c r="C436" s="82"/>
      <c r="D436" s="82"/>
      <c r="E436" s="82"/>
      <c r="F436" s="83"/>
      <c r="G436" s="83"/>
      <c r="H436" s="83"/>
    </row>
    <row r="437" spans="1:8">
      <c r="A437" s="83"/>
      <c r="B437" s="82"/>
      <c r="C437" s="82"/>
      <c r="D437" s="82"/>
      <c r="E437" s="82"/>
      <c r="F437" s="83"/>
      <c r="G437" s="83"/>
      <c r="H437" s="83"/>
    </row>
    <row r="438" spans="1:8">
      <c r="A438" s="83"/>
      <c r="B438" s="82"/>
      <c r="C438" s="82"/>
      <c r="D438" s="82"/>
      <c r="E438" s="82"/>
      <c r="F438" s="83"/>
      <c r="G438" s="83"/>
      <c r="H438" s="83"/>
    </row>
    <row r="439" spans="1:8">
      <c r="A439" s="83"/>
      <c r="B439" s="82"/>
      <c r="C439" s="82"/>
      <c r="D439" s="82"/>
      <c r="E439" s="82"/>
      <c r="F439" s="83"/>
      <c r="G439" s="83"/>
      <c r="H439" s="83"/>
    </row>
    <row r="440" spans="1:8">
      <c r="A440" s="83"/>
      <c r="B440" s="82"/>
      <c r="C440" s="82"/>
      <c r="D440" s="82"/>
      <c r="E440" s="82"/>
      <c r="F440" s="83"/>
      <c r="G440" s="83"/>
      <c r="H440" s="83"/>
    </row>
    <row r="441" spans="1:8">
      <c r="A441" s="83"/>
      <c r="B441" s="82"/>
      <c r="C441" s="82"/>
      <c r="D441" s="82"/>
      <c r="E441" s="82"/>
      <c r="F441" s="83"/>
      <c r="G441" s="83"/>
      <c r="H441" s="83"/>
    </row>
    <row r="442" spans="1:8">
      <c r="A442" s="83"/>
      <c r="B442" s="82"/>
      <c r="C442" s="82"/>
      <c r="D442" s="82"/>
      <c r="E442" s="82"/>
      <c r="F442" s="83"/>
      <c r="G442" s="83"/>
      <c r="H442" s="83"/>
    </row>
    <row r="443" spans="1:8">
      <c r="A443" s="83"/>
      <c r="B443" s="82"/>
      <c r="C443" s="82"/>
      <c r="D443" s="82"/>
      <c r="E443" s="82"/>
      <c r="F443" s="83"/>
      <c r="G443" s="83"/>
      <c r="H443" s="83"/>
    </row>
    <row r="444" spans="1:8">
      <c r="A444" s="83"/>
      <c r="B444" s="82"/>
      <c r="C444" s="82"/>
      <c r="D444" s="82"/>
      <c r="E444" s="82"/>
      <c r="F444" s="83"/>
      <c r="G444" s="83"/>
      <c r="H444" s="83"/>
    </row>
    <row r="445" spans="1:8">
      <c r="A445" s="83"/>
      <c r="B445" s="82"/>
      <c r="C445" s="82"/>
      <c r="D445" s="82"/>
      <c r="E445" s="82"/>
      <c r="F445" s="83"/>
      <c r="G445" s="83"/>
      <c r="H445" s="83"/>
    </row>
    <row r="446" spans="1:8">
      <c r="A446" s="83"/>
      <c r="B446" s="82"/>
      <c r="C446" s="82"/>
      <c r="D446" s="82"/>
      <c r="E446" s="82"/>
      <c r="F446" s="83"/>
      <c r="G446" s="83"/>
      <c r="H446" s="83"/>
    </row>
    <row r="447" spans="1:8">
      <c r="A447" s="83"/>
      <c r="B447" s="82"/>
      <c r="C447" s="82"/>
      <c r="D447" s="82"/>
      <c r="E447" s="82"/>
      <c r="F447" s="83"/>
      <c r="G447" s="83"/>
      <c r="H447" s="83"/>
    </row>
    <row r="448" spans="1:8">
      <c r="A448" s="83"/>
      <c r="B448" s="82"/>
      <c r="C448" s="82"/>
      <c r="D448" s="82"/>
      <c r="E448" s="82"/>
      <c r="F448" s="83"/>
      <c r="G448" s="83"/>
      <c r="H448" s="83"/>
    </row>
    <row r="449" spans="1:8">
      <c r="A449" s="83"/>
      <c r="B449" s="82"/>
      <c r="C449" s="82"/>
      <c r="D449" s="82"/>
      <c r="E449" s="82"/>
      <c r="F449" s="83"/>
      <c r="G449" s="83"/>
      <c r="H449" s="83"/>
    </row>
    <row r="450" spans="1:8">
      <c r="A450" s="83"/>
      <c r="B450" s="82"/>
      <c r="C450" s="82"/>
      <c r="D450" s="82"/>
      <c r="E450" s="82"/>
      <c r="F450" s="83"/>
      <c r="G450" s="83"/>
      <c r="H450" s="83"/>
    </row>
    <row r="451" spans="1:8">
      <c r="A451" s="83"/>
      <c r="B451" s="82"/>
      <c r="C451" s="82"/>
      <c r="D451" s="82"/>
      <c r="E451" s="82"/>
      <c r="F451" s="83"/>
      <c r="G451" s="83"/>
      <c r="H451" s="83"/>
    </row>
    <row r="452" spans="1:8">
      <c r="A452" s="83"/>
      <c r="B452" s="82"/>
      <c r="C452" s="82"/>
      <c r="D452" s="82"/>
      <c r="E452" s="82"/>
      <c r="F452" s="83"/>
      <c r="G452" s="83"/>
      <c r="H452" s="83"/>
    </row>
    <row r="453" spans="1:8">
      <c r="A453" s="83"/>
      <c r="B453" s="82"/>
      <c r="C453" s="82"/>
      <c r="D453" s="82"/>
      <c r="E453" s="82"/>
      <c r="F453" s="83"/>
      <c r="G453" s="83"/>
      <c r="H453" s="83"/>
    </row>
    <row r="454" spans="1:8">
      <c r="A454" s="83"/>
      <c r="B454" s="82"/>
      <c r="C454" s="82"/>
      <c r="D454" s="82"/>
      <c r="E454" s="82"/>
      <c r="F454" s="83"/>
      <c r="G454" s="83"/>
      <c r="H454" s="83"/>
    </row>
    <row r="455" spans="1:8">
      <c r="A455" s="83"/>
      <c r="B455" s="82"/>
      <c r="C455" s="82"/>
      <c r="D455" s="82"/>
      <c r="E455" s="82"/>
      <c r="F455" s="83"/>
      <c r="G455" s="83"/>
      <c r="H455" s="83"/>
    </row>
    <row r="456" spans="1:8">
      <c r="A456" s="83"/>
      <c r="B456" s="82"/>
      <c r="C456" s="82"/>
      <c r="D456" s="82"/>
      <c r="E456" s="82"/>
      <c r="F456" s="83"/>
      <c r="G456" s="83"/>
      <c r="H456" s="83"/>
    </row>
    <row r="457" spans="1:8">
      <c r="A457" s="83"/>
      <c r="B457" s="82"/>
      <c r="C457" s="82"/>
      <c r="D457" s="82"/>
      <c r="E457" s="82"/>
      <c r="F457" s="83"/>
      <c r="G457" s="83"/>
      <c r="H457" s="83"/>
    </row>
    <row r="458" spans="1:8">
      <c r="A458" s="83"/>
      <c r="B458" s="82"/>
      <c r="C458" s="82"/>
      <c r="D458" s="82"/>
      <c r="E458" s="82"/>
      <c r="F458" s="83"/>
      <c r="G458" s="83"/>
      <c r="H458" s="83"/>
    </row>
    <row r="459" spans="1:8">
      <c r="A459" s="83"/>
      <c r="B459" s="82"/>
      <c r="C459" s="82"/>
      <c r="D459" s="82"/>
      <c r="E459" s="82"/>
      <c r="F459" s="83"/>
      <c r="G459" s="83"/>
      <c r="H459" s="83"/>
    </row>
    <row r="460" spans="1:8">
      <c r="A460" s="83"/>
      <c r="B460" s="82"/>
      <c r="C460" s="82"/>
      <c r="D460" s="82"/>
      <c r="E460" s="82"/>
      <c r="F460" s="83"/>
      <c r="G460" s="83"/>
      <c r="H460" s="83"/>
    </row>
    <row r="461" spans="1:8">
      <c r="A461" s="83"/>
      <c r="B461" s="82"/>
      <c r="C461" s="82"/>
      <c r="D461" s="82"/>
      <c r="E461" s="82"/>
      <c r="F461" s="83"/>
      <c r="G461" s="83"/>
      <c r="H461" s="83"/>
    </row>
    <row r="462" spans="1:8">
      <c r="A462" s="83"/>
      <c r="B462" s="82"/>
      <c r="C462" s="82"/>
      <c r="D462" s="82"/>
      <c r="E462" s="82"/>
      <c r="F462" s="83"/>
      <c r="G462" s="83"/>
      <c r="H462" s="83"/>
    </row>
    <row r="463" spans="1:8">
      <c r="A463" s="83"/>
      <c r="B463" s="82"/>
      <c r="C463" s="82"/>
      <c r="D463" s="82"/>
      <c r="E463" s="82"/>
      <c r="F463" s="83"/>
      <c r="G463" s="83"/>
      <c r="H463" s="83"/>
    </row>
    <row r="464" spans="1:8">
      <c r="A464" s="83"/>
      <c r="B464" s="82"/>
      <c r="C464" s="82"/>
      <c r="D464" s="82"/>
      <c r="E464" s="82"/>
      <c r="F464" s="83"/>
      <c r="G464" s="83"/>
      <c r="H464" s="83"/>
    </row>
    <row r="465" spans="1:8">
      <c r="A465" s="83"/>
      <c r="B465" s="82"/>
      <c r="C465" s="82"/>
      <c r="D465" s="82"/>
      <c r="E465" s="82"/>
      <c r="F465" s="83"/>
      <c r="G465" s="83"/>
      <c r="H465" s="83"/>
    </row>
    <row r="466" spans="1:8">
      <c r="A466" s="83"/>
      <c r="B466" s="82"/>
      <c r="C466" s="82"/>
      <c r="D466" s="82"/>
      <c r="E466" s="82"/>
      <c r="F466" s="83"/>
      <c r="G466" s="83"/>
      <c r="H466" s="83"/>
    </row>
    <row r="467" spans="1:8">
      <c r="A467" s="83"/>
      <c r="B467" s="82"/>
      <c r="C467" s="82"/>
      <c r="D467" s="82"/>
      <c r="E467" s="82"/>
      <c r="F467" s="83"/>
      <c r="G467" s="83"/>
      <c r="H467" s="83"/>
    </row>
    <row r="468" spans="1:8">
      <c r="A468" s="83"/>
      <c r="B468" s="82"/>
      <c r="C468" s="82"/>
      <c r="D468" s="82"/>
      <c r="E468" s="82"/>
      <c r="F468" s="83"/>
      <c r="G468" s="83"/>
      <c r="H468" s="83"/>
    </row>
    <row r="469" spans="1:8">
      <c r="A469" s="83"/>
      <c r="B469" s="82"/>
      <c r="C469" s="82"/>
      <c r="D469" s="82"/>
      <c r="E469" s="82"/>
      <c r="F469" s="83"/>
      <c r="G469" s="83"/>
      <c r="H469" s="83"/>
    </row>
    <row r="470" spans="1:8">
      <c r="A470" s="83"/>
      <c r="B470" s="82"/>
      <c r="C470" s="82"/>
      <c r="D470" s="82"/>
      <c r="E470" s="82"/>
      <c r="F470" s="83"/>
      <c r="G470" s="83"/>
      <c r="H470" s="83"/>
    </row>
    <row r="471" spans="1:8">
      <c r="A471" s="83"/>
      <c r="B471" s="82"/>
      <c r="C471" s="82"/>
      <c r="D471" s="82"/>
      <c r="E471" s="82"/>
      <c r="F471" s="83"/>
      <c r="G471" s="83"/>
      <c r="H471" s="83"/>
    </row>
    <row r="472" spans="1:8">
      <c r="A472" s="83"/>
      <c r="B472" s="82"/>
      <c r="C472" s="82"/>
      <c r="D472" s="82"/>
      <c r="E472" s="82"/>
      <c r="F472" s="83"/>
      <c r="G472" s="83"/>
      <c r="H472" s="83"/>
    </row>
    <row r="473" spans="1:8">
      <c r="A473" s="83"/>
      <c r="B473" s="82"/>
      <c r="C473" s="82"/>
      <c r="D473" s="82"/>
      <c r="E473" s="82"/>
      <c r="F473" s="83"/>
      <c r="G473" s="83"/>
      <c r="H473" s="83"/>
    </row>
    <row r="474" spans="1:8">
      <c r="A474" s="83"/>
      <c r="B474" s="82"/>
      <c r="C474" s="82"/>
      <c r="D474" s="82"/>
      <c r="E474" s="82"/>
      <c r="F474" s="83"/>
      <c r="G474" s="83"/>
      <c r="H474" s="83"/>
    </row>
    <row r="475" spans="1:8">
      <c r="A475" s="83"/>
      <c r="B475" s="82"/>
      <c r="C475" s="82"/>
      <c r="D475" s="82"/>
      <c r="E475" s="82"/>
      <c r="F475" s="83"/>
      <c r="G475" s="83"/>
      <c r="H475" s="83"/>
    </row>
    <row r="476" spans="1:8">
      <c r="A476" s="83"/>
      <c r="B476" s="82"/>
      <c r="C476" s="82"/>
      <c r="D476" s="82"/>
      <c r="E476" s="82"/>
      <c r="F476" s="83"/>
      <c r="G476" s="83"/>
      <c r="H476" s="83"/>
    </row>
    <row r="477" spans="1:8">
      <c r="A477" s="83"/>
      <c r="B477" s="82"/>
      <c r="C477" s="82"/>
      <c r="D477" s="82"/>
      <c r="E477" s="82"/>
      <c r="F477" s="83"/>
      <c r="G477" s="83"/>
      <c r="H477" s="83"/>
    </row>
    <row r="478" spans="1:8">
      <c r="A478" s="83"/>
      <c r="B478" s="82"/>
      <c r="C478" s="82"/>
      <c r="D478" s="82"/>
      <c r="E478" s="82"/>
      <c r="F478" s="83"/>
      <c r="G478" s="83"/>
      <c r="H478" s="83"/>
    </row>
    <row r="479" spans="1:8">
      <c r="A479" s="83"/>
      <c r="B479" s="82"/>
      <c r="C479" s="82"/>
      <c r="D479" s="82"/>
      <c r="E479" s="82"/>
      <c r="F479" s="83"/>
      <c r="G479" s="83"/>
      <c r="H479" s="83"/>
    </row>
    <row r="480" spans="1:8">
      <c r="A480" s="83"/>
      <c r="B480" s="82"/>
      <c r="C480" s="82"/>
      <c r="D480" s="82"/>
      <c r="E480" s="82"/>
      <c r="F480" s="83"/>
      <c r="G480" s="83"/>
      <c r="H480" s="83"/>
    </row>
    <row r="481" spans="1:8">
      <c r="A481" s="83"/>
      <c r="B481" s="82"/>
      <c r="C481" s="82"/>
      <c r="D481" s="82"/>
      <c r="E481" s="82"/>
      <c r="F481" s="83"/>
      <c r="G481" s="83"/>
      <c r="H481" s="83"/>
    </row>
    <row r="482" spans="1:8">
      <c r="A482" s="83"/>
      <c r="B482" s="82"/>
      <c r="C482" s="82"/>
      <c r="D482" s="82"/>
      <c r="E482" s="82"/>
      <c r="F482" s="83"/>
      <c r="G482" s="83"/>
      <c r="H482" s="83"/>
    </row>
    <row r="483" spans="1:8">
      <c r="A483" s="83"/>
      <c r="B483" s="82"/>
      <c r="C483" s="82"/>
      <c r="D483" s="82"/>
      <c r="E483" s="82"/>
      <c r="F483" s="83"/>
      <c r="G483" s="83"/>
      <c r="H483" s="83"/>
    </row>
    <row r="484" spans="1:8">
      <c r="A484" s="83"/>
      <c r="B484" s="82"/>
      <c r="C484" s="82"/>
      <c r="D484" s="82"/>
      <c r="E484" s="82"/>
      <c r="F484" s="83"/>
      <c r="G484" s="83"/>
      <c r="H484" s="83"/>
    </row>
    <row r="485" spans="1:8">
      <c r="A485" s="83"/>
      <c r="B485" s="82"/>
      <c r="C485" s="82"/>
      <c r="D485" s="82"/>
      <c r="E485" s="82"/>
      <c r="F485" s="83"/>
      <c r="G485" s="83"/>
      <c r="H485" s="83"/>
    </row>
    <row r="486" spans="1:8">
      <c r="A486" s="83"/>
      <c r="B486" s="82"/>
      <c r="C486" s="82"/>
      <c r="D486" s="82"/>
      <c r="E486" s="82"/>
      <c r="F486" s="83"/>
      <c r="G486" s="83"/>
      <c r="H486" s="83"/>
    </row>
    <row r="487" spans="1:8">
      <c r="A487" s="83"/>
      <c r="B487" s="82"/>
      <c r="C487" s="82"/>
      <c r="D487" s="82"/>
      <c r="E487" s="82"/>
      <c r="F487" s="83"/>
      <c r="G487" s="83"/>
      <c r="H487" s="83"/>
    </row>
    <row r="488" spans="1:8">
      <c r="A488" s="83"/>
      <c r="B488" s="82"/>
      <c r="C488" s="82"/>
      <c r="D488" s="82"/>
      <c r="E488" s="82"/>
      <c r="F488" s="83"/>
      <c r="G488" s="83"/>
      <c r="H488" s="83"/>
    </row>
    <row r="489" spans="1:8">
      <c r="A489" s="83"/>
      <c r="B489" s="82"/>
      <c r="C489" s="82"/>
      <c r="D489" s="82"/>
      <c r="E489" s="82"/>
      <c r="F489" s="83"/>
      <c r="G489" s="83"/>
      <c r="H489" s="83"/>
    </row>
    <row r="490" spans="1:8">
      <c r="A490" s="83"/>
      <c r="B490" s="82"/>
      <c r="C490" s="82"/>
      <c r="D490" s="82"/>
      <c r="E490" s="82"/>
      <c r="F490" s="83"/>
      <c r="G490" s="83"/>
      <c r="H490" s="83"/>
    </row>
    <row r="491" spans="1:8">
      <c r="A491" s="83"/>
      <c r="B491" s="82"/>
      <c r="C491" s="82"/>
      <c r="D491" s="82"/>
      <c r="E491" s="82"/>
      <c r="F491" s="83"/>
      <c r="G491" s="83"/>
      <c r="H491" s="83"/>
    </row>
    <row r="492" spans="1:8">
      <c r="A492" s="83"/>
      <c r="B492" s="82"/>
      <c r="C492" s="82"/>
      <c r="D492" s="82"/>
      <c r="E492" s="82"/>
      <c r="F492" s="83"/>
      <c r="G492" s="83"/>
      <c r="H492" s="83"/>
    </row>
    <row r="493" spans="1:8">
      <c r="A493" s="83"/>
      <c r="B493" s="82"/>
      <c r="C493" s="82"/>
      <c r="D493" s="82"/>
      <c r="E493" s="82"/>
      <c r="F493" s="83"/>
      <c r="G493" s="83"/>
      <c r="H493" s="83"/>
    </row>
    <row r="494" spans="1:8">
      <c r="A494" s="83"/>
      <c r="B494" s="82"/>
      <c r="C494" s="82"/>
      <c r="D494" s="82"/>
      <c r="E494" s="82"/>
      <c r="F494" s="83"/>
      <c r="G494" s="83"/>
      <c r="H494" s="83"/>
    </row>
    <row r="495" spans="1:8">
      <c r="A495" s="83"/>
      <c r="B495" s="82"/>
      <c r="C495" s="82"/>
      <c r="D495" s="82"/>
      <c r="E495" s="82"/>
      <c r="F495" s="83"/>
      <c r="G495" s="83"/>
      <c r="H495" s="83"/>
    </row>
    <row r="496" spans="1:8">
      <c r="A496" s="83"/>
      <c r="B496" s="82"/>
      <c r="C496" s="82"/>
      <c r="D496" s="82"/>
      <c r="E496" s="82"/>
      <c r="F496" s="83"/>
      <c r="G496" s="83"/>
      <c r="H496" s="83"/>
    </row>
    <row r="497" spans="1:8">
      <c r="A497" s="83"/>
      <c r="B497" s="82"/>
      <c r="C497" s="82"/>
      <c r="D497" s="82"/>
      <c r="E497" s="82"/>
      <c r="F497" s="83"/>
      <c r="G497" s="83"/>
      <c r="H497" s="83"/>
    </row>
    <row r="498" spans="1:8">
      <c r="A498" s="83"/>
      <c r="B498" s="82"/>
      <c r="C498" s="82"/>
      <c r="D498" s="82"/>
      <c r="E498" s="82"/>
      <c r="F498" s="83"/>
      <c r="G498" s="83"/>
      <c r="H498" s="83"/>
    </row>
    <row r="499" spans="1:8">
      <c r="A499" s="83"/>
      <c r="B499" s="82"/>
      <c r="C499" s="82"/>
      <c r="D499" s="82"/>
      <c r="E499" s="82"/>
      <c r="F499" s="83"/>
      <c r="G499" s="83"/>
      <c r="H499" s="83"/>
    </row>
    <row r="500" spans="1:8">
      <c r="A500" s="83"/>
      <c r="B500" s="82"/>
      <c r="C500" s="82"/>
      <c r="D500" s="82"/>
      <c r="E500" s="82"/>
      <c r="F500" s="83"/>
      <c r="G500" s="83"/>
      <c r="H500" s="83"/>
    </row>
    <row r="501" spans="1:8">
      <c r="A501" s="83"/>
      <c r="B501" s="82"/>
      <c r="C501" s="82"/>
      <c r="D501" s="82"/>
      <c r="E501" s="82"/>
      <c r="F501" s="83"/>
      <c r="G501" s="83"/>
      <c r="H501" s="83"/>
    </row>
    <row r="502" spans="1:8">
      <c r="A502" s="83"/>
      <c r="B502" s="82"/>
      <c r="C502" s="82"/>
      <c r="D502" s="82"/>
      <c r="E502" s="82"/>
      <c r="F502" s="83"/>
      <c r="G502" s="83"/>
      <c r="H502" s="83"/>
    </row>
    <row r="503" spans="1:8">
      <c r="A503" s="83"/>
      <c r="B503" s="82"/>
      <c r="C503" s="82"/>
      <c r="D503" s="82"/>
      <c r="E503" s="82"/>
      <c r="F503" s="83"/>
      <c r="G503" s="83"/>
      <c r="H503" s="83"/>
    </row>
    <row r="504" spans="1:8">
      <c r="A504" s="83"/>
      <c r="B504" s="82"/>
      <c r="C504" s="82"/>
      <c r="D504" s="82"/>
      <c r="E504" s="82"/>
      <c r="F504" s="83"/>
      <c r="G504" s="83"/>
      <c r="H504" s="83"/>
    </row>
    <row r="505" spans="1:8">
      <c r="A505" s="83"/>
      <c r="B505" s="82"/>
      <c r="C505" s="82"/>
      <c r="D505" s="82"/>
      <c r="E505" s="82"/>
      <c r="F505" s="83"/>
      <c r="G505" s="83"/>
      <c r="H505" s="83"/>
    </row>
    <row r="506" spans="1:8">
      <c r="A506" s="83"/>
      <c r="B506" s="82"/>
      <c r="C506" s="82"/>
      <c r="D506" s="82"/>
      <c r="E506" s="82"/>
      <c r="F506" s="83"/>
      <c r="G506" s="83"/>
      <c r="H506" s="83"/>
    </row>
    <row r="507" spans="1:8">
      <c r="A507" s="83"/>
      <c r="B507" s="82"/>
      <c r="C507" s="82"/>
      <c r="D507" s="82"/>
      <c r="E507" s="82"/>
      <c r="F507" s="83"/>
      <c r="G507" s="83"/>
      <c r="H507" s="83"/>
    </row>
    <row r="508" spans="1:8">
      <c r="A508" s="83"/>
      <c r="B508" s="82"/>
      <c r="C508" s="82"/>
      <c r="D508" s="82"/>
      <c r="E508" s="82"/>
      <c r="F508" s="83"/>
      <c r="G508" s="83"/>
      <c r="H508" s="83"/>
    </row>
    <row r="509" spans="1:8">
      <c r="A509" s="83"/>
      <c r="B509" s="82"/>
      <c r="C509" s="82"/>
      <c r="D509" s="82"/>
      <c r="E509" s="82"/>
      <c r="F509" s="83"/>
      <c r="G509" s="83"/>
      <c r="H509" s="83"/>
    </row>
    <row r="510" spans="1:8">
      <c r="A510" s="83"/>
      <c r="B510" s="82"/>
      <c r="C510" s="82"/>
      <c r="D510" s="82"/>
      <c r="E510" s="82"/>
      <c r="F510" s="83"/>
      <c r="G510" s="83"/>
      <c r="H510" s="83"/>
    </row>
    <row r="511" spans="1:8">
      <c r="A511" s="83"/>
      <c r="B511" s="82"/>
      <c r="C511" s="82"/>
      <c r="D511" s="82"/>
      <c r="E511" s="82"/>
      <c r="F511" s="83"/>
      <c r="G511" s="83"/>
      <c r="H511" s="83"/>
    </row>
    <row r="512" spans="1:8">
      <c r="A512" s="83"/>
      <c r="B512" s="82"/>
      <c r="C512" s="82"/>
      <c r="D512" s="82"/>
      <c r="E512" s="82"/>
      <c r="F512" s="83"/>
      <c r="G512" s="83"/>
      <c r="H512" s="83"/>
    </row>
    <row r="513" spans="1:8">
      <c r="A513" s="83"/>
      <c r="B513" s="82"/>
      <c r="C513" s="82"/>
      <c r="D513" s="82"/>
      <c r="E513" s="82"/>
      <c r="F513" s="83"/>
      <c r="G513" s="83"/>
      <c r="H513" s="83"/>
    </row>
    <row r="514" spans="1:8">
      <c r="A514" s="83"/>
      <c r="B514" s="82"/>
      <c r="C514" s="82"/>
      <c r="D514" s="82"/>
      <c r="E514" s="82"/>
      <c r="F514" s="83"/>
      <c r="G514" s="83"/>
      <c r="H514" s="83"/>
    </row>
    <row r="515" spans="1:8">
      <c r="A515" s="83"/>
      <c r="B515" s="82"/>
      <c r="C515" s="82"/>
      <c r="D515" s="82"/>
      <c r="E515" s="82"/>
      <c r="F515" s="83"/>
      <c r="G515" s="83"/>
      <c r="H515" s="83"/>
    </row>
    <row r="516" spans="1:8">
      <c r="A516" s="83"/>
      <c r="B516" s="82"/>
      <c r="C516" s="82"/>
      <c r="D516" s="82"/>
      <c r="E516" s="82"/>
      <c r="F516" s="83"/>
      <c r="G516" s="83"/>
      <c r="H516" s="83"/>
    </row>
    <row r="517" spans="1:8">
      <c r="A517" s="83"/>
      <c r="B517" s="82"/>
      <c r="C517" s="82"/>
      <c r="D517" s="82"/>
      <c r="E517" s="82"/>
      <c r="F517" s="83"/>
      <c r="G517" s="83"/>
      <c r="H517" s="83"/>
    </row>
    <row r="518" spans="1:8">
      <c r="A518" s="83"/>
      <c r="B518" s="82"/>
      <c r="C518" s="82"/>
      <c r="D518" s="82"/>
      <c r="E518" s="82"/>
      <c r="F518" s="83"/>
      <c r="G518" s="83"/>
      <c r="H518" s="83"/>
    </row>
    <row r="519" spans="1:8">
      <c r="A519" s="83"/>
      <c r="B519" s="82"/>
      <c r="C519" s="82"/>
      <c r="D519" s="82"/>
      <c r="E519" s="82"/>
      <c r="F519" s="83"/>
      <c r="G519" s="83"/>
      <c r="H519" s="83"/>
    </row>
    <row r="520" spans="1:8">
      <c r="A520" s="83"/>
      <c r="B520" s="82"/>
      <c r="C520" s="82"/>
      <c r="D520" s="82"/>
      <c r="E520" s="82"/>
      <c r="F520" s="83"/>
      <c r="G520" s="83"/>
      <c r="H520" s="83"/>
    </row>
    <row r="521" spans="1:8">
      <c r="A521" s="83"/>
      <c r="B521" s="82"/>
      <c r="C521" s="82"/>
      <c r="D521" s="82"/>
      <c r="E521" s="82"/>
      <c r="F521" s="83"/>
      <c r="G521" s="83"/>
      <c r="H521" s="83"/>
    </row>
    <row r="522" spans="1:8">
      <c r="A522" s="83"/>
      <c r="B522" s="82"/>
      <c r="C522" s="82"/>
      <c r="D522" s="82"/>
      <c r="E522" s="82"/>
      <c r="F522" s="83"/>
      <c r="G522" s="83"/>
      <c r="H522" s="83"/>
    </row>
    <row r="523" spans="1:8">
      <c r="A523" s="83"/>
      <c r="B523" s="82"/>
      <c r="C523" s="82"/>
      <c r="D523" s="82"/>
      <c r="E523" s="82"/>
      <c r="F523" s="83"/>
      <c r="G523" s="83"/>
      <c r="H523" s="83"/>
    </row>
    <row r="524" spans="1:8">
      <c r="A524" s="83"/>
      <c r="B524" s="82"/>
      <c r="C524" s="82"/>
      <c r="D524" s="82"/>
      <c r="E524" s="82"/>
      <c r="F524" s="83"/>
      <c r="G524" s="83"/>
      <c r="H524" s="83"/>
    </row>
    <row r="525" spans="1:8">
      <c r="A525" s="83"/>
      <c r="B525" s="82"/>
      <c r="C525" s="82"/>
      <c r="D525" s="82"/>
      <c r="E525" s="82"/>
      <c r="F525" s="83"/>
      <c r="G525" s="83"/>
      <c r="H525" s="83"/>
    </row>
    <row r="526" spans="1:8">
      <c r="A526" s="83"/>
      <c r="B526" s="82"/>
      <c r="C526" s="82"/>
      <c r="D526" s="82"/>
      <c r="E526" s="82"/>
      <c r="F526" s="83"/>
      <c r="G526" s="83"/>
      <c r="H526" s="83"/>
    </row>
    <row r="527" spans="1:8">
      <c r="A527" s="83"/>
      <c r="B527" s="82"/>
      <c r="C527" s="82"/>
      <c r="D527" s="82"/>
      <c r="E527" s="82"/>
      <c r="F527" s="83"/>
      <c r="G527" s="83"/>
      <c r="H527" s="83"/>
    </row>
    <row r="528" spans="1:8">
      <c r="A528" s="83"/>
      <c r="B528" s="82"/>
      <c r="C528" s="82"/>
      <c r="D528" s="82"/>
      <c r="E528" s="82"/>
      <c r="F528" s="83"/>
      <c r="G528" s="83"/>
      <c r="H528" s="83"/>
    </row>
    <row r="529" spans="1:8">
      <c r="A529" s="83"/>
      <c r="B529" s="82"/>
      <c r="C529" s="82"/>
      <c r="D529" s="82"/>
      <c r="E529" s="82"/>
      <c r="F529" s="83"/>
      <c r="G529" s="83"/>
      <c r="H529" s="83"/>
    </row>
    <row r="530" spans="1:8">
      <c r="A530" s="83"/>
      <c r="B530" s="82"/>
      <c r="C530" s="82"/>
      <c r="D530" s="82"/>
      <c r="E530" s="82"/>
      <c r="F530" s="83"/>
      <c r="G530" s="83"/>
      <c r="H530" s="83"/>
    </row>
    <row r="531" spans="1:8">
      <c r="A531" s="83"/>
      <c r="B531" s="82"/>
      <c r="C531" s="82"/>
      <c r="D531" s="82"/>
      <c r="E531" s="82"/>
      <c r="F531" s="83"/>
      <c r="G531" s="83"/>
      <c r="H531" s="83"/>
    </row>
    <row r="532" spans="1:8">
      <c r="A532" s="83"/>
      <c r="B532" s="82"/>
      <c r="C532" s="82"/>
      <c r="D532" s="82"/>
      <c r="E532" s="82"/>
      <c r="F532" s="83"/>
      <c r="G532" s="83"/>
      <c r="H532" s="83"/>
    </row>
    <row r="533" spans="1:8">
      <c r="A533" s="83"/>
      <c r="B533" s="82"/>
      <c r="C533" s="82"/>
      <c r="D533" s="82"/>
      <c r="E533" s="82"/>
      <c r="F533" s="83"/>
      <c r="G533" s="83"/>
      <c r="H533" s="83"/>
    </row>
    <row r="534" spans="1:8">
      <c r="A534" s="83"/>
      <c r="B534" s="82"/>
      <c r="C534" s="82"/>
      <c r="D534" s="82"/>
      <c r="E534" s="82"/>
      <c r="F534" s="83"/>
      <c r="G534" s="83"/>
      <c r="H534" s="83"/>
    </row>
    <row r="535" spans="1:8">
      <c r="A535" s="83"/>
      <c r="B535" s="82"/>
      <c r="C535" s="82"/>
      <c r="D535" s="82"/>
      <c r="E535" s="82"/>
      <c r="F535" s="83"/>
      <c r="G535" s="83"/>
      <c r="H535" s="83"/>
    </row>
    <row r="536" spans="1:8">
      <c r="A536" s="83"/>
      <c r="B536" s="82"/>
      <c r="C536" s="82"/>
      <c r="D536" s="82"/>
      <c r="E536" s="82"/>
      <c r="F536" s="83"/>
      <c r="G536" s="83"/>
      <c r="H536" s="83"/>
    </row>
    <row r="537" spans="1:8">
      <c r="A537" s="83"/>
      <c r="B537" s="82"/>
      <c r="C537" s="82"/>
      <c r="D537" s="82"/>
      <c r="E537" s="82"/>
      <c r="F537" s="83"/>
      <c r="G537" s="83"/>
      <c r="H537" s="83"/>
    </row>
    <row r="538" spans="1:8">
      <c r="A538" s="83"/>
      <c r="B538" s="82"/>
      <c r="C538" s="82"/>
      <c r="D538" s="82"/>
      <c r="E538" s="82"/>
      <c r="F538" s="83"/>
      <c r="G538" s="83"/>
      <c r="H538" s="83"/>
    </row>
    <row r="539" spans="1:8">
      <c r="A539" s="83"/>
      <c r="B539" s="82"/>
      <c r="C539" s="82"/>
      <c r="D539" s="82"/>
      <c r="E539" s="82"/>
      <c r="F539" s="83"/>
      <c r="G539" s="83"/>
      <c r="H539" s="83"/>
    </row>
    <row r="540" spans="1:8">
      <c r="A540" s="83"/>
      <c r="B540" s="82"/>
      <c r="C540" s="82"/>
      <c r="D540" s="82"/>
      <c r="E540" s="82"/>
      <c r="F540" s="83"/>
      <c r="G540" s="83"/>
      <c r="H540" s="83"/>
    </row>
    <row r="541" spans="1:8">
      <c r="A541" s="83"/>
      <c r="B541" s="82"/>
      <c r="C541" s="82"/>
      <c r="D541" s="82"/>
      <c r="E541" s="82"/>
      <c r="F541" s="83"/>
      <c r="G541" s="83"/>
      <c r="H541" s="83"/>
    </row>
    <row r="542" spans="1:8">
      <c r="A542" s="83"/>
      <c r="B542" s="82"/>
      <c r="C542" s="82"/>
      <c r="D542" s="82"/>
      <c r="E542" s="82"/>
      <c r="F542" s="83"/>
      <c r="G542" s="83"/>
      <c r="H542" s="83"/>
    </row>
    <row r="543" spans="1:8">
      <c r="A543" s="83"/>
      <c r="B543" s="82"/>
      <c r="C543" s="82"/>
      <c r="D543" s="82"/>
      <c r="E543" s="82"/>
      <c r="F543" s="83"/>
      <c r="G543" s="83"/>
      <c r="H543" s="83"/>
    </row>
    <row r="544" spans="1:8">
      <c r="A544" s="83"/>
      <c r="B544" s="82"/>
      <c r="C544" s="82"/>
      <c r="D544" s="82"/>
      <c r="E544" s="82"/>
      <c r="F544" s="83"/>
      <c r="G544" s="83"/>
      <c r="H544" s="83"/>
    </row>
    <row r="545" spans="1:8">
      <c r="A545" s="83"/>
      <c r="B545" s="82"/>
      <c r="C545" s="82"/>
      <c r="D545" s="82"/>
      <c r="E545" s="82"/>
      <c r="F545" s="83"/>
      <c r="G545" s="83"/>
      <c r="H545" s="83"/>
    </row>
    <row r="546" spans="1:8">
      <c r="A546" s="83"/>
      <c r="B546" s="82"/>
      <c r="C546" s="82"/>
      <c r="D546" s="82"/>
      <c r="E546" s="82"/>
      <c r="F546" s="83"/>
      <c r="G546" s="83"/>
      <c r="H546" s="83"/>
    </row>
    <row r="547" spans="1:8">
      <c r="A547" s="83"/>
      <c r="B547" s="82"/>
      <c r="C547" s="82"/>
      <c r="D547" s="82"/>
      <c r="E547" s="82"/>
      <c r="F547" s="83"/>
      <c r="G547" s="83"/>
      <c r="H547" s="83"/>
    </row>
    <row r="548" spans="1:8">
      <c r="A548" s="83"/>
      <c r="B548" s="82"/>
      <c r="C548" s="82"/>
      <c r="D548" s="82"/>
      <c r="E548" s="82"/>
      <c r="F548" s="83"/>
      <c r="G548" s="83"/>
      <c r="H548" s="83"/>
    </row>
    <row r="549" spans="1:8">
      <c r="A549" s="83"/>
      <c r="B549" s="82"/>
      <c r="C549" s="82"/>
      <c r="D549" s="82"/>
      <c r="E549" s="82"/>
      <c r="F549" s="83"/>
      <c r="G549" s="83"/>
      <c r="H549" s="83"/>
    </row>
    <row r="550" spans="1:8">
      <c r="A550" s="83"/>
      <c r="B550" s="82"/>
      <c r="C550" s="82"/>
      <c r="D550" s="82"/>
      <c r="E550" s="82"/>
      <c r="F550" s="83"/>
      <c r="G550" s="83"/>
      <c r="H550" s="83"/>
    </row>
    <row r="551" spans="1:8">
      <c r="A551" s="83"/>
      <c r="B551" s="82"/>
      <c r="C551" s="82"/>
      <c r="D551" s="82"/>
      <c r="E551" s="82"/>
      <c r="F551" s="83"/>
      <c r="G551" s="83"/>
      <c r="H551" s="83"/>
    </row>
    <row r="552" spans="1:8">
      <c r="A552" s="83"/>
      <c r="B552" s="82"/>
      <c r="C552" s="82"/>
      <c r="D552" s="82"/>
      <c r="E552" s="82"/>
      <c r="F552" s="83"/>
      <c r="G552" s="83"/>
      <c r="H552" s="83"/>
    </row>
    <row r="553" spans="1:8">
      <c r="A553" s="83"/>
      <c r="B553" s="82"/>
      <c r="C553" s="82"/>
      <c r="D553" s="82"/>
      <c r="E553" s="82"/>
      <c r="F553" s="83"/>
      <c r="G553" s="83"/>
      <c r="H553" s="83"/>
    </row>
    <row r="554" spans="1:8">
      <c r="A554" s="83"/>
      <c r="B554" s="82"/>
      <c r="C554" s="82"/>
      <c r="D554" s="82"/>
      <c r="E554" s="82"/>
      <c r="F554" s="83"/>
      <c r="G554" s="83"/>
      <c r="H554" s="83"/>
    </row>
    <row r="555" spans="1:8">
      <c r="A555" s="83"/>
      <c r="B555" s="82"/>
      <c r="C555" s="82"/>
      <c r="D555" s="82"/>
      <c r="E555" s="82"/>
      <c r="F555" s="83"/>
      <c r="G555" s="83"/>
      <c r="H555" s="83"/>
    </row>
    <row r="556" spans="1:8">
      <c r="A556" s="83"/>
      <c r="B556" s="82"/>
      <c r="C556" s="82"/>
      <c r="D556" s="82"/>
      <c r="E556" s="82"/>
      <c r="F556" s="83"/>
      <c r="G556" s="83"/>
      <c r="H556" s="83"/>
    </row>
    <row r="557" spans="1:8">
      <c r="A557" s="83"/>
      <c r="B557" s="82"/>
      <c r="C557" s="82"/>
      <c r="D557" s="82"/>
      <c r="E557" s="82"/>
      <c r="F557" s="83"/>
      <c r="G557" s="83"/>
      <c r="H557" s="83"/>
    </row>
    <row r="558" spans="1:8">
      <c r="A558" s="83"/>
      <c r="B558" s="82"/>
      <c r="C558" s="82"/>
      <c r="D558" s="82"/>
      <c r="E558" s="82"/>
      <c r="F558" s="83"/>
      <c r="G558" s="83"/>
      <c r="H558" s="83"/>
    </row>
    <row r="559" spans="1:8">
      <c r="A559" s="83"/>
      <c r="B559" s="82"/>
      <c r="C559" s="82"/>
      <c r="D559" s="82"/>
      <c r="E559" s="82"/>
      <c r="F559" s="83"/>
      <c r="G559" s="83"/>
      <c r="H559" s="83"/>
    </row>
    <row r="560" spans="1:8">
      <c r="A560" s="83"/>
      <c r="B560" s="82"/>
      <c r="C560" s="82"/>
      <c r="D560" s="82"/>
      <c r="E560" s="82"/>
      <c r="F560" s="83"/>
      <c r="G560" s="83"/>
      <c r="H560" s="83"/>
    </row>
    <row r="561" spans="1:8">
      <c r="A561" s="83"/>
      <c r="B561" s="82"/>
      <c r="C561" s="82"/>
      <c r="D561" s="82"/>
      <c r="E561" s="82"/>
      <c r="F561" s="83"/>
      <c r="G561" s="83"/>
      <c r="H561" s="83"/>
    </row>
    <row r="562" spans="1:8">
      <c r="A562" s="83"/>
      <c r="B562" s="82"/>
      <c r="C562" s="82"/>
      <c r="D562" s="82"/>
      <c r="E562" s="82"/>
      <c r="F562" s="83"/>
      <c r="G562" s="83"/>
      <c r="H562" s="83"/>
    </row>
    <row r="563" spans="1:8">
      <c r="A563" s="83"/>
      <c r="B563" s="82"/>
      <c r="C563" s="82"/>
      <c r="D563" s="82"/>
      <c r="E563" s="82"/>
      <c r="F563" s="83"/>
      <c r="G563" s="83"/>
      <c r="H563" s="83"/>
    </row>
    <row r="564" spans="1:8">
      <c r="A564" s="83"/>
      <c r="B564" s="82"/>
      <c r="C564" s="82"/>
      <c r="D564" s="82"/>
      <c r="E564" s="82"/>
      <c r="F564" s="83"/>
      <c r="G564" s="83"/>
      <c r="H564" s="83"/>
    </row>
    <row r="565" spans="1:8">
      <c r="A565" s="83"/>
      <c r="B565" s="82"/>
      <c r="C565" s="82"/>
      <c r="D565" s="82"/>
      <c r="E565" s="82"/>
      <c r="F565" s="83"/>
      <c r="G565" s="83"/>
      <c r="H565" s="83"/>
    </row>
    <row r="566" spans="1:8">
      <c r="A566" s="83"/>
      <c r="B566" s="82"/>
      <c r="C566" s="82"/>
      <c r="D566" s="82"/>
      <c r="E566" s="82"/>
      <c r="F566" s="83"/>
      <c r="G566" s="83"/>
      <c r="H566" s="83"/>
    </row>
    <row r="567" spans="1:8">
      <c r="A567" s="83"/>
      <c r="B567" s="82"/>
      <c r="C567" s="82"/>
      <c r="D567" s="82"/>
      <c r="E567" s="82"/>
      <c r="F567" s="83"/>
      <c r="G567" s="83"/>
      <c r="H567" s="83"/>
    </row>
    <row r="568" spans="1:8">
      <c r="A568" s="83"/>
      <c r="B568" s="82"/>
      <c r="C568" s="82"/>
      <c r="D568" s="82"/>
      <c r="E568" s="82"/>
      <c r="F568" s="83"/>
      <c r="G568" s="83"/>
      <c r="H568" s="83"/>
    </row>
    <row r="569" spans="1:8">
      <c r="A569" s="83"/>
      <c r="B569" s="82"/>
      <c r="C569" s="82"/>
      <c r="D569" s="82"/>
      <c r="E569" s="82"/>
      <c r="F569" s="83"/>
      <c r="G569" s="83"/>
      <c r="H569" s="83"/>
    </row>
    <row r="570" spans="1:8">
      <c r="A570" s="83"/>
      <c r="B570" s="82"/>
      <c r="C570" s="82"/>
      <c r="D570" s="82"/>
      <c r="E570" s="82"/>
      <c r="F570" s="83"/>
      <c r="G570" s="83"/>
      <c r="H570" s="83"/>
    </row>
    <row r="571" spans="1:8">
      <c r="A571" s="83"/>
      <c r="B571" s="82"/>
      <c r="C571" s="82"/>
      <c r="D571" s="82"/>
      <c r="E571" s="82"/>
      <c r="F571" s="83"/>
      <c r="G571" s="83"/>
      <c r="H571" s="83"/>
    </row>
    <row r="572" spans="1:8">
      <c r="A572" s="83"/>
      <c r="B572" s="82"/>
      <c r="C572" s="82"/>
      <c r="D572" s="82"/>
      <c r="E572" s="82"/>
      <c r="F572" s="83"/>
      <c r="G572" s="83"/>
      <c r="H572" s="83"/>
    </row>
    <row r="573" spans="1:8">
      <c r="A573" s="83"/>
      <c r="B573" s="82"/>
      <c r="C573" s="82"/>
      <c r="D573" s="82"/>
      <c r="E573" s="82"/>
      <c r="F573" s="83"/>
      <c r="G573" s="83"/>
      <c r="H573" s="83"/>
    </row>
    <row r="574" spans="1:8">
      <c r="A574" s="83"/>
      <c r="B574" s="82"/>
      <c r="C574" s="82"/>
      <c r="D574" s="82"/>
      <c r="E574" s="82"/>
      <c r="F574" s="83"/>
      <c r="G574" s="83"/>
      <c r="H574" s="83"/>
    </row>
    <row r="575" spans="1:8">
      <c r="A575" s="83"/>
      <c r="B575" s="82"/>
      <c r="C575" s="82"/>
      <c r="D575" s="82"/>
      <c r="E575" s="82"/>
      <c r="F575" s="83"/>
      <c r="G575" s="83"/>
      <c r="H575" s="83"/>
    </row>
    <row r="576" spans="1:8">
      <c r="A576" s="83"/>
      <c r="B576" s="82"/>
      <c r="C576" s="82"/>
      <c r="D576" s="82"/>
      <c r="E576" s="82"/>
      <c r="F576" s="83"/>
      <c r="G576" s="83"/>
      <c r="H576" s="83"/>
    </row>
    <row r="577" spans="1:8">
      <c r="A577" s="83"/>
      <c r="B577" s="82"/>
      <c r="C577" s="82"/>
      <c r="D577" s="82"/>
      <c r="E577" s="82"/>
      <c r="F577" s="83"/>
      <c r="G577" s="83"/>
      <c r="H577" s="83"/>
    </row>
    <row r="578" spans="1:8">
      <c r="A578" s="83"/>
      <c r="B578" s="82"/>
      <c r="C578" s="82"/>
      <c r="D578" s="82"/>
      <c r="E578" s="82"/>
      <c r="F578" s="83"/>
      <c r="G578" s="83"/>
      <c r="H578" s="83"/>
    </row>
    <row r="579" spans="1:8">
      <c r="A579" s="83"/>
      <c r="B579" s="82"/>
      <c r="C579" s="82"/>
      <c r="D579" s="82"/>
      <c r="E579" s="82"/>
      <c r="F579" s="83"/>
      <c r="G579" s="83"/>
      <c r="H579" s="83"/>
    </row>
    <row r="580" spans="1:8">
      <c r="A580" s="83"/>
      <c r="B580" s="82"/>
      <c r="C580" s="82"/>
      <c r="D580" s="82"/>
      <c r="E580" s="82"/>
      <c r="F580" s="83"/>
      <c r="G580" s="83"/>
      <c r="H580" s="83"/>
    </row>
    <row r="581" spans="1:8">
      <c r="A581" s="83"/>
      <c r="B581" s="82"/>
      <c r="C581" s="82"/>
      <c r="D581" s="82"/>
      <c r="E581" s="82"/>
      <c r="F581" s="83"/>
      <c r="G581" s="83"/>
      <c r="H581" s="83"/>
    </row>
    <row r="582" spans="1:8">
      <c r="A582" s="83"/>
      <c r="B582" s="82"/>
      <c r="C582" s="82"/>
      <c r="D582" s="82"/>
      <c r="E582" s="82"/>
      <c r="F582" s="83"/>
      <c r="G582" s="83"/>
      <c r="H582" s="83"/>
    </row>
    <row r="583" spans="1:8">
      <c r="A583" s="83"/>
      <c r="B583" s="82"/>
      <c r="C583" s="82"/>
      <c r="D583" s="82"/>
      <c r="E583" s="82"/>
      <c r="F583" s="83"/>
      <c r="G583" s="83"/>
      <c r="H583" s="83"/>
    </row>
    <row r="584" spans="1:8">
      <c r="A584" s="83"/>
      <c r="B584" s="82"/>
      <c r="C584" s="82"/>
      <c r="D584" s="82"/>
      <c r="E584" s="82"/>
      <c r="F584" s="83"/>
      <c r="G584" s="83"/>
      <c r="H584" s="83"/>
    </row>
    <row r="585" spans="1:8">
      <c r="A585" s="83"/>
      <c r="B585" s="82"/>
      <c r="C585" s="82"/>
      <c r="D585" s="82"/>
      <c r="E585" s="82"/>
      <c r="F585" s="83"/>
      <c r="G585" s="83"/>
      <c r="H585" s="83"/>
    </row>
    <row r="586" spans="1:8">
      <c r="A586" s="83"/>
      <c r="B586" s="82"/>
      <c r="C586" s="82"/>
      <c r="D586" s="82"/>
      <c r="E586" s="82"/>
      <c r="F586" s="83"/>
      <c r="G586" s="83"/>
      <c r="H586" s="83"/>
    </row>
    <row r="587" spans="1:8">
      <c r="A587" s="83"/>
      <c r="B587" s="82"/>
      <c r="C587" s="82"/>
      <c r="D587" s="82"/>
      <c r="E587" s="82"/>
      <c r="F587" s="83"/>
      <c r="G587" s="83"/>
      <c r="H587" s="83"/>
    </row>
    <row r="588" spans="1:8">
      <c r="A588" s="83"/>
      <c r="B588" s="82"/>
      <c r="C588" s="82"/>
      <c r="D588" s="82"/>
      <c r="E588" s="82"/>
      <c r="F588" s="83"/>
      <c r="G588" s="83"/>
      <c r="H588" s="83"/>
    </row>
    <row r="589" spans="1:8">
      <c r="A589" s="83"/>
      <c r="B589" s="82"/>
      <c r="C589" s="82"/>
      <c r="D589" s="82"/>
      <c r="E589" s="82"/>
      <c r="F589" s="83"/>
      <c r="G589" s="83"/>
      <c r="H589" s="83"/>
    </row>
    <row r="590" spans="1:8">
      <c r="A590" s="83"/>
      <c r="B590" s="82"/>
      <c r="C590" s="82"/>
      <c r="D590" s="82"/>
      <c r="E590" s="82"/>
      <c r="F590" s="83"/>
      <c r="G590" s="83"/>
      <c r="H590" s="83"/>
    </row>
    <row r="591" spans="1:8">
      <c r="A591" s="83"/>
      <c r="B591" s="82"/>
      <c r="C591" s="82"/>
      <c r="D591" s="82"/>
      <c r="E591" s="82"/>
      <c r="F591" s="83"/>
      <c r="G591" s="83"/>
      <c r="H591" s="83"/>
    </row>
    <row r="592" spans="1:8">
      <c r="A592" s="83"/>
      <c r="B592" s="82"/>
      <c r="C592" s="82"/>
      <c r="D592" s="82"/>
      <c r="E592" s="82"/>
      <c r="F592" s="83"/>
      <c r="G592" s="83"/>
      <c r="H592" s="83"/>
    </row>
    <row r="593" spans="1:8">
      <c r="A593" s="83"/>
      <c r="B593" s="82"/>
      <c r="C593" s="82"/>
      <c r="D593" s="82"/>
      <c r="E593" s="82"/>
      <c r="F593" s="83"/>
      <c r="G593" s="83"/>
      <c r="H593" s="83"/>
    </row>
    <row r="594" spans="1:8">
      <c r="A594" s="83"/>
      <c r="B594" s="82"/>
      <c r="C594" s="82"/>
      <c r="D594" s="82"/>
      <c r="E594" s="82"/>
      <c r="F594" s="83"/>
      <c r="G594" s="83"/>
      <c r="H594" s="83"/>
    </row>
    <row r="595" spans="1:8">
      <c r="A595" s="83"/>
      <c r="B595" s="82"/>
      <c r="C595" s="82"/>
      <c r="D595" s="82"/>
      <c r="E595" s="82"/>
      <c r="F595" s="83"/>
      <c r="G595" s="83"/>
      <c r="H595" s="83"/>
    </row>
    <row r="596" spans="1:8">
      <c r="A596" s="83"/>
      <c r="B596" s="82"/>
      <c r="C596" s="82"/>
      <c r="D596" s="82"/>
      <c r="E596" s="82"/>
      <c r="F596" s="83"/>
      <c r="G596" s="83"/>
      <c r="H596" s="83"/>
    </row>
    <row r="597" spans="1:8">
      <c r="A597" s="83"/>
      <c r="B597" s="82"/>
      <c r="C597" s="82"/>
      <c r="D597" s="82"/>
      <c r="E597" s="82"/>
      <c r="F597" s="83"/>
      <c r="G597" s="83"/>
      <c r="H597" s="83"/>
    </row>
    <row r="598" spans="1:8">
      <c r="A598" s="83"/>
      <c r="B598" s="82"/>
      <c r="C598" s="82"/>
      <c r="D598" s="82"/>
      <c r="E598" s="82"/>
      <c r="F598" s="83"/>
      <c r="G598" s="83"/>
      <c r="H598" s="83"/>
    </row>
    <row r="599" spans="1:8">
      <c r="A599" s="83"/>
      <c r="B599" s="82"/>
      <c r="C599" s="82"/>
      <c r="D599" s="82"/>
      <c r="E599" s="82"/>
      <c r="F599" s="83"/>
      <c r="G599" s="83"/>
      <c r="H599" s="83"/>
    </row>
    <row r="600" spans="1:8">
      <c r="A600" s="83"/>
      <c r="B600" s="82"/>
      <c r="C600" s="82"/>
      <c r="D600" s="82"/>
      <c r="E600" s="82"/>
      <c r="F600" s="83"/>
      <c r="G600" s="83"/>
      <c r="H600" s="83"/>
    </row>
    <row r="601" spans="1:8">
      <c r="A601" s="83"/>
      <c r="B601" s="82"/>
      <c r="C601" s="82"/>
      <c r="D601" s="82"/>
      <c r="E601" s="82"/>
      <c r="F601" s="83"/>
      <c r="G601" s="83"/>
      <c r="H601" s="83"/>
    </row>
    <row r="602" spans="1:8">
      <c r="A602" s="83"/>
      <c r="B602" s="82"/>
      <c r="C602" s="82"/>
      <c r="D602" s="82"/>
      <c r="E602" s="82"/>
      <c r="F602" s="83"/>
      <c r="G602" s="83"/>
      <c r="H602" s="83"/>
    </row>
    <row r="603" spans="1:8">
      <c r="A603" s="83"/>
      <c r="B603" s="82"/>
      <c r="C603" s="82"/>
      <c r="D603" s="82"/>
      <c r="E603" s="82"/>
      <c r="F603" s="83"/>
      <c r="G603" s="83"/>
      <c r="H603" s="83"/>
    </row>
    <row r="604" spans="1:8">
      <c r="A604" s="83"/>
      <c r="B604" s="82"/>
      <c r="C604" s="82"/>
      <c r="D604" s="82"/>
      <c r="E604" s="82"/>
      <c r="F604" s="83"/>
      <c r="G604" s="83"/>
      <c r="H604" s="83"/>
    </row>
    <row r="605" spans="1:8">
      <c r="A605" s="83"/>
      <c r="B605" s="82"/>
      <c r="C605" s="82"/>
      <c r="D605" s="82"/>
      <c r="E605" s="82"/>
      <c r="F605" s="83"/>
      <c r="G605" s="83"/>
      <c r="H605" s="83"/>
    </row>
    <row r="606" spans="1:8">
      <c r="A606" s="83"/>
      <c r="B606" s="82"/>
      <c r="C606" s="82"/>
      <c r="D606" s="82"/>
      <c r="E606" s="82"/>
      <c r="F606" s="83"/>
      <c r="G606" s="83"/>
      <c r="H606" s="83"/>
    </row>
    <row r="607" spans="1:8">
      <c r="A607" s="83"/>
      <c r="B607" s="82"/>
      <c r="C607" s="82"/>
      <c r="D607" s="82"/>
      <c r="E607" s="82"/>
      <c r="F607" s="83"/>
      <c r="G607" s="83"/>
      <c r="H607" s="83"/>
    </row>
    <row r="608" spans="1:8">
      <c r="A608" s="83"/>
      <c r="B608" s="82"/>
      <c r="C608" s="82"/>
      <c r="D608" s="82"/>
      <c r="E608" s="82"/>
      <c r="F608" s="83"/>
      <c r="G608" s="83"/>
      <c r="H608" s="83"/>
    </row>
    <row r="609" spans="1:8">
      <c r="A609" s="83"/>
      <c r="B609" s="82"/>
      <c r="C609" s="82"/>
      <c r="D609" s="82"/>
      <c r="E609" s="82"/>
      <c r="F609" s="83"/>
      <c r="G609" s="83"/>
      <c r="H609" s="83"/>
    </row>
    <row r="610" spans="1:8">
      <c r="A610" s="83"/>
      <c r="B610" s="82"/>
      <c r="C610" s="82"/>
      <c r="D610" s="82"/>
      <c r="E610" s="82"/>
      <c r="F610" s="83"/>
      <c r="G610" s="83"/>
      <c r="H610" s="83"/>
    </row>
    <row r="611" spans="1:8">
      <c r="A611" s="83"/>
      <c r="B611" s="82"/>
      <c r="C611" s="82"/>
      <c r="D611" s="82"/>
      <c r="E611" s="82"/>
      <c r="F611" s="83"/>
      <c r="G611" s="83"/>
      <c r="H611" s="83"/>
    </row>
    <row r="612" spans="1:8">
      <c r="A612" s="83"/>
      <c r="B612" s="82"/>
      <c r="C612" s="82"/>
      <c r="D612" s="82"/>
      <c r="E612" s="82"/>
      <c r="F612" s="83"/>
      <c r="G612" s="83"/>
      <c r="H612" s="83"/>
    </row>
    <row r="613" spans="1:8">
      <c r="A613" s="83"/>
      <c r="B613" s="82"/>
      <c r="C613" s="82"/>
      <c r="D613" s="82"/>
      <c r="E613" s="82"/>
      <c r="F613" s="83"/>
      <c r="G613" s="83"/>
      <c r="H613" s="83"/>
    </row>
    <row r="614" spans="1:8">
      <c r="A614" s="83"/>
      <c r="B614" s="82"/>
      <c r="C614" s="82"/>
      <c r="D614" s="82"/>
      <c r="E614" s="82"/>
      <c r="F614" s="83"/>
      <c r="G614" s="83"/>
      <c r="H614" s="83"/>
    </row>
    <row r="615" spans="1:8">
      <c r="A615" s="83"/>
      <c r="B615" s="82"/>
      <c r="C615" s="82"/>
      <c r="D615" s="82"/>
      <c r="E615" s="82"/>
      <c r="F615" s="83"/>
      <c r="G615" s="83"/>
      <c r="H615" s="83"/>
    </row>
    <row r="616" spans="1:8">
      <c r="A616" s="83"/>
      <c r="B616" s="82"/>
      <c r="C616" s="82"/>
      <c r="D616" s="82"/>
      <c r="E616" s="82"/>
      <c r="F616" s="83"/>
      <c r="G616" s="83"/>
      <c r="H616" s="83"/>
    </row>
    <row r="617" spans="1:8">
      <c r="A617" s="83"/>
      <c r="B617" s="82"/>
      <c r="C617" s="82"/>
      <c r="D617" s="82"/>
      <c r="E617" s="82"/>
      <c r="F617" s="83"/>
      <c r="G617" s="83"/>
      <c r="H617" s="83"/>
    </row>
    <row r="618" spans="1:8">
      <c r="A618" s="83"/>
      <c r="B618" s="82"/>
      <c r="C618" s="82"/>
      <c r="D618" s="82"/>
      <c r="E618" s="82"/>
      <c r="F618" s="83"/>
      <c r="G618" s="83"/>
      <c r="H618" s="83"/>
    </row>
    <row r="619" spans="1:8">
      <c r="A619" s="83"/>
      <c r="B619" s="82"/>
      <c r="C619" s="82"/>
      <c r="D619" s="82"/>
      <c r="E619" s="82"/>
      <c r="F619" s="83"/>
      <c r="G619" s="83"/>
      <c r="H619" s="83"/>
    </row>
    <row r="620" spans="1:8">
      <c r="A620" s="83"/>
      <c r="B620" s="82"/>
      <c r="C620" s="82"/>
      <c r="D620" s="82"/>
      <c r="E620" s="82"/>
      <c r="F620" s="83"/>
      <c r="G620" s="83"/>
      <c r="H620" s="83"/>
    </row>
    <row r="621" spans="1:8">
      <c r="A621" s="83"/>
      <c r="B621" s="82"/>
      <c r="C621" s="82"/>
      <c r="D621" s="82"/>
      <c r="E621" s="82"/>
      <c r="F621" s="83"/>
      <c r="G621" s="83"/>
      <c r="H621" s="83"/>
    </row>
    <row r="622" spans="1:8">
      <c r="A622" s="83"/>
      <c r="B622" s="82"/>
      <c r="C622" s="82"/>
      <c r="D622" s="82"/>
      <c r="E622" s="82"/>
      <c r="F622" s="83"/>
      <c r="G622" s="83"/>
      <c r="H622" s="83"/>
    </row>
    <row r="623" spans="1:8">
      <c r="A623" s="83"/>
      <c r="B623" s="82"/>
      <c r="C623" s="82"/>
      <c r="D623" s="82"/>
      <c r="E623" s="82"/>
      <c r="F623" s="83"/>
      <c r="G623" s="83"/>
      <c r="H623" s="83"/>
    </row>
    <row r="624" spans="1:8">
      <c r="A624" s="83"/>
      <c r="B624" s="82"/>
      <c r="C624" s="82"/>
      <c r="D624" s="82"/>
      <c r="E624" s="82"/>
      <c r="F624" s="83"/>
      <c r="G624" s="83"/>
      <c r="H624" s="83"/>
    </row>
    <row r="625" spans="1:8">
      <c r="A625" s="83"/>
      <c r="B625" s="82"/>
      <c r="C625" s="82"/>
      <c r="D625" s="82"/>
      <c r="E625" s="82"/>
      <c r="F625" s="83"/>
      <c r="G625" s="83"/>
      <c r="H625" s="83"/>
    </row>
    <row r="626" spans="1:8">
      <c r="A626" s="83"/>
      <c r="B626" s="82"/>
      <c r="C626" s="82"/>
      <c r="D626" s="82"/>
      <c r="E626" s="82"/>
      <c r="F626" s="83"/>
      <c r="G626" s="83"/>
      <c r="H626" s="83"/>
    </row>
    <row r="627" spans="1:8">
      <c r="A627" s="83"/>
      <c r="B627" s="82"/>
      <c r="C627" s="82"/>
      <c r="D627" s="82"/>
      <c r="E627" s="82"/>
      <c r="F627" s="83"/>
      <c r="G627" s="83"/>
      <c r="H627" s="83"/>
    </row>
    <row r="628" spans="1:8">
      <c r="A628" s="83"/>
      <c r="B628" s="82"/>
      <c r="C628" s="82"/>
      <c r="D628" s="82"/>
      <c r="E628" s="82"/>
      <c r="F628" s="83"/>
      <c r="G628" s="83"/>
      <c r="H628" s="83"/>
    </row>
    <row r="629" spans="1:8">
      <c r="A629" s="83"/>
      <c r="B629" s="82"/>
      <c r="C629" s="82"/>
      <c r="D629" s="82"/>
      <c r="E629" s="82"/>
      <c r="F629" s="83"/>
      <c r="G629" s="83"/>
      <c r="H629" s="83"/>
    </row>
    <row r="630" spans="1:8">
      <c r="A630" s="83"/>
      <c r="B630" s="82"/>
      <c r="C630" s="82"/>
      <c r="D630" s="82"/>
      <c r="E630" s="82"/>
      <c r="F630" s="83"/>
      <c r="G630" s="83"/>
      <c r="H630" s="83"/>
    </row>
    <row r="631" spans="1:8">
      <c r="A631" s="83"/>
      <c r="B631" s="82"/>
      <c r="C631" s="82"/>
      <c r="D631" s="82"/>
      <c r="E631" s="82"/>
      <c r="F631" s="83"/>
      <c r="G631" s="83"/>
      <c r="H631" s="83"/>
    </row>
    <row r="632" spans="1:8">
      <c r="A632" s="83"/>
      <c r="B632" s="82"/>
      <c r="C632" s="82"/>
      <c r="D632" s="82"/>
      <c r="E632" s="82"/>
      <c r="F632" s="83"/>
      <c r="G632" s="83"/>
      <c r="H632" s="83"/>
    </row>
    <row r="633" spans="1:8">
      <c r="A633" s="83"/>
      <c r="B633" s="82"/>
      <c r="C633" s="82"/>
      <c r="D633" s="82"/>
      <c r="E633" s="82"/>
      <c r="F633" s="83"/>
      <c r="G633" s="83"/>
      <c r="H633" s="83"/>
    </row>
    <row r="634" spans="1:8">
      <c r="A634" s="83"/>
      <c r="B634" s="82"/>
      <c r="C634" s="82"/>
      <c r="D634" s="82"/>
      <c r="E634" s="82"/>
      <c r="F634" s="83"/>
      <c r="G634" s="83"/>
      <c r="H634" s="83"/>
    </row>
    <row r="635" spans="1:8">
      <c r="A635" s="83"/>
      <c r="B635" s="82"/>
      <c r="C635" s="82"/>
      <c r="D635" s="82"/>
      <c r="E635" s="82"/>
      <c r="F635" s="83"/>
      <c r="G635" s="83"/>
      <c r="H635" s="83"/>
    </row>
    <row r="636" spans="1:8">
      <c r="A636" s="83"/>
      <c r="B636" s="82"/>
      <c r="C636" s="82"/>
      <c r="D636" s="82"/>
      <c r="E636" s="82"/>
      <c r="F636" s="83"/>
      <c r="G636" s="83"/>
      <c r="H636" s="83"/>
    </row>
    <row r="637" spans="1:8">
      <c r="A637" s="83"/>
      <c r="B637" s="82"/>
      <c r="C637" s="82"/>
      <c r="D637" s="82"/>
      <c r="E637" s="82"/>
      <c r="F637" s="83"/>
      <c r="G637" s="83"/>
      <c r="H637" s="83"/>
    </row>
    <row r="638" spans="1:8">
      <c r="A638" s="83"/>
      <c r="B638" s="82"/>
      <c r="C638" s="82"/>
      <c r="D638" s="82"/>
      <c r="E638" s="82"/>
      <c r="F638" s="83"/>
      <c r="G638" s="83"/>
      <c r="H638" s="83"/>
    </row>
    <row r="639" spans="1:8">
      <c r="A639" s="83"/>
      <c r="B639" s="82"/>
      <c r="C639" s="82"/>
      <c r="D639" s="82"/>
      <c r="E639" s="82"/>
      <c r="F639" s="83"/>
      <c r="G639" s="83"/>
      <c r="H639" s="83"/>
    </row>
    <row r="640" spans="1:8">
      <c r="A640" s="83"/>
      <c r="B640" s="82"/>
      <c r="C640" s="82"/>
      <c r="D640" s="82"/>
      <c r="E640" s="82"/>
      <c r="F640" s="83"/>
      <c r="G640" s="83"/>
      <c r="H640" s="83"/>
    </row>
    <row r="641" spans="1:8">
      <c r="A641" s="83"/>
      <c r="B641" s="82"/>
      <c r="C641" s="82"/>
      <c r="D641" s="82"/>
      <c r="E641" s="82"/>
      <c r="F641" s="83"/>
      <c r="G641" s="83"/>
      <c r="H641" s="83"/>
    </row>
    <row r="642" spans="1:8">
      <c r="A642" s="83"/>
      <c r="B642" s="82"/>
      <c r="C642" s="82"/>
      <c r="D642" s="82"/>
      <c r="E642" s="82"/>
      <c r="F642" s="83"/>
      <c r="G642" s="83"/>
      <c r="H642" s="83"/>
    </row>
    <row r="643" spans="1:8">
      <c r="A643" s="83"/>
      <c r="B643" s="82"/>
      <c r="C643" s="82"/>
      <c r="D643" s="82"/>
      <c r="E643" s="82"/>
      <c r="F643" s="83"/>
      <c r="G643" s="83"/>
      <c r="H643" s="83"/>
    </row>
    <row r="644" spans="1:8">
      <c r="A644" s="83"/>
      <c r="B644" s="82"/>
      <c r="C644" s="82"/>
      <c r="D644" s="82"/>
      <c r="E644" s="82"/>
      <c r="F644" s="83"/>
      <c r="G644" s="83"/>
      <c r="H644" s="83"/>
    </row>
    <row r="645" spans="1:8">
      <c r="A645" s="83"/>
      <c r="B645" s="82"/>
      <c r="C645" s="82"/>
      <c r="D645" s="82"/>
      <c r="E645" s="82"/>
      <c r="F645" s="83"/>
      <c r="G645" s="83"/>
      <c r="H645" s="83"/>
    </row>
    <row r="646" spans="1:8">
      <c r="A646" s="83"/>
      <c r="B646" s="82"/>
      <c r="C646" s="82"/>
      <c r="D646" s="82"/>
      <c r="E646" s="82"/>
      <c r="F646" s="83"/>
      <c r="G646" s="83"/>
      <c r="H646" s="83"/>
    </row>
    <row r="647" spans="1:8">
      <c r="A647" s="83"/>
      <c r="B647" s="82"/>
      <c r="C647" s="82"/>
      <c r="D647" s="82"/>
      <c r="E647" s="82"/>
      <c r="F647" s="83"/>
      <c r="G647" s="83"/>
      <c r="H647" s="83"/>
    </row>
    <row r="648" spans="1:8">
      <c r="A648" s="83"/>
      <c r="B648" s="82"/>
      <c r="C648" s="82"/>
      <c r="D648" s="82"/>
      <c r="E648" s="82"/>
      <c r="F648" s="83"/>
      <c r="G648" s="83"/>
      <c r="H648" s="83"/>
    </row>
    <row r="649" spans="1:8">
      <c r="A649" s="83"/>
      <c r="B649" s="82"/>
      <c r="C649" s="82"/>
      <c r="D649" s="82"/>
      <c r="E649" s="82"/>
      <c r="F649" s="83"/>
      <c r="G649" s="83"/>
      <c r="H649" s="83"/>
    </row>
    <row r="650" spans="1:8">
      <c r="A650" s="83"/>
      <c r="B650" s="82"/>
      <c r="C650" s="82"/>
      <c r="D650" s="82"/>
      <c r="E650" s="82"/>
      <c r="F650" s="83"/>
      <c r="G650" s="83"/>
      <c r="H650" s="83"/>
    </row>
    <row r="651" spans="1:8">
      <c r="A651" s="83"/>
      <c r="B651" s="82"/>
      <c r="C651" s="82"/>
      <c r="D651" s="82"/>
      <c r="E651" s="82"/>
      <c r="F651" s="83"/>
      <c r="G651" s="83"/>
      <c r="H651" s="83"/>
    </row>
    <row r="652" spans="1:8">
      <c r="A652" s="83"/>
      <c r="B652" s="82"/>
      <c r="C652" s="82"/>
      <c r="D652" s="82"/>
      <c r="E652" s="82"/>
      <c r="F652" s="83"/>
      <c r="G652" s="83"/>
      <c r="H652" s="83"/>
    </row>
    <row r="653" spans="1:8">
      <c r="A653" s="83"/>
      <c r="B653" s="82"/>
      <c r="C653" s="82"/>
      <c r="D653" s="82"/>
      <c r="E653" s="82"/>
      <c r="F653" s="83"/>
      <c r="G653" s="83"/>
      <c r="H653" s="83"/>
    </row>
    <row r="654" spans="1:8">
      <c r="A654" s="83"/>
      <c r="B654" s="82"/>
      <c r="C654" s="82"/>
      <c r="D654" s="82"/>
      <c r="E654" s="82"/>
      <c r="F654" s="83"/>
      <c r="G654" s="83"/>
      <c r="H654" s="83"/>
    </row>
    <row r="655" spans="1:8">
      <c r="A655" s="83"/>
      <c r="B655" s="82"/>
      <c r="C655" s="82"/>
      <c r="D655" s="82"/>
      <c r="E655" s="82"/>
      <c r="F655" s="83"/>
      <c r="G655" s="83"/>
      <c r="H655" s="83"/>
    </row>
    <row r="656" spans="1:8">
      <c r="A656" s="83"/>
      <c r="B656" s="82"/>
      <c r="C656" s="82"/>
      <c r="D656" s="82"/>
      <c r="E656" s="82"/>
      <c r="F656" s="83"/>
      <c r="G656" s="83"/>
      <c r="H656" s="83"/>
    </row>
    <row r="657" spans="1:8">
      <c r="A657" s="83"/>
      <c r="B657" s="82"/>
      <c r="C657" s="82"/>
      <c r="D657" s="82"/>
      <c r="E657" s="82"/>
      <c r="F657" s="83"/>
      <c r="G657" s="83"/>
      <c r="H657" s="83"/>
    </row>
    <row r="658" spans="1:8">
      <c r="A658" s="83"/>
      <c r="B658" s="82"/>
      <c r="C658" s="82"/>
      <c r="D658" s="82"/>
      <c r="E658" s="82"/>
      <c r="F658" s="83"/>
      <c r="G658" s="83"/>
      <c r="H658" s="83"/>
    </row>
    <row r="659" spans="1:8">
      <c r="A659" s="83"/>
      <c r="B659" s="82"/>
      <c r="C659" s="82"/>
      <c r="D659" s="82"/>
      <c r="E659" s="82"/>
      <c r="F659" s="83"/>
      <c r="G659" s="83"/>
      <c r="H659" s="83"/>
    </row>
    <row r="660" spans="1:8">
      <c r="A660" s="83"/>
      <c r="B660" s="82"/>
      <c r="C660" s="82"/>
      <c r="D660" s="82"/>
      <c r="E660" s="82"/>
      <c r="F660" s="83"/>
      <c r="G660" s="83"/>
      <c r="H660" s="83"/>
    </row>
    <row r="661" spans="1:8">
      <c r="A661" s="83"/>
      <c r="B661" s="82"/>
      <c r="C661" s="82"/>
      <c r="D661" s="82"/>
      <c r="E661" s="82"/>
      <c r="F661" s="83"/>
      <c r="G661" s="83"/>
      <c r="H661" s="83"/>
    </row>
    <row r="662" spans="1:8">
      <c r="A662" s="83"/>
      <c r="B662" s="82"/>
      <c r="C662" s="82"/>
      <c r="D662" s="82"/>
      <c r="E662" s="82"/>
      <c r="F662" s="83"/>
      <c r="G662" s="83"/>
      <c r="H662" s="83"/>
    </row>
    <row r="663" spans="1:8">
      <c r="A663" s="83"/>
      <c r="B663" s="82"/>
      <c r="C663" s="82"/>
      <c r="D663" s="82"/>
      <c r="E663" s="82"/>
      <c r="F663" s="83"/>
      <c r="G663" s="83"/>
      <c r="H663" s="83"/>
    </row>
    <row r="664" spans="1:8">
      <c r="A664" s="83"/>
      <c r="B664" s="82"/>
      <c r="C664" s="82"/>
      <c r="D664" s="82"/>
      <c r="E664" s="82"/>
      <c r="F664" s="83"/>
      <c r="G664" s="83"/>
      <c r="H664" s="83"/>
    </row>
    <row r="665" spans="1:8">
      <c r="A665" s="83"/>
      <c r="B665" s="82"/>
      <c r="C665" s="82"/>
      <c r="D665" s="82"/>
      <c r="E665" s="82"/>
      <c r="F665" s="83"/>
      <c r="G665" s="83"/>
      <c r="H665" s="83"/>
    </row>
    <row r="666" spans="1:8">
      <c r="A666" s="83"/>
      <c r="B666" s="82"/>
      <c r="C666" s="82"/>
      <c r="D666" s="82"/>
      <c r="E666" s="82"/>
      <c r="F666" s="83"/>
      <c r="G666" s="83"/>
      <c r="H666" s="83"/>
    </row>
    <row r="667" spans="1:8">
      <c r="A667" s="83"/>
      <c r="B667" s="82"/>
      <c r="C667" s="82"/>
      <c r="D667" s="82"/>
      <c r="E667" s="82"/>
      <c r="F667" s="83"/>
      <c r="G667" s="83"/>
      <c r="H667" s="83"/>
    </row>
    <row r="668" spans="1:8">
      <c r="A668" s="83"/>
      <c r="B668" s="82"/>
      <c r="C668" s="82"/>
      <c r="D668" s="82"/>
      <c r="E668" s="82"/>
      <c r="F668" s="83"/>
      <c r="G668" s="83"/>
      <c r="H668" s="83"/>
    </row>
    <row r="669" spans="1:8">
      <c r="A669" s="83"/>
      <c r="B669" s="82"/>
      <c r="C669" s="82"/>
      <c r="D669" s="82"/>
      <c r="E669" s="82"/>
      <c r="F669" s="83"/>
      <c r="G669" s="83"/>
      <c r="H669" s="83"/>
    </row>
    <row r="670" spans="1:8">
      <c r="A670" s="83"/>
      <c r="B670" s="82"/>
      <c r="C670" s="82"/>
      <c r="D670" s="82"/>
      <c r="E670" s="82"/>
      <c r="F670" s="83"/>
      <c r="G670" s="83"/>
      <c r="H670" s="83"/>
    </row>
    <row r="671" spans="1:8">
      <c r="A671" s="83"/>
      <c r="B671" s="82"/>
      <c r="C671" s="82"/>
      <c r="D671" s="82"/>
      <c r="E671" s="82"/>
      <c r="F671" s="83"/>
      <c r="G671" s="83"/>
      <c r="H671" s="83"/>
    </row>
    <row r="672" spans="1:8">
      <c r="A672" s="83"/>
      <c r="B672" s="82"/>
      <c r="C672" s="82"/>
      <c r="D672" s="82"/>
      <c r="E672" s="82"/>
      <c r="F672" s="83"/>
      <c r="G672" s="83"/>
      <c r="H672" s="83"/>
    </row>
    <row r="673" spans="1:8">
      <c r="A673" s="83"/>
      <c r="B673" s="82"/>
      <c r="C673" s="82"/>
      <c r="D673" s="82"/>
      <c r="E673" s="82"/>
      <c r="F673" s="83"/>
      <c r="G673" s="83"/>
      <c r="H673" s="83"/>
    </row>
    <row r="674" spans="1:8">
      <c r="A674" s="83"/>
      <c r="B674" s="82"/>
      <c r="C674" s="82"/>
      <c r="D674" s="82"/>
      <c r="E674" s="82"/>
      <c r="F674" s="83"/>
      <c r="G674" s="83"/>
      <c r="H674" s="83"/>
    </row>
    <row r="675" spans="1:8">
      <c r="A675" s="83"/>
      <c r="B675" s="82"/>
      <c r="C675" s="82"/>
      <c r="D675" s="82"/>
      <c r="E675" s="82"/>
      <c r="F675" s="83"/>
      <c r="G675" s="83"/>
      <c r="H675" s="83"/>
    </row>
    <row r="676" spans="1:8">
      <c r="A676" s="83"/>
      <c r="B676" s="82"/>
      <c r="C676" s="82"/>
      <c r="D676" s="82"/>
      <c r="E676" s="82"/>
      <c r="F676" s="83"/>
      <c r="G676" s="83"/>
      <c r="H676" s="83"/>
    </row>
    <row r="677" spans="1:8">
      <c r="A677" s="83"/>
      <c r="B677" s="82"/>
      <c r="C677" s="82"/>
      <c r="D677" s="82"/>
      <c r="E677" s="82"/>
      <c r="F677" s="83"/>
      <c r="G677" s="83"/>
      <c r="H677" s="83"/>
    </row>
    <row r="678" spans="1:8">
      <c r="A678" s="83"/>
      <c r="B678" s="82"/>
      <c r="C678" s="82"/>
      <c r="D678" s="82"/>
      <c r="E678" s="82"/>
      <c r="F678" s="83"/>
      <c r="G678" s="83"/>
      <c r="H678" s="83"/>
    </row>
    <row r="679" spans="1:8">
      <c r="A679" s="83"/>
      <c r="B679" s="82"/>
      <c r="C679" s="82"/>
      <c r="D679" s="82"/>
      <c r="E679" s="82"/>
      <c r="F679" s="83"/>
      <c r="G679" s="83"/>
      <c r="H679" s="83"/>
    </row>
    <row r="680" spans="1:8">
      <c r="A680" s="83"/>
      <c r="B680" s="82"/>
      <c r="C680" s="82"/>
      <c r="D680" s="82"/>
      <c r="E680" s="82"/>
      <c r="F680" s="83"/>
      <c r="G680" s="83"/>
      <c r="H680" s="83"/>
    </row>
    <row r="681" spans="1:8">
      <c r="A681" s="83"/>
      <c r="B681" s="82"/>
      <c r="C681" s="82"/>
      <c r="D681" s="82"/>
      <c r="E681" s="82"/>
      <c r="F681" s="83"/>
      <c r="G681" s="83"/>
      <c r="H681" s="83"/>
    </row>
    <row r="682" spans="1:8">
      <c r="A682" s="83"/>
      <c r="B682" s="82"/>
      <c r="C682" s="82"/>
      <c r="D682" s="82"/>
      <c r="E682" s="82"/>
      <c r="F682" s="83"/>
      <c r="G682" s="83"/>
      <c r="H682" s="83"/>
    </row>
    <row r="683" spans="1:8">
      <c r="A683" s="83"/>
      <c r="B683" s="82"/>
      <c r="C683" s="82"/>
      <c r="D683" s="82"/>
      <c r="E683" s="82"/>
      <c r="F683" s="83"/>
      <c r="G683" s="83"/>
      <c r="H683" s="83"/>
    </row>
    <row r="684" spans="1:8">
      <c r="A684" s="83"/>
      <c r="B684" s="82"/>
      <c r="C684" s="82"/>
      <c r="D684" s="82"/>
      <c r="E684" s="82"/>
      <c r="F684" s="83"/>
      <c r="G684" s="83"/>
      <c r="H684" s="83"/>
    </row>
    <row r="685" spans="1:8">
      <c r="A685" s="83"/>
      <c r="B685" s="82"/>
      <c r="C685" s="82"/>
      <c r="D685" s="82"/>
      <c r="E685" s="82"/>
      <c r="F685" s="83"/>
      <c r="G685" s="83"/>
      <c r="H685" s="83"/>
    </row>
    <row r="686" spans="1:8">
      <c r="A686" s="83"/>
      <c r="B686" s="82"/>
      <c r="C686" s="82"/>
      <c r="D686" s="82"/>
      <c r="E686" s="82"/>
      <c r="F686" s="83"/>
      <c r="G686" s="83"/>
      <c r="H686" s="83"/>
    </row>
    <row r="687" spans="1:8">
      <c r="A687" s="83"/>
      <c r="B687" s="82"/>
      <c r="C687" s="82"/>
      <c r="D687" s="82"/>
      <c r="E687" s="82"/>
      <c r="F687" s="83"/>
      <c r="G687" s="83"/>
      <c r="H687" s="83"/>
    </row>
    <row r="688" spans="1:8">
      <c r="A688" s="83"/>
      <c r="B688" s="82"/>
      <c r="C688" s="82"/>
      <c r="D688" s="82"/>
      <c r="E688" s="82"/>
      <c r="F688" s="83"/>
      <c r="G688" s="83"/>
      <c r="H688" s="83"/>
    </row>
    <row r="689" spans="1:8">
      <c r="A689" s="83"/>
      <c r="B689" s="82"/>
      <c r="C689" s="82"/>
      <c r="D689" s="82"/>
      <c r="E689" s="82"/>
      <c r="F689" s="83"/>
      <c r="G689" s="83"/>
      <c r="H689" s="83"/>
    </row>
    <row r="690" spans="1:8">
      <c r="A690" s="83"/>
      <c r="B690" s="82"/>
      <c r="C690" s="82"/>
      <c r="D690" s="82"/>
      <c r="E690" s="82"/>
      <c r="F690" s="83"/>
      <c r="G690" s="83"/>
      <c r="H690" s="83"/>
    </row>
    <row r="691" spans="1:8">
      <c r="A691" s="83"/>
      <c r="B691" s="82"/>
      <c r="C691" s="82"/>
      <c r="D691" s="82"/>
      <c r="E691" s="82"/>
      <c r="F691" s="83"/>
      <c r="G691" s="83"/>
      <c r="H691" s="83"/>
    </row>
    <row r="692" spans="1:8">
      <c r="A692" s="83"/>
      <c r="B692" s="82"/>
      <c r="C692" s="82"/>
      <c r="D692" s="82"/>
      <c r="E692" s="82"/>
      <c r="F692" s="83"/>
      <c r="G692" s="83"/>
      <c r="H692" s="83"/>
    </row>
    <row r="693" spans="1:8">
      <c r="A693" s="83"/>
      <c r="B693" s="82"/>
      <c r="C693" s="82"/>
      <c r="D693" s="82"/>
      <c r="E693" s="82"/>
      <c r="F693" s="83"/>
      <c r="G693" s="83"/>
      <c r="H693" s="83"/>
    </row>
    <row r="694" spans="1:8">
      <c r="A694" s="83"/>
      <c r="B694" s="82"/>
      <c r="C694" s="82"/>
      <c r="D694" s="82"/>
      <c r="E694" s="82"/>
      <c r="F694" s="83"/>
      <c r="G694" s="83"/>
      <c r="H694" s="83"/>
    </row>
    <row r="695" spans="1:8">
      <c r="A695" s="83"/>
      <c r="B695" s="82"/>
      <c r="C695" s="82"/>
      <c r="D695" s="82"/>
      <c r="E695" s="82"/>
      <c r="F695" s="83"/>
      <c r="G695" s="83"/>
      <c r="H695" s="83"/>
    </row>
    <row r="696" spans="1:8">
      <c r="A696" s="83"/>
      <c r="B696" s="82"/>
      <c r="C696" s="82"/>
      <c r="D696" s="82"/>
      <c r="E696" s="82"/>
      <c r="F696" s="83"/>
      <c r="G696" s="83"/>
      <c r="H696" s="83"/>
    </row>
    <row r="697" spans="1:8">
      <c r="A697" s="83"/>
      <c r="B697" s="82"/>
      <c r="C697" s="82"/>
      <c r="D697" s="82"/>
      <c r="E697" s="82"/>
      <c r="F697" s="83"/>
      <c r="G697" s="83"/>
      <c r="H697" s="83"/>
    </row>
    <row r="698" spans="1:8">
      <c r="A698" s="83"/>
      <c r="B698" s="82"/>
      <c r="C698" s="82"/>
      <c r="D698" s="82"/>
      <c r="E698" s="82"/>
      <c r="F698" s="83"/>
      <c r="G698" s="83"/>
      <c r="H698" s="83"/>
    </row>
    <row r="699" spans="1:8">
      <c r="A699" s="83"/>
      <c r="B699" s="82"/>
      <c r="C699" s="82"/>
      <c r="D699" s="82"/>
      <c r="E699" s="82"/>
      <c r="F699" s="83"/>
      <c r="G699" s="83"/>
      <c r="H699" s="83"/>
    </row>
    <row r="700" spans="1:8">
      <c r="A700" s="83"/>
      <c r="B700" s="82"/>
      <c r="C700" s="82"/>
      <c r="D700" s="82"/>
      <c r="E700" s="82"/>
      <c r="F700" s="83"/>
      <c r="G700" s="83"/>
      <c r="H700" s="83"/>
    </row>
    <row r="701" spans="1:8">
      <c r="A701" s="83"/>
      <c r="B701" s="82"/>
      <c r="C701" s="82"/>
      <c r="D701" s="82"/>
      <c r="E701" s="82"/>
      <c r="F701" s="83"/>
      <c r="G701" s="83"/>
      <c r="H701" s="83"/>
    </row>
    <row r="702" spans="1:8">
      <c r="A702" s="83"/>
      <c r="B702" s="82"/>
      <c r="C702" s="82"/>
      <c r="D702" s="82"/>
      <c r="E702" s="82"/>
      <c r="F702" s="83"/>
      <c r="G702" s="83"/>
      <c r="H702" s="83"/>
    </row>
    <row r="703" spans="1:8">
      <c r="A703" s="83"/>
      <c r="B703" s="82"/>
      <c r="C703" s="82"/>
      <c r="D703" s="82"/>
      <c r="E703" s="82"/>
      <c r="F703" s="83"/>
      <c r="G703" s="83"/>
      <c r="H703" s="83"/>
    </row>
    <row r="704" spans="1:8">
      <c r="A704" s="83"/>
      <c r="B704" s="82"/>
      <c r="C704" s="82"/>
      <c r="D704" s="82"/>
      <c r="E704" s="82"/>
      <c r="F704" s="83"/>
      <c r="G704" s="83"/>
      <c r="H704" s="83"/>
    </row>
    <row r="705" spans="1:8">
      <c r="A705" s="83"/>
      <c r="B705" s="82"/>
      <c r="C705" s="82"/>
      <c r="D705" s="82"/>
      <c r="E705" s="82"/>
      <c r="F705" s="83"/>
      <c r="G705" s="83"/>
      <c r="H705" s="83"/>
    </row>
    <row r="706" spans="1:8">
      <c r="A706" s="83"/>
      <c r="B706" s="82"/>
      <c r="C706" s="82"/>
      <c r="D706" s="82"/>
      <c r="E706" s="82"/>
      <c r="F706" s="83"/>
      <c r="G706" s="83"/>
      <c r="H706" s="83"/>
    </row>
    <row r="707" spans="1:8">
      <c r="A707" s="83"/>
      <c r="B707" s="82"/>
      <c r="C707" s="82"/>
      <c r="D707" s="82"/>
      <c r="E707" s="82"/>
      <c r="F707" s="83"/>
      <c r="G707" s="83"/>
      <c r="H707" s="83"/>
    </row>
    <row r="708" spans="1:8">
      <c r="A708" s="83"/>
      <c r="B708" s="82"/>
      <c r="C708" s="82"/>
      <c r="D708" s="82"/>
      <c r="E708" s="82"/>
      <c r="F708" s="83"/>
      <c r="G708" s="83"/>
      <c r="H708" s="83"/>
    </row>
    <row r="709" spans="1:8">
      <c r="A709" s="83"/>
      <c r="B709" s="82"/>
      <c r="C709" s="82"/>
      <c r="D709" s="82"/>
      <c r="E709" s="82"/>
      <c r="F709" s="83"/>
      <c r="G709" s="83"/>
      <c r="H709" s="83"/>
    </row>
    <row r="710" spans="1:8">
      <c r="A710" s="83"/>
      <c r="B710" s="82"/>
      <c r="C710" s="82"/>
      <c r="D710" s="82"/>
      <c r="E710" s="82"/>
      <c r="F710" s="83"/>
      <c r="G710" s="83"/>
      <c r="H710" s="83"/>
    </row>
    <row r="711" spans="1:8">
      <c r="A711" s="83"/>
      <c r="B711" s="82"/>
      <c r="C711" s="82"/>
      <c r="D711" s="82"/>
      <c r="E711" s="82"/>
      <c r="F711" s="83"/>
      <c r="G711" s="83"/>
      <c r="H711" s="83"/>
    </row>
    <row r="712" spans="1:8">
      <c r="A712" s="83"/>
      <c r="B712" s="82"/>
      <c r="C712" s="82"/>
      <c r="D712" s="82"/>
      <c r="E712" s="82"/>
      <c r="F712" s="83"/>
      <c r="G712" s="83"/>
      <c r="H712" s="83"/>
    </row>
    <row r="713" spans="1:8">
      <c r="A713" s="83"/>
      <c r="B713" s="82"/>
      <c r="C713" s="82"/>
      <c r="D713" s="82"/>
      <c r="E713" s="82"/>
      <c r="F713" s="83"/>
      <c r="G713" s="83"/>
      <c r="H713" s="83"/>
    </row>
    <row r="714" spans="1:8">
      <c r="A714" s="83"/>
      <c r="B714" s="82"/>
      <c r="C714" s="82"/>
      <c r="D714" s="82"/>
      <c r="E714" s="82"/>
      <c r="F714" s="83"/>
      <c r="G714" s="83"/>
      <c r="H714" s="83"/>
    </row>
    <row r="715" spans="1:8">
      <c r="A715" s="83"/>
      <c r="B715" s="82"/>
      <c r="C715" s="82"/>
      <c r="D715" s="82"/>
      <c r="E715" s="82"/>
      <c r="F715" s="83"/>
      <c r="G715" s="83"/>
      <c r="H715" s="83"/>
    </row>
    <row r="716" spans="1:8">
      <c r="A716" s="83"/>
      <c r="B716" s="82"/>
      <c r="C716" s="82"/>
      <c r="D716" s="82"/>
      <c r="E716" s="82"/>
      <c r="F716" s="83"/>
      <c r="G716" s="83"/>
      <c r="H716" s="83"/>
    </row>
    <row r="717" spans="1:8">
      <c r="A717" s="83"/>
      <c r="B717" s="82"/>
      <c r="C717" s="82"/>
      <c r="D717" s="82"/>
      <c r="E717" s="82"/>
      <c r="F717" s="83"/>
      <c r="G717" s="83"/>
      <c r="H717" s="83"/>
    </row>
    <row r="718" spans="1:8">
      <c r="A718" s="83"/>
      <c r="B718" s="82"/>
      <c r="C718" s="82"/>
      <c r="D718" s="82"/>
      <c r="E718" s="82"/>
      <c r="F718" s="83"/>
      <c r="G718" s="83"/>
      <c r="H718" s="83"/>
    </row>
    <row r="719" spans="1:8">
      <c r="A719" s="83"/>
      <c r="B719" s="82"/>
      <c r="C719" s="82"/>
      <c r="D719" s="82"/>
      <c r="E719" s="82"/>
      <c r="F719" s="83"/>
      <c r="G719" s="83"/>
      <c r="H719" s="83"/>
    </row>
    <row r="720" spans="1:8">
      <c r="A720" s="83"/>
      <c r="B720" s="82"/>
      <c r="C720" s="82"/>
      <c r="D720" s="82"/>
      <c r="E720" s="82"/>
      <c r="F720" s="83"/>
      <c r="G720" s="83"/>
      <c r="H720" s="83"/>
    </row>
    <row r="721" spans="1:8">
      <c r="A721" s="83"/>
      <c r="B721" s="82"/>
      <c r="C721" s="82"/>
      <c r="D721" s="82"/>
      <c r="E721" s="82"/>
      <c r="F721" s="83"/>
      <c r="G721" s="83"/>
      <c r="H721" s="83"/>
    </row>
    <row r="722" spans="1:8">
      <c r="A722" s="83"/>
      <c r="B722" s="82"/>
      <c r="C722" s="82"/>
      <c r="D722" s="82"/>
      <c r="E722" s="82"/>
      <c r="F722" s="83"/>
      <c r="G722" s="83"/>
      <c r="H722" s="83"/>
    </row>
    <row r="723" spans="1:8">
      <c r="A723" s="83"/>
      <c r="B723" s="82"/>
      <c r="C723" s="82"/>
      <c r="D723" s="82"/>
      <c r="E723" s="82"/>
      <c r="F723" s="83"/>
      <c r="G723" s="83"/>
      <c r="H723" s="83"/>
    </row>
    <row r="724" spans="1:8">
      <c r="A724" s="83"/>
      <c r="B724" s="82"/>
      <c r="C724" s="82"/>
      <c r="D724" s="82"/>
      <c r="E724" s="82"/>
      <c r="F724" s="83"/>
      <c r="G724" s="83"/>
      <c r="H724" s="83"/>
    </row>
    <row r="725" spans="1:8">
      <c r="A725" s="83"/>
      <c r="B725" s="82"/>
      <c r="C725" s="82"/>
      <c r="D725" s="82"/>
      <c r="E725" s="82"/>
      <c r="F725" s="83"/>
      <c r="G725" s="83"/>
      <c r="H725" s="83"/>
    </row>
    <row r="726" spans="1:8">
      <c r="A726" s="83"/>
      <c r="B726" s="82"/>
      <c r="C726" s="82"/>
      <c r="D726" s="82"/>
      <c r="E726" s="82"/>
      <c r="F726" s="83"/>
      <c r="G726" s="83"/>
      <c r="H726" s="83"/>
    </row>
    <row r="727" spans="1:8">
      <c r="A727" s="83"/>
      <c r="B727" s="82"/>
      <c r="C727" s="82"/>
      <c r="D727" s="82"/>
      <c r="E727" s="82"/>
      <c r="F727" s="83"/>
      <c r="G727" s="83"/>
      <c r="H727" s="83"/>
    </row>
    <row r="728" spans="1:8">
      <c r="A728" s="83"/>
      <c r="B728" s="82"/>
      <c r="C728" s="82"/>
      <c r="D728" s="82"/>
      <c r="E728" s="82"/>
      <c r="F728" s="83"/>
      <c r="G728" s="83"/>
      <c r="H728" s="83"/>
    </row>
    <row r="729" spans="1:8">
      <c r="A729" s="83"/>
      <c r="B729" s="82"/>
      <c r="C729" s="82"/>
      <c r="D729" s="82"/>
      <c r="E729" s="82"/>
      <c r="F729" s="83"/>
      <c r="G729" s="83"/>
      <c r="H729" s="83"/>
    </row>
    <row r="730" spans="1:8">
      <c r="A730" s="83"/>
      <c r="B730" s="82"/>
      <c r="C730" s="82"/>
      <c r="D730" s="82"/>
      <c r="E730" s="82"/>
      <c r="F730" s="83"/>
      <c r="G730" s="83"/>
      <c r="H730" s="83"/>
    </row>
    <row r="731" spans="1:8">
      <c r="A731" s="83"/>
      <c r="B731" s="82"/>
      <c r="C731" s="82"/>
      <c r="D731" s="82"/>
      <c r="E731" s="82"/>
      <c r="F731" s="83"/>
      <c r="G731" s="83"/>
      <c r="H731" s="83"/>
    </row>
    <row r="732" spans="1:8">
      <c r="A732" s="83"/>
      <c r="B732" s="82"/>
      <c r="C732" s="82"/>
      <c r="D732" s="82"/>
      <c r="E732" s="82"/>
      <c r="F732" s="83"/>
      <c r="G732" s="83"/>
      <c r="H732" s="83"/>
    </row>
    <row r="733" spans="1:8">
      <c r="A733" s="83"/>
      <c r="B733" s="82"/>
      <c r="C733" s="82"/>
      <c r="D733" s="82"/>
      <c r="E733" s="82"/>
      <c r="F733" s="83"/>
      <c r="G733" s="83"/>
      <c r="H733" s="83"/>
    </row>
    <row r="734" spans="1:8">
      <c r="A734" s="83"/>
      <c r="B734" s="82"/>
      <c r="C734" s="82"/>
      <c r="D734" s="82"/>
      <c r="E734" s="82"/>
      <c r="F734" s="83"/>
      <c r="G734" s="83"/>
      <c r="H734" s="83"/>
    </row>
    <row r="735" spans="1:8">
      <c r="A735" s="83"/>
      <c r="B735" s="82"/>
      <c r="C735" s="82"/>
      <c r="D735" s="82"/>
      <c r="E735" s="82"/>
      <c r="F735" s="83"/>
      <c r="G735" s="83"/>
      <c r="H735" s="83"/>
    </row>
    <row r="736" spans="1:8">
      <c r="A736" s="83"/>
      <c r="B736" s="82"/>
      <c r="C736" s="82"/>
      <c r="D736" s="82"/>
      <c r="E736" s="82"/>
      <c r="F736" s="83"/>
      <c r="G736" s="83"/>
      <c r="H736" s="83"/>
    </row>
    <row r="737" spans="1:8">
      <c r="A737" s="83"/>
      <c r="B737" s="82"/>
      <c r="C737" s="82"/>
      <c r="D737" s="82"/>
      <c r="E737" s="82"/>
      <c r="F737" s="83"/>
      <c r="G737" s="83"/>
      <c r="H737" s="83"/>
    </row>
    <row r="738" spans="1:8">
      <c r="A738" s="83"/>
      <c r="B738" s="82"/>
      <c r="C738" s="82"/>
      <c r="D738" s="82"/>
      <c r="E738" s="82"/>
      <c r="F738" s="83"/>
      <c r="G738" s="83"/>
      <c r="H738" s="83"/>
    </row>
    <row r="739" spans="1:8">
      <c r="A739" s="83"/>
      <c r="B739" s="82"/>
      <c r="C739" s="82"/>
      <c r="D739" s="82"/>
      <c r="E739" s="82"/>
      <c r="F739" s="83"/>
      <c r="G739" s="83"/>
      <c r="H739" s="83"/>
    </row>
    <row r="740" spans="1:8">
      <c r="A740" s="83"/>
      <c r="B740" s="82"/>
      <c r="C740" s="82"/>
      <c r="D740" s="82"/>
      <c r="E740" s="82"/>
      <c r="F740" s="83"/>
      <c r="G740" s="83"/>
      <c r="H740" s="83"/>
    </row>
    <row r="741" spans="1:8">
      <c r="A741" s="83"/>
      <c r="B741" s="82"/>
      <c r="C741" s="82"/>
      <c r="D741" s="82"/>
      <c r="E741" s="82"/>
      <c r="F741" s="83"/>
      <c r="G741" s="83"/>
      <c r="H741" s="83"/>
    </row>
    <row r="742" spans="1:8">
      <c r="A742" s="83"/>
      <c r="B742" s="82"/>
      <c r="C742" s="82"/>
      <c r="D742" s="82"/>
      <c r="E742" s="82"/>
      <c r="F742" s="83"/>
      <c r="G742" s="83"/>
      <c r="H742" s="83"/>
    </row>
    <row r="743" spans="1:8">
      <c r="A743" s="83"/>
      <c r="B743" s="82"/>
      <c r="C743" s="82"/>
      <c r="D743" s="82"/>
      <c r="E743" s="82"/>
      <c r="F743" s="83"/>
      <c r="G743" s="83"/>
      <c r="H743" s="83"/>
    </row>
    <row r="744" spans="1:8">
      <c r="A744" s="83"/>
      <c r="B744" s="82"/>
      <c r="C744" s="82"/>
      <c r="D744" s="82"/>
      <c r="E744" s="82"/>
      <c r="F744" s="83"/>
      <c r="G744" s="83"/>
      <c r="H744" s="83"/>
    </row>
    <row r="745" spans="1:8">
      <c r="A745" s="83"/>
      <c r="B745" s="82"/>
      <c r="C745" s="82"/>
      <c r="D745" s="82"/>
      <c r="E745" s="82"/>
      <c r="F745" s="83"/>
      <c r="G745" s="83"/>
      <c r="H745" s="83"/>
    </row>
    <row r="746" spans="1:8">
      <c r="A746" s="83"/>
      <c r="B746" s="82"/>
      <c r="C746" s="82"/>
      <c r="D746" s="82"/>
      <c r="E746" s="82"/>
      <c r="F746" s="83"/>
      <c r="G746" s="83"/>
      <c r="H746" s="83"/>
    </row>
    <row r="747" spans="1:8">
      <c r="A747" s="83"/>
      <c r="B747" s="82"/>
      <c r="C747" s="82"/>
      <c r="D747" s="82"/>
      <c r="E747" s="82"/>
      <c r="F747" s="83"/>
      <c r="G747" s="83"/>
      <c r="H747" s="83"/>
    </row>
    <row r="748" spans="1:8">
      <c r="A748" s="83"/>
      <c r="B748" s="82"/>
      <c r="C748" s="82"/>
      <c r="D748" s="82"/>
      <c r="E748" s="82"/>
      <c r="F748" s="83"/>
      <c r="G748" s="83"/>
      <c r="H748" s="83"/>
    </row>
    <row r="749" spans="1:8">
      <c r="A749" s="83"/>
      <c r="B749" s="82"/>
      <c r="C749" s="82"/>
      <c r="D749" s="82"/>
      <c r="E749" s="82"/>
      <c r="F749" s="83"/>
      <c r="G749" s="83"/>
      <c r="H749" s="83"/>
    </row>
    <row r="750" spans="1:8">
      <c r="A750" s="83"/>
      <c r="B750" s="82"/>
      <c r="C750" s="82"/>
      <c r="D750" s="82"/>
      <c r="E750" s="82"/>
      <c r="F750" s="83"/>
      <c r="G750" s="83"/>
      <c r="H750" s="83"/>
    </row>
    <row r="751" spans="1:8">
      <c r="A751" s="83"/>
      <c r="B751" s="82"/>
      <c r="C751" s="82"/>
      <c r="D751" s="82"/>
      <c r="E751" s="82"/>
      <c r="F751" s="83"/>
      <c r="G751" s="83"/>
      <c r="H751" s="83"/>
    </row>
    <row r="752" spans="1:8">
      <c r="A752" s="83"/>
      <c r="B752" s="82"/>
      <c r="C752" s="82"/>
      <c r="D752" s="82"/>
      <c r="E752" s="82"/>
      <c r="F752" s="83"/>
      <c r="G752" s="83"/>
      <c r="H752" s="83"/>
    </row>
    <row r="753" spans="1:8">
      <c r="A753" s="83"/>
      <c r="B753" s="82"/>
      <c r="C753" s="82"/>
      <c r="D753" s="82"/>
      <c r="E753" s="82"/>
      <c r="F753" s="83"/>
      <c r="G753" s="83"/>
      <c r="H753" s="83"/>
    </row>
    <row r="754" spans="1:8">
      <c r="A754" s="83"/>
      <c r="B754" s="82"/>
      <c r="C754" s="82"/>
      <c r="D754" s="82"/>
      <c r="E754" s="82"/>
      <c r="F754" s="83"/>
      <c r="G754" s="83"/>
      <c r="H754" s="83"/>
    </row>
    <row r="755" spans="1:8">
      <c r="A755" s="83"/>
      <c r="B755" s="82"/>
      <c r="C755" s="82"/>
      <c r="D755" s="82"/>
      <c r="E755" s="82"/>
      <c r="F755" s="83"/>
      <c r="G755" s="83"/>
      <c r="H755" s="83"/>
    </row>
    <row r="756" spans="1:8">
      <c r="A756" s="83"/>
      <c r="B756" s="82"/>
      <c r="C756" s="82"/>
      <c r="D756" s="82"/>
      <c r="E756" s="82"/>
      <c r="F756" s="83"/>
      <c r="G756" s="83"/>
      <c r="H756" s="83"/>
    </row>
    <row r="757" spans="1:8">
      <c r="A757" s="83"/>
      <c r="B757" s="82"/>
      <c r="C757" s="82"/>
      <c r="D757" s="82"/>
      <c r="E757" s="82"/>
      <c r="F757" s="83"/>
      <c r="G757" s="83"/>
      <c r="H757" s="83"/>
    </row>
    <row r="758" spans="1:8">
      <c r="A758" s="83"/>
      <c r="B758" s="82"/>
      <c r="C758" s="82"/>
      <c r="D758" s="82"/>
      <c r="E758" s="82"/>
      <c r="F758" s="83"/>
      <c r="G758" s="83"/>
      <c r="H758" s="83"/>
    </row>
    <row r="759" spans="1:8">
      <c r="A759" s="83"/>
      <c r="B759" s="82"/>
      <c r="C759" s="82"/>
      <c r="D759" s="82"/>
      <c r="E759" s="82"/>
      <c r="F759" s="83"/>
      <c r="G759" s="83"/>
      <c r="H759" s="83"/>
    </row>
    <row r="760" spans="1:8">
      <c r="A760" s="83"/>
      <c r="B760" s="82"/>
      <c r="C760" s="82"/>
      <c r="D760" s="82"/>
      <c r="E760" s="82"/>
      <c r="F760" s="83"/>
      <c r="G760" s="83"/>
      <c r="H760" s="83"/>
    </row>
    <row r="761" spans="1:8">
      <c r="A761" s="83"/>
      <c r="B761" s="82"/>
      <c r="C761" s="82"/>
      <c r="D761" s="82"/>
      <c r="E761" s="82"/>
      <c r="F761" s="83"/>
      <c r="G761" s="83"/>
      <c r="H761" s="83"/>
    </row>
    <row r="762" spans="1:8">
      <c r="A762" s="83"/>
      <c r="B762" s="82"/>
      <c r="C762" s="82"/>
      <c r="D762" s="82"/>
      <c r="E762" s="82"/>
      <c r="F762" s="83"/>
      <c r="G762" s="83"/>
      <c r="H762" s="83"/>
    </row>
    <row r="763" spans="1:8">
      <c r="A763" s="83"/>
      <c r="B763" s="82"/>
      <c r="C763" s="82"/>
      <c r="D763" s="82"/>
      <c r="E763" s="82"/>
      <c r="F763" s="83"/>
      <c r="G763" s="83"/>
      <c r="H763" s="83"/>
    </row>
    <row r="764" spans="1:8">
      <c r="A764" s="83"/>
      <c r="B764" s="82"/>
      <c r="C764" s="82"/>
      <c r="D764" s="82"/>
      <c r="E764" s="82"/>
      <c r="F764" s="83"/>
      <c r="G764" s="83"/>
      <c r="H764" s="83"/>
    </row>
    <row r="765" spans="1:8">
      <c r="A765" s="83"/>
      <c r="B765" s="82"/>
      <c r="C765" s="82"/>
      <c r="D765" s="82"/>
      <c r="E765" s="82"/>
      <c r="F765" s="83"/>
      <c r="G765" s="83"/>
      <c r="H765" s="83"/>
    </row>
    <row r="766" spans="1:8">
      <c r="A766" s="83"/>
      <c r="B766" s="82"/>
      <c r="C766" s="82"/>
      <c r="D766" s="82"/>
      <c r="E766" s="82"/>
      <c r="F766" s="83"/>
      <c r="G766" s="83"/>
      <c r="H766" s="83"/>
    </row>
    <row r="767" spans="1:8">
      <c r="A767" s="83"/>
      <c r="B767" s="82"/>
      <c r="C767" s="82"/>
      <c r="D767" s="82"/>
      <c r="E767" s="82"/>
      <c r="F767" s="83"/>
      <c r="G767" s="83"/>
      <c r="H767" s="83"/>
    </row>
    <row r="768" spans="1:8">
      <c r="A768" s="83"/>
      <c r="B768" s="82"/>
      <c r="C768" s="82"/>
      <c r="D768" s="82"/>
      <c r="E768" s="82"/>
      <c r="F768" s="83"/>
      <c r="G768" s="83"/>
      <c r="H768" s="83"/>
    </row>
    <row r="769" spans="1:8">
      <c r="A769" s="83"/>
      <c r="B769" s="82"/>
      <c r="C769" s="82"/>
      <c r="D769" s="82"/>
      <c r="E769" s="82"/>
      <c r="F769" s="83"/>
      <c r="G769" s="83"/>
      <c r="H769" s="83"/>
    </row>
    <row r="770" spans="1:8">
      <c r="A770" s="83"/>
      <c r="B770" s="82"/>
      <c r="C770" s="82"/>
      <c r="D770" s="82"/>
      <c r="E770" s="82"/>
      <c r="F770" s="83"/>
      <c r="G770" s="83"/>
      <c r="H770" s="83"/>
    </row>
    <row r="771" spans="1:8">
      <c r="A771" s="83"/>
      <c r="B771" s="82"/>
      <c r="C771" s="82"/>
      <c r="D771" s="82"/>
      <c r="E771" s="82"/>
      <c r="F771" s="83"/>
      <c r="G771" s="83"/>
      <c r="H771" s="83"/>
    </row>
    <row r="772" spans="1:8">
      <c r="A772" s="83"/>
      <c r="B772" s="82"/>
      <c r="C772" s="82"/>
      <c r="D772" s="82"/>
      <c r="E772" s="82"/>
      <c r="F772" s="83"/>
      <c r="G772" s="83"/>
      <c r="H772" s="83"/>
    </row>
    <row r="773" spans="1:8">
      <c r="A773" s="83"/>
      <c r="B773" s="82"/>
      <c r="C773" s="82"/>
      <c r="D773" s="82"/>
      <c r="E773" s="82"/>
      <c r="F773" s="83"/>
      <c r="G773" s="83"/>
      <c r="H773" s="83"/>
    </row>
    <row r="774" spans="1:8">
      <c r="A774" s="83"/>
      <c r="B774" s="82"/>
      <c r="C774" s="82"/>
      <c r="D774" s="82"/>
      <c r="E774" s="82"/>
      <c r="F774" s="83"/>
      <c r="G774" s="83"/>
      <c r="H774" s="83"/>
    </row>
    <row r="775" spans="1:8">
      <c r="A775" s="83"/>
      <c r="B775" s="82"/>
      <c r="C775" s="82"/>
      <c r="D775" s="82"/>
      <c r="E775" s="82"/>
      <c r="F775" s="83"/>
      <c r="G775" s="83"/>
      <c r="H775" s="83"/>
    </row>
    <row r="776" spans="1:8">
      <c r="A776" s="83"/>
      <c r="B776" s="82"/>
      <c r="C776" s="82"/>
      <c r="D776" s="82"/>
      <c r="E776" s="82"/>
      <c r="F776" s="83"/>
      <c r="G776" s="83"/>
      <c r="H776" s="83"/>
    </row>
    <row r="777" spans="1:8">
      <c r="A777" s="83"/>
      <c r="B777" s="82"/>
      <c r="C777" s="82"/>
      <c r="D777" s="82"/>
      <c r="E777" s="82"/>
      <c r="F777" s="83"/>
      <c r="G777" s="83"/>
      <c r="H777" s="83"/>
    </row>
    <row r="778" spans="1:8">
      <c r="A778" s="83"/>
      <c r="B778" s="82"/>
      <c r="C778" s="82"/>
      <c r="D778" s="82"/>
      <c r="E778" s="82"/>
      <c r="F778" s="83"/>
      <c r="G778" s="83"/>
      <c r="H778" s="83"/>
    </row>
    <row r="779" spans="1:8">
      <c r="A779" s="83"/>
      <c r="B779" s="82"/>
      <c r="C779" s="82"/>
      <c r="D779" s="82"/>
      <c r="E779" s="82"/>
      <c r="F779" s="83"/>
      <c r="G779" s="83"/>
      <c r="H779" s="83"/>
    </row>
    <row r="780" spans="1:8">
      <c r="A780" s="83"/>
      <c r="B780" s="82"/>
      <c r="C780" s="82"/>
      <c r="D780" s="82"/>
      <c r="E780" s="82"/>
      <c r="F780" s="83"/>
      <c r="G780" s="83"/>
      <c r="H780" s="83"/>
    </row>
    <row r="781" spans="1:8">
      <c r="A781" s="83"/>
      <c r="B781" s="82"/>
      <c r="C781" s="82"/>
      <c r="D781" s="82"/>
      <c r="E781" s="82"/>
      <c r="F781" s="83"/>
      <c r="G781" s="83"/>
      <c r="H781" s="83"/>
    </row>
    <row r="782" spans="1:8">
      <c r="A782" s="83"/>
      <c r="B782" s="82"/>
      <c r="C782" s="82"/>
      <c r="D782" s="82"/>
      <c r="E782" s="82"/>
      <c r="F782" s="83"/>
      <c r="G782" s="83"/>
      <c r="H782" s="83"/>
    </row>
    <row r="783" spans="1:8">
      <c r="A783" s="83"/>
      <c r="B783" s="82"/>
      <c r="C783" s="82"/>
      <c r="D783" s="82"/>
      <c r="E783" s="82"/>
      <c r="F783" s="83"/>
      <c r="G783" s="83"/>
      <c r="H783" s="83"/>
    </row>
    <row r="784" spans="1:8">
      <c r="A784" s="83"/>
      <c r="B784" s="82"/>
      <c r="C784" s="82"/>
      <c r="D784" s="82"/>
      <c r="E784" s="82"/>
      <c r="F784" s="83"/>
      <c r="G784" s="83"/>
      <c r="H784" s="83"/>
    </row>
    <row r="785" spans="1:8">
      <c r="A785" s="83"/>
      <c r="B785" s="82"/>
      <c r="C785" s="82"/>
      <c r="D785" s="82"/>
      <c r="E785" s="82"/>
      <c r="F785" s="83"/>
      <c r="G785" s="83"/>
      <c r="H785" s="83"/>
    </row>
    <row r="786" spans="1:8">
      <c r="A786" s="83"/>
      <c r="B786" s="82"/>
      <c r="C786" s="82"/>
      <c r="D786" s="82"/>
      <c r="E786" s="82"/>
      <c r="F786" s="83"/>
      <c r="G786" s="83"/>
      <c r="H786" s="83"/>
    </row>
    <row r="787" spans="1:8">
      <c r="A787" s="83"/>
      <c r="B787" s="82"/>
      <c r="C787" s="82"/>
      <c r="D787" s="82"/>
      <c r="E787" s="82"/>
      <c r="F787" s="83"/>
      <c r="G787" s="83"/>
      <c r="H787" s="83"/>
    </row>
    <row r="788" spans="1:8">
      <c r="A788" s="83"/>
      <c r="B788" s="82"/>
      <c r="C788" s="82"/>
      <c r="D788" s="82"/>
      <c r="E788" s="82"/>
      <c r="F788" s="83"/>
      <c r="G788" s="83"/>
      <c r="H788" s="83"/>
    </row>
    <row r="789" spans="1:8">
      <c r="A789" s="83"/>
      <c r="B789" s="82"/>
      <c r="C789" s="82"/>
      <c r="D789" s="82"/>
      <c r="E789" s="82"/>
      <c r="F789" s="83"/>
      <c r="G789" s="83"/>
      <c r="H789" s="83"/>
    </row>
    <row r="790" spans="1:8">
      <c r="A790" s="83"/>
      <c r="B790" s="82"/>
      <c r="C790" s="82"/>
      <c r="D790" s="82"/>
      <c r="E790" s="82"/>
      <c r="F790" s="83"/>
      <c r="G790" s="83"/>
      <c r="H790" s="83"/>
    </row>
    <row r="791" spans="1:8">
      <c r="A791" s="83"/>
      <c r="B791" s="82"/>
      <c r="C791" s="82"/>
      <c r="D791" s="82"/>
      <c r="E791" s="82"/>
      <c r="F791" s="83"/>
      <c r="G791" s="83"/>
      <c r="H791" s="83"/>
    </row>
    <row r="792" spans="1:8">
      <c r="A792" s="83"/>
      <c r="B792" s="82"/>
      <c r="C792" s="82"/>
      <c r="D792" s="82"/>
      <c r="E792" s="82"/>
      <c r="F792" s="83"/>
      <c r="G792" s="83"/>
      <c r="H792" s="83"/>
    </row>
    <row r="793" spans="1:8">
      <c r="A793" s="83"/>
      <c r="B793" s="82"/>
      <c r="C793" s="82"/>
      <c r="D793" s="82"/>
      <c r="E793" s="82"/>
      <c r="F793" s="83"/>
      <c r="G793" s="83"/>
      <c r="H793" s="83"/>
    </row>
    <row r="794" spans="1:8">
      <c r="A794" s="83"/>
      <c r="B794" s="82"/>
      <c r="C794" s="82"/>
      <c r="D794" s="82"/>
      <c r="E794" s="82"/>
      <c r="F794" s="83"/>
      <c r="G794" s="83"/>
      <c r="H794" s="83"/>
    </row>
    <row r="795" spans="1:8">
      <c r="A795" s="83"/>
      <c r="B795" s="82"/>
      <c r="C795" s="82"/>
      <c r="D795" s="82"/>
      <c r="E795" s="82"/>
      <c r="F795" s="83"/>
      <c r="G795" s="83"/>
      <c r="H795" s="83"/>
    </row>
    <row r="796" spans="1:8">
      <c r="A796" s="83"/>
      <c r="B796" s="82"/>
      <c r="C796" s="82"/>
      <c r="D796" s="82"/>
      <c r="E796" s="82"/>
      <c r="F796" s="83"/>
      <c r="G796" s="83"/>
      <c r="H796" s="83"/>
    </row>
    <row r="797" spans="1:8">
      <c r="A797" s="83"/>
      <c r="B797" s="82"/>
      <c r="C797" s="82"/>
      <c r="D797" s="82"/>
      <c r="E797" s="82"/>
      <c r="F797" s="83"/>
      <c r="G797" s="83"/>
      <c r="H797" s="83"/>
    </row>
    <row r="798" spans="1:8">
      <c r="A798" s="83"/>
      <c r="B798" s="82"/>
      <c r="C798" s="82"/>
      <c r="D798" s="82"/>
      <c r="E798" s="82"/>
      <c r="F798" s="83"/>
      <c r="G798" s="83"/>
      <c r="H798" s="83"/>
    </row>
    <row r="799" spans="1:8">
      <c r="A799" s="83"/>
      <c r="B799" s="82"/>
      <c r="C799" s="82"/>
      <c r="D799" s="82"/>
      <c r="E799" s="82"/>
      <c r="F799" s="83"/>
      <c r="G799" s="83"/>
      <c r="H799" s="83"/>
    </row>
    <row r="800" spans="1:8">
      <c r="A800" s="83"/>
      <c r="B800" s="82"/>
      <c r="C800" s="82"/>
      <c r="D800" s="82"/>
      <c r="E800" s="82"/>
      <c r="F800" s="83"/>
      <c r="G800" s="83"/>
      <c r="H800" s="83"/>
    </row>
    <row r="801" spans="1:8">
      <c r="A801" s="83"/>
      <c r="B801" s="82"/>
      <c r="C801" s="82"/>
      <c r="D801" s="82"/>
      <c r="E801" s="82"/>
      <c r="F801" s="83"/>
      <c r="G801" s="83"/>
      <c r="H801" s="83"/>
    </row>
    <row r="802" spans="1:8">
      <c r="A802" s="83"/>
      <c r="B802" s="82"/>
      <c r="C802" s="82"/>
      <c r="D802" s="82"/>
      <c r="E802" s="82"/>
      <c r="F802" s="83"/>
      <c r="G802" s="83"/>
      <c r="H802" s="83"/>
    </row>
    <row r="803" spans="1:8">
      <c r="A803" s="83"/>
      <c r="B803" s="82"/>
      <c r="C803" s="82"/>
      <c r="D803" s="82"/>
      <c r="E803" s="82"/>
      <c r="F803" s="83"/>
      <c r="G803" s="83"/>
      <c r="H803" s="83"/>
    </row>
    <row r="804" spans="1:8">
      <c r="A804" s="83"/>
      <c r="B804" s="82"/>
      <c r="C804" s="82"/>
      <c r="D804" s="82"/>
      <c r="E804" s="82"/>
      <c r="F804" s="83"/>
      <c r="G804" s="83"/>
      <c r="H804" s="83"/>
    </row>
    <row r="805" spans="1:8">
      <c r="A805" s="83"/>
      <c r="B805" s="82"/>
      <c r="C805" s="82"/>
      <c r="D805" s="82"/>
      <c r="E805" s="82"/>
      <c r="F805" s="83"/>
      <c r="G805" s="83"/>
      <c r="H805" s="83"/>
    </row>
    <row r="806" spans="1:8">
      <c r="A806" s="83"/>
      <c r="B806" s="82"/>
      <c r="C806" s="82"/>
      <c r="D806" s="82"/>
      <c r="E806" s="82"/>
      <c r="F806" s="83"/>
      <c r="G806" s="83"/>
      <c r="H806" s="83"/>
    </row>
    <row r="807" spans="1:8">
      <c r="A807" s="83"/>
      <c r="B807" s="82"/>
      <c r="C807" s="82"/>
      <c r="D807" s="82"/>
      <c r="E807" s="82"/>
      <c r="F807" s="83"/>
      <c r="G807" s="83"/>
      <c r="H807" s="83"/>
    </row>
    <row r="808" spans="1:8">
      <c r="A808" s="83"/>
      <c r="B808" s="82"/>
      <c r="C808" s="82"/>
      <c r="D808" s="82"/>
      <c r="E808" s="82"/>
      <c r="F808" s="83"/>
      <c r="G808" s="83"/>
      <c r="H808" s="83"/>
    </row>
    <row r="809" spans="1:8">
      <c r="A809" s="83"/>
      <c r="B809" s="82"/>
      <c r="C809" s="82"/>
      <c r="D809" s="82"/>
      <c r="E809" s="82"/>
      <c r="F809" s="83"/>
      <c r="G809" s="83"/>
      <c r="H809" s="83"/>
    </row>
    <row r="810" spans="1:8">
      <c r="A810" s="83"/>
      <c r="B810" s="82"/>
      <c r="C810" s="82"/>
      <c r="D810" s="82"/>
      <c r="E810" s="82"/>
      <c r="F810" s="83"/>
      <c r="G810" s="83"/>
      <c r="H810" s="83"/>
    </row>
    <row r="811" spans="1:8">
      <c r="A811" s="83"/>
      <c r="B811" s="82"/>
      <c r="C811" s="82"/>
      <c r="D811" s="82"/>
      <c r="E811" s="82"/>
      <c r="F811" s="83"/>
      <c r="G811" s="83"/>
      <c r="H811" s="83"/>
    </row>
    <row r="812" spans="1:8">
      <c r="A812" s="83"/>
      <c r="B812" s="82"/>
      <c r="C812" s="82"/>
      <c r="D812" s="82"/>
      <c r="E812" s="82"/>
      <c r="F812" s="83"/>
      <c r="G812" s="83"/>
      <c r="H812" s="83"/>
    </row>
    <row r="813" spans="1:8">
      <c r="A813" s="83"/>
      <c r="B813" s="82"/>
      <c r="C813" s="82"/>
      <c r="D813" s="82"/>
      <c r="E813" s="82"/>
      <c r="F813" s="83"/>
      <c r="G813" s="83"/>
      <c r="H813" s="83"/>
    </row>
    <row r="814" spans="1:8">
      <c r="A814" s="83"/>
      <c r="B814" s="82"/>
      <c r="C814" s="82"/>
      <c r="D814" s="82"/>
      <c r="E814" s="82"/>
      <c r="F814" s="83"/>
      <c r="G814" s="83"/>
      <c r="H814" s="83"/>
    </row>
    <row r="815" spans="1:8">
      <c r="A815" s="83"/>
      <c r="B815" s="82"/>
      <c r="C815" s="82"/>
      <c r="D815" s="82"/>
      <c r="E815" s="82"/>
      <c r="F815" s="83"/>
      <c r="G815" s="83"/>
      <c r="H815" s="83"/>
    </row>
    <row r="816" spans="1:8">
      <c r="A816" s="83"/>
      <c r="B816" s="82"/>
      <c r="C816" s="82"/>
      <c r="D816" s="82"/>
      <c r="E816" s="82"/>
      <c r="F816" s="83"/>
      <c r="G816" s="83"/>
      <c r="H816" s="83"/>
    </row>
    <row r="817" spans="1:8">
      <c r="A817" s="83"/>
      <c r="B817" s="82"/>
      <c r="C817" s="82"/>
      <c r="D817" s="82"/>
      <c r="E817" s="82"/>
      <c r="F817" s="83"/>
      <c r="G817" s="83"/>
      <c r="H817" s="83"/>
    </row>
    <row r="818" spans="1:8">
      <c r="A818" s="83"/>
      <c r="B818" s="82"/>
      <c r="C818" s="82"/>
      <c r="D818" s="82"/>
      <c r="E818" s="82"/>
      <c r="F818" s="83"/>
      <c r="G818" s="83"/>
      <c r="H818" s="83"/>
    </row>
    <row r="819" spans="1:8">
      <c r="A819" s="83"/>
      <c r="B819" s="82"/>
      <c r="C819" s="82"/>
      <c r="D819" s="82"/>
      <c r="E819" s="82"/>
      <c r="F819" s="83"/>
      <c r="G819" s="83"/>
      <c r="H819" s="83"/>
    </row>
    <row r="820" spans="1:8">
      <c r="A820" s="83"/>
      <c r="B820" s="82"/>
      <c r="C820" s="82"/>
      <c r="D820" s="82"/>
      <c r="E820" s="82"/>
      <c r="F820" s="83"/>
      <c r="G820" s="83"/>
      <c r="H820" s="83"/>
    </row>
    <row r="821" spans="1:8">
      <c r="A821" s="83"/>
      <c r="B821" s="82"/>
      <c r="C821" s="82"/>
      <c r="D821" s="82"/>
      <c r="E821" s="82"/>
      <c r="F821" s="83"/>
      <c r="G821" s="83"/>
      <c r="H821" s="83"/>
    </row>
    <row r="822" spans="1:8">
      <c r="A822" s="83"/>
      <c r="B822" s="82"/>
      <c r="C822" s="82"/>
      <c r="D822" s="82"/>
      <c r="E822" s="82"/>
      <c r="F822" s="83"/>
      <c r="G822" s="83"/>
      <c r="H822" s="83"/>
    </row>
    <row r="823" spans="1:8">
      <c r="A823" s="83"/>
      <c r="B823" s="82"/>
      <c r="C823" s="82"/>
      <c r="D823" s="82"/>
      <c r="E823" s="82"/>
      <c r="F823" s="83"/>
      <c r="G823" s="83"/>
      <c r="H823" s="83"/>
    </row>
    <row r="824" spans="1:8">
      <c r="A824" s="83"/>
      <c r="B824" s="82"/>
      <c r="C824" s="82"/>
      <c r="D824" s="82"/>
      <c r="E824" s="82"/>
      <c r="F824" s="83"/>
      <c r="G824" s="83"/>
      <c r="H824" s="83"/>
    </row>
    <row r="825" spans="1:8">
      <c r="A825" s="83"/>
      <c r="B825" s="82"/>
      <c r="C825" s="82"/>
      <c r="D825" s="82"/>
      <c r="E825" s="82"/>
      <c r="F825" s="83"/>
      <c r="G825" s="83"/>
      <c r="H825" s="83"/>
    </row>
    <row r="826" spans="1:8">
      <c r="A826" s="83"/>
      <c r="B826" s="82"/>
      <c r="C826" s="82"/>
      <c r="D826" s="82"/>
      <c r="E826" s="82"/>
      <c r="F826" s="83"/>
      <c r="G826" s="83"/>
      <c r="H826" s="83"/>
    </row>
    <row r="827" spans="1:8">
      <c r="A827" s="83"/>
      <c r="B827" s="82"/>
      <c r="C827" s="82"/>
      <c r="D827" s="82"/>
      <c r="E827" s="82"/>
      <c r="F827" s="83"/>
      <c r="G827" s="83"/>
      <c r="H827" s="83"/>
    </row>
    <row r="828" spans="1:8">
      <c r="A828" s="83"/>
      <c r="B828" s="82"/>
      <c r="C828" s="82"/>
      <c r="D828" s="82"/>
      <c r="E828" s="82"/>
      <c r="F828" s="83"/>
      <c r="G828" s="83"/>
      <c r="H828" s="83"/>
    </row>
    <row r="829" spans="1:8">
      <c r="A829" s="83"/>
      <c r="B829" s="82"/>
      <c r="C829" s="82"/>
      <c r="D829" s="82"/>
      <c r="E829" s="82"/>
      <c r="F829" s="83"/>
      <c r="G829" s="83"/>
      <c r="H829" s="83"/>
    </row>
    <row r="830" spans="1:8">
      <c r="A830" s="83"/>
      <c r="B830" s="82"/>
      <c r="C830" s="82"/>
      <c r="D830" s="82"/>
      <c r="E830" s="82"/>
      <c r="F830" s="83"/>
      <c r="G830" s="83"/>
      <c r="H830" s="83"/>
    </row>
    <row r="831" spans="1:8">
      <c r="A831" s="83"/>
      <c r="B831" s="82"/>
      <c r="C831" s="82"/>
      <c r="D831" s="82"/>
      <c r="E831" s="82"/>
      <c r="F831" s="83"/>
      <c r="G831" s="83"/>
      <c r="H831" s="83"/>
    </row>
    <row r="832" spans="1:8">
      <c r="A832" s="83"/>
      <c r="B832" s="82"/>
      <c r="C832" s="82"/>
      <c r="D832" s="82"/>
      <c r="E832" s="82"/>
      <c r="F832" s="83"/>
      <c r="G832" s="83"/>
      <c r="H832" s="83"/>
    </row>
    <row r="833" spans="1:8">
      <c r="A833" s="83"/>
      <c r="B833" s="82"/>
      <c r="C833" s="82"/>
      <c r="D833" s="82"/>
      <c r="E833" s="82"/>
      <c r="F833" s="83"/>
      <c r="G833" s="83"/>
      <c r="H833" s="83"/>
    </row>
    <row r="834" spans="1:8">
      <c r="A834" s="83"/>
      <c r="B834" s="82"/>
      <c r="C834" s="82"/>
      <c r="D834" s="82"/>
      <c r="E834" s="82"/>
      <c r="F834" s="83"/>
      <c r="G834" s="83"/>
      <c r="H834" s="83"/>
    </row>
    <row r="835" spans="1:8">
      <c r="A835" s="83"/>
      <c r="B835" s="82"/>
      <c r="C835" s="82"/>
      <c r="D835" s="82"/>
      <c r="E835" s="82"/>
      <c r="F835" s="83"/>
      <c r="G835" s="83"/>
      <c r="H835" s="83"/>
    </row>
    <row r="836" spans="1:8">
      <c r="A836" s="83"/>
      <c r="B836" s="82"/>
      <c r="C836" s="82"/>
      <c r="D836" s="82"/>
      <c r="E836" s="82"/>
      <c r="F836" s="83"/>
      <c r="G836" s="83"/>
      <c r="H836" s="83"/>
    </row>
    <row r="837" spans="1:8">
      <c r="A837" s="83"/>
      <c r="B837" s="82"/>
      <c r="C837" s="82"/>
      <c r="D837" s="82"/>
      <c r="E837" s="82"/>
      <c r="F837" s="83"/>
      <c r="G837" s="83"/>
      <c r="H837" s="83"/>
    </row>
    <row r="838" spans="1:8">
      <c r="A838" s="83"/>
      <c r="B838" s="82"/>
      <c r="C838" s="82"/>
      <c r="D838" s="82"/>
      <c r="E838" s="82"/>
      <c r="F838" s="83"/>
      <c r="G838" s="83"/>
      <c r="H838" s="83"/>
    </row>
    <row r="839" spans="1:8">
      <c r="A839" s="83"/>
      <c r="B839" s="82"/>
      <c r="C839" s="82"/>
      <c r="D839" s="82"/>
      <c r="E839" s="82"/>
      <c r="F839" s="83"/>
      <c r="G839" s="83"/>
      <c r="H839" s="83"/>
    </row>
    <row r="840" spans="1:8">
      <c r="A840" s="83"/>
      <c r="B840" s="82"/>
      <c r="C840" s="82"/>
      <c r="D840" s="82"/>
      <c r="E840" s="82"/>
      <c r="F840" s="83"/>
      <c r="G840" s="83"/>
      <c r="H840" s="83"/>
    </row>
    <row r="841" spans="1:8">
      <c r="A841" s="83"/>
      <c r="B841" s="82"/>
      <c r="C841" s="82"/>
      <c r="D841" s="82"/>
      <c r="E841" s="82"/>
      <c r="F841" s="83"/>
      <c r="G841" s="83"/>
      <c r="H841" s="83"/>
    </row>
    <row r="842" spans="1:8">
      <c r="A842" s="83"/>
      <c r="B842" s="82"/>
      <c r="C842" s="82"/>
      <c r="D842" s="82"/>
      <c r="E842" s="82"/>
      <c r="F842" s="83"/>
      <c r="G842" s="83"/>
      <c r="H842" s="83"/>
    </row>
    <row r="843" spans="1:8">
      <c r="A843" s="83"/>
      <c r="B843" s="82"/>
      <c r="C843" s="82"/>
      <c r="D843" s="82"/>
      <c r="E843" s="82"/>
      <c r="F843" s="83"/>
      <c r="G843" s="83"/>
      <c r="H843" s="83"/>
    </row>
    <row r="844" spans="1:8">
      <c r="A844" s="83"/>
      <c r="B844" s="82"/>
      <c r="C844" s="82"/>
      <c r="D844" s="82"/>
      <c r="E844" s="82"/>
      <c r="F844" s="83"/>
      <c r="G844" s="83"/>
      <c r="H844" s="83"/>
    </row>
    <row r="845" spans="1:8">
      <c r="A845" s="83"/>
      <c r="B845" s="82"/>
      <c r="C845" s="82"/>
      <c r="D845" s="82"/>
      <c r="E845" s="82"/>
      <c r="F845" s="83"/>
      <c r="G845" s="83"/>
      <c r="H845" s="83"/>
    </row>
    <row r="846" spans="1:8">
      <c r="A846" s="83"/>
      <c r="B846" s="82"/>
      <c r="C846" s="82"/>
      <c r="D846" s="82"/>
      <c r="E846" s="82"/>
      <c r="F846" s="83"/>
      <c r="G846" s="83"/>
      <c r="H846" s="83"/>
    </row>
    <row r="847" spans="1:8">
      <c r="A847" s="83"/>
      <c r="B847" s="82"/>
      <c r="C847" s="82"/>
      <c r="D847" s="82"/>
      <c r="E847" s="82"/>
      <c r="F847" s="83"/>
      <c r="G847" s="83"/>
      <c r="H847" s="83"/>
    </row>
    <row r="848" spans="1:8">
      <c r="A848" s="83"/>
      <c r="B848" s="82"/>
      <c r="C848" s="82"/>
      <c r="D848" s="82"/>
      <c r="E848" s="82"/>
      <c r="F848" s="83"/>
      <c r="G848" s="83"/>
      <c r="H848" s="83"/>
    </row>
    <row r="849" spans="1:8">
      <c r="A849" s="83"/>
      <c r="B849" s="82"/>
      <c r="C849" s="82"/>
      <c r="D849" s="82"/>
      <c r="E849" s="82"/>
      <c r="F849" s="83"/>
      <c r="G849" s="83"/>
      <c r="H849" s="83"/>
    </row>
    <row r="850" spans="1:8">
      <c r="A850" s="83"/>
      <c r="B850" s="82"/>
      <c r="C850" s="82"/>
      <c r="D850" s="82"/>
      <c r="E850" s="82"/>
      <c r="F850" s="83"/>
      <c r="G850" s="83"/>
      <c r="H850" s="83"/>
    </row>
    <row r="851" spans="1:8">
      <c r="A851" s="83"/>
      <c r="B851" s="82"/>
      <c r="C851" s="82"/>
      <c r="D851" s="82"/>
      <c r="E851" s="82"/>
      <c r="F851" s="83"/>
      <c r="G851" s="83"/>
      <c r="H851" s="83"/>
    </row>
    <row r="852" spans="1:8">
      <c r="A852" s="83"/>
      <c r="B852" s="82"/>
      <c r="C852" s="82"/>
      <c r="D852" s="82"/>
      <c r="E852" s="82"/>
      <c r="F852" s="83"/>
      <c r="G852" s="83"/>
      <c r="H852" s="83"/>
    </row>
    <row r="853" spans="1:8">
      <c r="A853" s="83"/>
      <c r="B853" s="82"/>
      <c r="C853" s="82"/>
      <c r="D853" s="82"/>
      <c r="E853" s="82"/>
      <c r="F853" s="83"/>
      <c r="G853" s="83"/>
      <c r="H853" s="83"/>
    </row>
    <row r="854" spans="1:8">
      <c r="A854" s="83"/>
      <c r="B854" s="82"/>
      <c r="C854" s="82"/>
      <c r="D854" s="82"/>
      <c r="E854" s="82"/>
      <c r="F854" s="83"/>
      <c r="G854" s="83"/>
      <c r="H854" s="83"/>
    </row>
    <row r="855" spans="1:8">
      <c r="A855" s="83"/>
      <c r="B855" s="82"/>
      <c r="C855" s="82"/>
      <c r="D855" s="82"/>
      <c r="E855" s="82"/>
      <c r="F855" s="83"/>
      <c r="G855" s="83"/>
      <c r="H855" s="83"/>
    </row>
    <row r="856" spans="1:8">
      <c r="A856" s="83"/>
      <c r="B856" s="82"/>
      <c r="C856" s="82"/>
      <c r="D856" s="82"/>
      <c r="E856" s="82"/>
      <c r="F856" s="83"/>
      <c r="G856" s="83"/>
      <c r="H856" s="83"/>
    </row>
    <row r="857" spans="1:8">
      <c r="A857" s="83"/>
      <c r="B857" s="82"/>
      <c r="C857" s="82"/>
      <c r="D857" s="82"/>
      <c r="E857" s="82"/>
      <c r="F857" s="83"/>
      <c r="G857" s="83"/>
      <c r="H857" s="83"/>
    </row>
    <row r="858" spans="1:8">
      <c r="A858" s="83"/>
      <c r="B858" s="82"/>
      <c r="C858" s="82"/>
      <c r="D858" s="82"/>
      <c r="E858" s="82"/>
      <c r="F858" s="83"/>
      <c r="G858" s="83"/>
      <c r="H858" s="83"/>
    </row>
    <row r="859" spans="1:8">
      <c r="A859" s="83"/>
      <c r="B859" s="82"/>
      <c r="C859" s="82"/>
      <c r="D859" s="82"/>
      <c r="E859" s="82"/>
      <c r="F859" s="83"/>
      <c r="G859" s="83"/>
      <c r="H859" s="83"/>
    </row>
    <row r="860" spans="1:8">
      <c r="A860" s="83"/>
      <c r="B860" s="82"/>
      <c r="C860" s="82"/>
      <c r="D860" s="82"/>
      <c r="E860" s="82"/>
      <c r="F860" s="83"/>
      <c r="G860" s="83"/>
      <c r="H860" s="83"/>
    </row>
    <row r="861" spans="1:8">
      <c r="A861" s="83"/>
      <c r="B861" s="82"/>
      <c r="C861" s="82"/>
      <c r="D861" s="82"/>
      <c r="E861" s="82"/>
      <c r="F861" s="83"/>
      <c r="G861" s="83"/>
      <c r="H861" s="83"/>
    </row>
    <row r="862" spans="1:8">
      <c r="A862" s="83"/>
      <c r="B862" s="82"/>
      <c r="C862" s="82"/>
      <c r="D862" s="82"/>
      <c r="E862" s="82"/>
      <c r="F862" s="83"/>
      <c r="G862" s="83"/>
      <c r="H862" s="83"/>
    </row>
    <row r="863" spans="1:8">
      <c r="A863" s="83"/>
      <c r="B863" s="82"/>
      <c r="C863" s="82"/>
      <c r="D863" s="82"/>
      <c r="E863" s="82"/>
      <c r="F863" s="83"/>
      <c r="G863" s="83"/>
      <c r="H863" s="83"/>
    </row>
    <row r="864" spans="1:8">
      <c r="A864" s="83"/>
      <c r="B864" s="82"/>
      <c r="C864" s="82"/>
      <c r="D864" s="82"/>
      <c r="E864" s="82"/>
      <c r="F864" s="83"/>
      <c r="G864" s="83"/>
      <c r="H864" s="83"/>
    </row>
    <row r="865" spans="1:8">
      <c r="A865" s="83"/>
      <c r="B865" s="82"/>
      <c r="C865" s="82"/>
      <c r="D865" s="82"/>
      <c r="E865" s="82"/>
      <c r="F865" s="83"/>
      <c r="G865" s="83"/>
      <c r="H865" s="83"/>
    </row>
    <row r="866" spans="1:8">
      <c r="A866" s="83"/>
      <c r="B866" s="82"/>
      <c r="C866" s="82"/>
      <c r="D866" s="82"/>
      <c r="E866" s="82"/>
      <c r="F866" s="83"/>
      <c r="G866" s="83"/>
      <c r="H866" s="83"/>
    </row>
    <row r="867" spans="1:8">
      <c r="A867" s="83"/>
      <c r="B867" s="82"/>
      <c r="C867" s="82"/>
      <c r="D867" s="82"/>
      <c r="E867" s="82"/>
      <c r="F867" s="83"/>
      <c r="G867" s="83"/>
      <c r="H867" s="83"/>
    </row>
    <row r="868" spans="1:8">
      <c r="A868" s="83"/>
      <c r="B868" s="82"/>
      <c r="C868" s="82"/>
      <c r="D868" s="82"/>
      <c r="E868" s="82"/>
      <c r="F868" s="83"/>
      <c r="G868" s="83"/>
      <c r="H868" s="83"/>
    </row>
    <row r="869" spans="1:8">
      <c r="A869" s="83"/>
      <c r="B869" s="82"/>
      <c r="C869" s="82"/>
      <c r="D869" s="82"/>
      <c r="E869" s="82"/>
      <c r="F869" s="83"/>
      <c r="G869" s="83"/>
      <c r="H869" s="83"/>
    </row>
    <row r="870" spans="1:8">
      <c r="A870" s="83"/>
      <c r="B870" s="82"/>
      <c r="C870" s="82"/>
      <c r="D870" s="82"/>
      <c r="E870" s="82"/>
      <c r="F870" s="83"/>
      <c r="G870" s="83"/>
      <c r="H870" s="83"/>
    </row>
    <row r="871" spans="1:8">
      <c r="A871" s="83"/>
      <c r="B871" s="82"/>
      <c r="C871" s="82"/>
      <c r="D871" s="82"/>
      <c r="E871" s="82"/>
      <c r="F871" s="83"/>
      <c r="G871" s="83"/>
      <c r="H871" s="83"/>
    </row>
    <row r="872" spans="1:8">
      <c r="A872" s="83"/>
      <c r="B872" s="82"/>
      <c r="C872" s="82"/>
      <c r="D872" s="82"/>
      <c r="E872" s="82"/>
      <c r="F872" s="83"/>
      <c r="G872" s="83"/>
      <c r="H872" s="83"/>
    </row>
    <row r="873" spans="1:8">
      <c r="A873" s="83"/>
      <c r="B873" s="82"/>
      <c r="C873" s="82"/>
      <c r="D873" s="82"/>
      <c r="E873" s="82"/>
      <c r="F873" s="83"/>
      <c r="G873" s="83"/>
      <c r="H873" s="83"/>
    </row>
    <row r="874" spans="1:8">
      <c r="A874" s="83"/>
      <c r="B874" s="82"/>
      <c r="C874" s="82"/>
      <c r="D874" s="82"/>
      <c r="E874" s="82"/>
      <c r="F874" s="83"/>
      <c r="G874" s="83"/>
      <c r="H874" s="83"/>
    </row>
    <row r="875" spans="1:8">
      <c r="A875" s="83"/>
      <c r="B875" s="82"/>
      <c r="C875" s="82"/>
      <c r="D875" s="82"/>
      <c r="E875" s="82"/>
      <c r="F875" s="83"/>
      <c r="G875" s="83"/>
      <c r="H875" s="83"/>
    </row>
    <row r="876" spans="1:8">
      <c r="A876" s="83"/>
      <c r="B876" s="82"/>
      <c r="C876" s="82"/>
      <c r="D876" s="82"/>
      <c r="E876" s="82"/>
      <c r="F876" s="83"/>
      <c r="G876" s="83"/>
      <c r="H876" s="83"/>
    </row>
    <row r="877" spans="1:8">
      <c r="A877" s="83"/>
      <c r="B877" s="82"/>
      <c r="C877" s="82"/>
      <c r="D877" s="82"/>
      <c r="E877" s="82"/>
      <c r="F877" s="83"/>
      <c r="G877" s="83"/>
      <c r="H877" s="83"/>
    </row>
    <row r="878" spans="1:8">
      <c r="A878" s="83"/>
      <c r="B878" s="82"/>
      <c r="C878" s="82"/>
      <c r="D878" s="82"/>
      <c r="E878" s="82"/>
      <c r="F878" s="83"/>
      <c r="G878" s="83"/>
      <c r="H878" s="83"/>
    </row>
    <row r="879" spans="1:8">
      <c r="A879" s="83"/>
      <c r="B879" s="82"/>
      <c r="C879" s="82"/>
      <c r="D879" s="82"/>
      <c r="E879" s="82"/>
      <c r="F879" s="83"/>
      <c r="G879" s="83"/>
      <c r="H879" s="83"/>
    </row>
    <row r="880" spans="1:8">
      <c r="A880" s="83"/>
      <c r="B880" s="82"/>
      <c r="C880" s="82"/>
      <c r="D880" s="82"/>
      <c r="E880" s="82"/>
      <c r="F880" s="83"/>
      <c r="G880" s="83"/>
      <c r="H880" s="83"/>
    </row>
    <row r="881" spans="1:8">
      <c r="A881" s="83"/>
      <c r="B881" s="82"/>
      <c r="C881" s="82"/>
      <c r="D881" s="82"/>
      <c r="E881" s="82"/>
      <c r="F881" s="83"/>
      <c r="G881" s="83"/>
      <c r="H881" s="83"/>
    </row>
    <row r="882" spans="1:8">
      <c r="A882" s="83"/>
      <c r="B882" s="82"/>
      <c r="C882" s="82"/>
      <c r="D882" s="82"/>
      <c r="E882" s="82"/>
      <c r="F882" s="83"/>
      <c r="G882" s="83"/>
      <c r="H882" s="83"/>
    </row>
    <row r="883" spans="1:8">
      <c r="A883" s="83"/>
      <c r="B883" s="82"/>
      <c r="C883" s="82"/>
      <c r="D883" s="82"/>
      <c r="E883" s="82"/>
      <c r="F883" s="83"/>
      <c r="G883" s="83"/>
      <c r="H883" s="83"/>
    </row>
    <row r="884" spans="1:8">
      <c r="A884" s="83"/>
      <c r="B884" s="82"/>
      <c r="C884" s="82"/>
      <c r="D884" s="82"/>
      <c r="E884" s="82"/>
      <c r="F884" s="83"/>
      <c r="G884" s="83"/>
      <c r="H884" s="83"/>
    </row>
    <row r="885" spans="1:8">
      <c r="A885" s="83"/>
      <c r="B885" s="82"/>
      <c r="C885" s="82"/>
      <c r="D885" s="82"/>
      <c r="E885" s="82"/>
      <c r="F885" s="83"/>
      <c r="G885" s="83"/>
      <c r="H885" s="83"/>
    </row>
    <row r="886" spans="1:8">
      <c r="A886" s="83"/>
      <c r="B886" s="82"/>
      <c r="C886" s="82"/>
      <c r="D886" s="82"/>
      <c r="E886" s="82"/>
      <c r="F886" s="83"/>
      <c r="G886" s="83"/>
      <c r="H886" s="83"/>
    </row>
    <row r="887" spans="1:8">
      <c r="A887" s="83"/>
      <c r="B887" s="82"/>
      <c r="C887" s="82"/>
      <c r="D887" s="82"/>
      <c r="E887" s="82"/>
      <c r="F887" s="83"/>
      <c r="G887" s="83"/>
      <c r="H887" s="83"/>
    </row>
    <row r="888" spans="1:8">
      <c r="A888" s="83"/>
      <c r="B888" s="82"/>
      <c r="C888" s="82"/>
      <c r="D888" s="82"/>
      <c r="E888" s="82"/>
      <c r="F888" s="83"/>
      <c r="G888" s="83"/>
      <c r="H888" s="83"/>
    </row>
    <row r="889" spans="1:8">
      <c r="A889" s="83"/>
      <c r="B889" s="82"/>
      <c r="C889" s="82"/>
      <c r="D889" s="82"/>
      <c r="E889" s="82"/>
      <c r="F889" s="83"/>
      <c r="G889" s="83"/>
      <c r="H889" s="83"/>
    </row>
    <row r="890" spans="1:8">
      <c r="A890" s="83"/>
      <c r="B890" s="82"/>
      <c r="C890" s="82"/>
      <c r="D890" s="82"/>
      <c r="E890" s="82"/>
      <c r="F890" s="83"/>
      <c r="G890" s="83"/>
      <c r="H890" s="83"/>
    </row>
    <row r="891" spans="1:8">
      <c r="A891" s="83"/>
      <c r="B891" s="82"/>
      <c r="C891" s="82"/>
      <c r="D891" s="82"/>
      <c r="E891" s="82"/>
      <c r="F891" s="83"/>
      <c r="G891" s="83"/>
      <c r="H891" s="83"/>
    </row>
    <row r="892" spans="1:8">
      <c r="A892" s="83"/>
      <c r="B892" s="82"/>
      <c r="C892" s="82"/>
      <c r="D892" s="82"/>
      <c r="E892" s="82"/>
      <c r="F892" s="83"/>
      <c r="G892" s="83"/>
      <c r="H892" s="83"/>
    </row>
    <row r="893" spans="1:8">
      <c r="A893" s="83"/>
      <c r="B893" s="82"/>
      <c r="C893" s="82"/>
      <c r="D893" s="82"/>
      <c r="E893" s="82"/>
      <c r="F893" s="83"/>
      <c r="G893" s="83"/>
      <c r="H893" s="83"/>
    </row>
    <row r="894" spans="1:8">
      <c r="A894" s="83"/>
      <c r="B894" s="82"/>
      <c r="C894" s="82"/>
      <c r="D894" s="82"/>
      <c r="E894" s="82"/>
      <c r="F894" s="83"/>
      <c r="G894" s="83"/>
      <c r="H894" s="83"/>
    </row>
    <row r="895" spans="1:8">
      <c r="A895" s="83"/>
      <c r="B895" s="82"/>
      <c r="C895" s="82"/>
      <c r="D895" s="82"/>
      <c r="E895" s="82"/>
      <c r="F895" s="83"/>
      <c r="G895" s="83"/>
      <c r="H895" s="83"/>
    </row>
    <row r="896" spans="1:8">
      <c r="A896" s="83"/>
      <c r="B896" s="82"/>
      <c r="C896" s="82"/>
      <c r="D896" s="82"/>
      <c r="E896" s="82"/>
      <c r="F896" s="83"/>
      <c r="G896" s="83"/>
      <c r="H896" s="83"/>
    </row>
    <row r="897" spans="1:8">
      <c r="A897" s="83"/>
      <c r="B897" s="82"/>
      <c r="C897" s="82"/>
      <c r="D897" s="82"/>
      <c r="E897" s="82"/>
      <c r="F897" s="83"/>
      <c r="G897" s="83"/>
      <c r="H897" s="83"/>
    </row>
    <row r="898" spans="1:8">
      <c r="A898" s="83"/>
      <c r="B898" s="82"/>
      <c r="C898" s="82"/>
      <c r="D898" s="82"/>
      <c r="E898" s="82"/>
      <c r="F898" s="83"/>
      <c r="G898" s="83"/>
      <c r="H898" s="83"/>
    </row>
    <row r="899" spans="1:8">
      <c r="A899" s="83"/>
      <c r="B899" s="82"/>
      <c r="C899" s="82"/>
      <c r="D899" s="82"/>
      <c r="E899" s="82"/>
      <c r="F899" s="83"/>
      <c r="G899" s="83"/>
      <c r="H899" s="83"/>
    </row>
    <row r="900" spans="1:8">
      <c r="A900" s="83"/>
      <c r="B900" s="82"/>
      <c r="C900" s="82"/>
      <c r="D900" s="82"/>
      <c r="E900" s="82"/>
      <c r="F900" s="83"/>
      <c r="G900" s="83"/>
      <c r="H900" s="83"/>
    </row>
    <row r="901" spans="1:8">
      <c r="A901" s="83"/>
      <c r="B901" s="82"/>
      <c r="C901" s="82"/>
      <c r="D901" s="82"/>
      <c r="E901" s="82"/>
      <c r="F901" s="83"/>
      <c r="G901" s="83"/>
      <c r="H901" s="83"/>
    </row>
    <row r="902" spans="1:8">
      <c r="A902" s="83"/>
      <c r="B902" s="82"/>
      <c r="C902" s="82"/>
      <c r="D902" s="82"/>
      <c r="E902" s="82"/>
      <c r="F902" s="83"/>
      <c r="G902" s="83"/>
      <c r="H902" s="83"/>
    </row>
    <row r="903" spans="1:8">
      <c r="A903" s="83"/>
      <c r="B903" s="82"/>
      <c r="C903" s="82"/>
      <c r="D903" s="82"/>
      <c r="E903" s="82"/>
      <c r="F903" s="83"/>
      <c r="G903" s="83"/>
      <c r="H903" s="83"/>
    </row>
    <row r="904" spans="1:8">
      <c r="A904" s="83"/>
      <c r="B904" s="82"/>
      <c r="C904" s="82"/>
      <c r="D904" s="82"/>
      <c r="E904" s="82"/>
      <c r="F904" s="83"/>
      <c r="G904" s="83"/>
      <c r="H904" s="83"/>
    </row>
    <row r="905" spans="1:8">
      <c r="A905" s="83"/>
      <c r="B905" s="82"/>
      <c r="C905" s="82"/>
      <c r="D905" s="82"/>
      <c r="E905" s="82"/>
      <c r="F905" s="83"/>
      <c r="G905" s="83"/>
      <c r="H905" s="83"/>
    </row>
    <row r="906" spans="1:8">
      <c r="A906" s="83"/>
      <c r="B906" s="82"/>
      <c r="C906" s="82"/>
      <c r="D906" s="82"/>
      <c r="E906" s="82"/>
      <c r="F906" s="83"/>
      <c r="G906" s="83"/>
      <c r="H906" s="83"/>
    </row>
    <row r="907" spans="1:8">
      <c r="A907" s="83"/>
      <c r="B907" s="82"/>
      <c r="C907" s="82"/>
      <c r="D907" s="82"/>
      <c r="E907" s="82"/>
      <c r="F907" s="83"/>
      <c r="G907" s="83"/>
      <c r="H907" s="83"/>
    </row>
    <row r="908" spans="1:8">
      <c r="A908" s="83"/>
      <c r="B908" s="82"/>
      <c r="C908" s="82"/>
      <c r="D908" s="82"/>
      <c r="E908" s="82"/>
      <c r="F908" s="83"/>
      <c r="G908" s="83"/>
      <c r="H908" s="83"/>
    </row>
    <row r="909" spans="1:8">
      <c r="A909" s="83"/>
      <c r="B909" s="82"/>
      <c r="C909" s="82"/>
      <c r="D909" s="82"/>
      <c r="E909" s="82"/>
      <c r="F909" s="83"/>
      <c r="G909" s="83"/>
      <c r="H909" s="83"/>
    </row>
    <row r="910" spans="1:8">
      <c r="A910" s="83"/>
      <c r="B910" s="82"/>
      <c r="C910" s="82"/>
      <c r="D910" s="82"/>
      <c r="E910" s="82"/>
      <c r="F910" s="83"/>
      <c r="G910" s="83"/>
      <c r="H910" s="83"/>
    </row>
  </sheetData>
  <mergeCells count="7">
    <mergeCell ref="G1:G2"/>
    <mergeCell ref="H1:H2"/>
    <mergeCell ref="B1:B2"/>
    <mergeCell ref="C1:C2"/>
    <mergeCell ref="D1:D2"/>
    <mergeCell ref="E1:E2"/>
    <mergeCell ref="F1:F2"/>
  </mergeCells>
  <conditionalFormatting sqref="C3:H47">
    <cfRule type="containsText" dxfId="9" priority="2" operator="containsText" text="Null">
      <formula>NOT(ISERROR(SEARCH(("Null"),(C3))))</formula>
    </cfRule>
    <cfRule type="containsText" dxfId="8" priority="3" operator="containsText" text="NA">
      <formula>NOT(ISERROR(SEARCH(("NA"),(C3))))</formula>
    </cfRule>
  </conditionalFormatting>
  <conditionalFormatting sqref="D3:D47 F3:F47">
    <cfRule type="colorScale" priority="4">
      <colorScale>
        <cfvo type="formula" val="1"/>
        <cfvo type="formula" val="3"/>
        <cfvo type="formula" val="5"/>
        <color rgb="FFE67C73"/>
        <color rgb="FFFFFFFF"/>
        <color rgb="FF57BB8A"/>
      </colorScale>
    </cfRule>
  </conditionalFormatting>
  <conditionalFormatting sqref="E3:E47">
    <cfRule type="colorScale" priority="6">
      <colorScale>
        <cfvo type="formula" val="1"/>
        <cfvo type="formula" val="3"/>
        <cfvo type="formula" val="5"/>
        <color rgb="FF57BB8A"/>
        <color rgb="FFFFFFFF"/>
        <color rgb="FFE67C73"/>
      </colorScale>
    </cfRule>
  </conditionalFormatting>
  <conditionalFormatting sqref="G3:G47">
    <cfRule type="colorScale" priority="5">
      <colorScale>
        <cfvo type="percentile" val="0"/>
        <cfvo type="percentile" val="50"/>
        <cfvo type="percentile" val="100"/>
        <color rgb="FF57BB8A"/>
        <color rgb="FFFFFFFF"/>
        <color rgb="FFE67C73"/>
      </colorScale>
    </cfRule>
  </conditionalFormatting>
  <conditionalFormatting sqref="H3:H47">
    <cfRule type="colorScale" priority="1">
      <colorScale>
        <cfvo type="percentile" val="0"/>
        <cfvo type="percentile" val="50"/>
        <cfvo type="percentile" val="100"/>
        <color rgb="FF6AA84F"/>
        <color rgb="FFFFFFFF"/>
        <color rgb="FFA61C00"/>
      </colorScale>
    </cfRule>
  </conditionalFormatting>
  <hyperlinks>
    <hyperlink ref="A1" r:id="rId1" xr:uid="{00000000-0004-0000-0A00-000000000000}"/>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rgb="FFF9CB9C"/>
    <outlinePr summaryBelow="0" summaryRight="0"/>
  </sheetPr>
  <dimension ref="A1:AA1000"/>
  <sheetViews>
    <sheetView topLeftCell="G1" workbookViewId="0"/>
  </sheetViews>
  <sheetFormatPr baseColWidth="10" defaultColWidth="14.5" defaultRowHeight="15" customHeight="1"/>
  <cols>
    <col min="1" max="2" width="37.33203125" hidden="1" customWidth="1"/>
    <col min="3" max="3" width="49" hidden="1" customWidth="1"/>
    <col min="4" max="6" width="14.5" hidden="1"/>
    <col min="7" max="7" width="36.83203125" customWidth="1"/>
    <col min="8" max="8" width="157.6640625" customWidth="1"/>
    <col min="9" max="10" width="14.5" hidden="1"/>
  </cols>
  <sheetData>
    <row r="1" spans="1:27" ht="23.25" customHeight="1">
      <c r="A1" s="166" t="s">
        <v>271</v>
      </c>
      <c r="B1" s="166" t="s">
        <v>271</v>
      </c>
      <c r="C1" s="167" t="s">
        <v>272</v>
      </c>
      <c r="D1" s="168" t="s">
        <v>273</v>
      </c>
      <c r="E1" s="168" t="s">
        <v>273</v>
      </c>
      <c r="G1" s="169" t="str">
        <f ca="1">IFERROR(__xludf.DUMMYFUNCTION("QUERY(B:E, ""SELECT * ORDER BY D DESC, E ASC"", 1)"),"Course Name")</f>
        <v>Course Name</v>
      </c>
      <c r="H1" s="169" t="str">
        <f ca="1">IFERROR(__xludf.DUMMYFUNCTION("""COMPUTED_VALUE"""),"Feedback on the Course")</f>
        <v>Feedback on the Course</v>
      </c>
      <c r="I1" s="168" t="str">
        <f ca="1">IFERROR(__xludf.DUMMYFUNCTION("""COMPUTED_VALUE"""),"Filters")</f>
        <v>Filters</v>
      </c>
      <c r="J1" s="168" t="str">
        <f ca="1">IFERROR(__xludf.DUMMYFUNCTION("""COMPUTED_VALUE"""),"Filters")</f>
        <v>Filters</v>
      </c>
    </row>
    <row r="2" spans="1:27" ht="34">
      <c r="A2" s="170" t="str">
        <f t="shared" ref="A2:A189" ca="1" si="0">IFERROR(RIGHT(B2, LEN(B2) - FIND(" - ", B2) - 2),"")</f>
        <v/>
      </c>
      <c r="B2" s="171" t="str">
        <f t="shared" ref="B2:B256" ca="1" si="1">IFERROR(_xludf.IFS(
  NOT(ISBLANK(INDIRECT("'Outside Review Form Responses'!D" &amp; ROW()))), INDIRECT("'Outside Review Form Responses'!D" &amp; ROW())
),"")</f>
        <v/>
      </c>
      <c r="C2" s="171" t="str">
        <f t="shared" ref="C2:C183" ca="1" si="2">IF(ISBLANK(INDIRECT("'Outside Review Form Responses'!D" &amp; ROW())), "", INDIRECT("'Outside Review Form Responses'!J" &amp; ROW()))</f>
        <v/>
      </c>
      <c r="D2" s="172">
        <f t="shared" ref="D2:D229" ca="1" si="3">IF(TRIM(C2)="", 0, 1)</f>
        <v>0</v>
      </c>
      <c r="E2" s="172" t="s">
        <v>281</v>
      </c>
      <c r="F2" s="172"/>
      <c r="G2" s="173" t="str">
        <f ca="1">IFERROR(__xludf.DUMMYFUNCTION("""COMPUTED_VALUE"""),"EMEA 5021 - Product Cost &amp; Investment Cash Flow Analysis")</f>
        <v>EMEA 5021 - Product Cost &amp; Investment Cash Flow Analysis</v>
      </c>
      <c r="H2" s="174" t="str">
        <f ca="1">IFERROR(__xludf.DUMMYFUNCTION("""COMPUTED_VALUE"""),"I don't feel you would need any prior experience for this course. The concepts are explained well by the professor, and the homework assignments are straight forward applications of the lectures. The final exam follows the course content with no surprise "&amp;"questions. ")</f>
        <v xml:space="preserve">I don't feel you would need any prior experience for this course. The concepts are explained well by the professor, and the homework assignments are straight forward applications of the lectures. The final exam follows the course content with no surprise questions. </v>
      </c>
      <c r="I2" s="172">
        <f ca="1">IFERROR(__xludf.DUMMYFUNCTION("""COMPUTED_VALUE"""),1)</f>
        <v>1</v>
      </c>
      <c r="J2" s="172">
        <f ca="1">IFERROR(__xludf.DUMMYFUNCTION("""COMPUTED_VALUE"""),3)</f>
        <v>3</v>
      </c>
      <c r="K2" s="172"/>
      <c r="L2" s="172"/>
      <c r="M2" s="172"/>
      <c r="N2" s="172"/>
      <c r="O2" s="172"/>
      <c r="P2" s="172"/>
      <c r="Q2" s="172"/>
      <c r="R2" s="172"/>
      <c r="S2" s="172"/>
      <c r="T2" s="172"/>
      <c r="U2" s="172"/>
      <c r="V2" s="172"/>
      <c r="W2" s="172"/>
      <c r="X2" s="172"/>
      <c r="Y2" s="172"/>
      <c r="Z2" s="172"/>
      <c r="AA2" s="172"/>
    </row>
    <row r="3" spans="1:27" ht="34">
      <c r="A3" s="170" t="str">
        <f t="shared" ca="1" si="0"/>
        <v/>
      </c>
      <c r="B3" s="171" t="str">
        <f t="shared" ca="1" si="1"/>
        <v/>
      </c>
      <c r="C3" s="171">
        <f t="shared" ca="1" si="2"/>
        <v>0</v>
      </c>
      <c r="D3" s="172">
        <f t="shared" ca="1" si="3"/>
        <v>1</v>
      </c>
      <c r="E3" s="172">
        <v>3</v>
      </c>
      <c r="F3" s="172"/>
      <c r="G3" s="174" t="str">
        <f ca="1">IFERROR(__xludf.DUMMYFUNCTION("""COMPUTED_VALUE"""),"EMEA 5021 - Product Cost &amp; Investment Cash Flow Analysis")</f>
        <v>EMEA 5021 - Product Cost &amp; Investment Cash Flow Analysis</v>
      </c>
      <c r="H3" s="174" t="str">
        <f ca="1">IFERROR(__xludf.DUMMYFUNCTION("""COMPUTED_VALUE"""),"For the most part, this is very basic finance and investment information.  Very easy and straightforward course if you have any background in finance or investing at all.  A few assignments are out of date and need to be updated to current data.")</f>
        <v>For the most part, this is very basic finance and investment information.  Very easy and straightforward course if you have any background in finance or investing at all.  A few assignments are out of date and need to be updated to current data.</v>
      </c>
      <c r="I3" s="172">
        <f ca="1">IFERROR(__xludf.DUMMYFUNCTION("""COMPUTED_VALUE"""),1)</f>
        <v>1</v>
      </c>
      <c r="J3" s="172">
        <f ca="1">IFERROR(__xludf.DUMMYFUNCTION("""COMPUTED_VALUE"""),3)</f>
        <v>3</v>
      </c>
      <c r="K3" s="172"/>
      <c r="L3" s="172"/>
      <c r="M3" s="172"/>
      <c r="N3" s="172"/>
      <c r="O3" s="172"/>
      <c r="P3" s="172"/>
      <c r="Q3" s="172"/>
      <c r="R3" s="172"/>
      <c r="S3" s="172"/>
      <c r="T3" s="172"/>
      <c r="U3" s="172"/>
      <c r="V3" s="172"/>
      <c r="W3" s="172"/>
      <c r="X3" s="172"/>
      <c r="Y3" s="172"/>
      <c r="Z3" s="172"/>
      <c r="AA3" s="172"/>
    </row>
    <row r="4" spans="1:27" ht="34">
      <c r="A4" s="170" t="str">
        <f t="shared" ca="1" si="0"/>
        <v/>
      </c>
      <c r="B4" s="171" t="str">
        <f t="shared" ca="1" si="1"/>
        <v/>
      </c>
      <c r="C4" s="171">
        <f t="shared" ca="1" si="2"/>
        <v>0</v>
      </c>
      <c r="D4" s="172">
        <f t="shared" ca="1" si="3"/>
        <v>1</v>
      </c>
      <c r="E4" s="172">
        <v>4</v>
      </c>
      <c r="F4" s="172"/>
      <c r="G4" s="174" t="str">
        <f ca="1">IFERROR(__xludf.DUMMYFUNCTION("""COMPUTED_VALUE"""),"EMEA 5021 - Product Cost &amp; Investment Cash Flow Analysis")</f>
        <v>EMEA 5021 - Product Cost &amp; Investment Cash Flow Analysis</v>
      </c>
      <c r="H4" s="174" t="str">
        <f ca="1">IFERROR(__xludf.DUMMYFUNCTION("""COMPUTED_VALUE"""),"The math is relatively straight forward and there is no test or project component")</f>
        <v>The math is relatively straight forward and there is no test or project component</v>
      </c>
      <c r="I4" s="172">
        <f ca="1">IFERROR(__xludf.DUMMYFUNCTION("""COMPUTED_VALUE"""),1)</f>
        <v>1</v>
      </c>
      <c r="J4" s="172">
        <f ca="1">IFERROR(__xludf.DUMMYFUNCTION("""COMPUTED_VALUE"""),3)</f>
        <v>3</v>
      </c>
      <c r="K4" s="172"/>
      <c r="L4" s="172"/>
      <c r="M4" s="172"/>
      <c r="N4" s="172"/>
      <c r="O4" s="172"/>
      <c r="P4" s="172"/>
      <c r="Q4" s="172"/>
      <c r="R4" s="172"/>
      <c r="S4" s="172"/>
      <c r="T4" s="172"/>
      <c r="U4" s="172"/>
      <c r="V4" s="172"/>
      <c r="W4" s="172"/>
      <c r="X4" s="172"/>
      <c r="Y4" s="172"/>
      <c r="Z4" s="172"/>
      <c r="AA4" s="172"/>
    </row>
    <row r="5" spans="1:27" ht="34">
      <c r="A5" s="170" t="str">
        <f t="shared" ca="1" si="0"/>
        <v/>
      </c>
      <c r="B5" s="171" t="str">
        <f t="shared" ca="1" si="1"/>
        <v/>
      </c>
      <c r="C5" s="171">
        <f t="shared" ca="1" si="2"/>
        <v>0</v>
      </c>
      <c r="D5" s="172">
        <f t="shared" ca="1" si="3"/>
        <v>1</v>
      </c>
      <c r="E5" s="172">
        <v>5</v>
      </c>
      <c r="F5" s="172"/>
      <c r="G5" s="174" t="str">
        <f ca="1">IFERROR(__xludf.DUMMYFUNCTION("""COMPUTED_VALUE"""),"EMEA 5021 - Product Cost &amp; Investment Cash Flow Analysis")</f>
        <v>EMEA 5021 - Product Cost &amp; Investment Cash Flow Analysis</v>
      </c>
      <c r="H5" s="174" t="str">
        <f ca="1">IFERROR(__xludf.DUMMYFUNCTION("""COMPUTED_VALUE"""),"Good course.  If you do any investing, you might be familiar with much of this course, and the math is at grade school level. Still, it isn't a waste of time, as it ties everything back to projects and had a few ideas I wasn't familiar with.")</f>
        <v>Good course.  If you do any investing, you might be familiar with much of this course, and the math is at grade school level. Still, it isn't a waste of time, as it ties everything back to projects and had a few ideas I wasn't familiar with.</v>
      </c>
      <c r="I5" s="172">
        <f ca="1">IFERROR(__xludf.DUMMYFUNCTION("""COMPUTED_VALUE"""),1)</f>
        <v>1</v>
      </c>
      <c r="J5" s="172">
        <f ca="1">IFERROR(__xludf.DUMMYFUNCTION("""COMPUTED_VALUE"""),3)</f>
        <v>3</v>
      </c>
      <c r="K5" s="172"/>
      <c r="L5" s="172"/>
      <c r="M5" s="172"/>
      <c r="N5" s="172"/>
      <c r="O5" s="172"/>
      <c r="P5" s="172"/>
      <c r="Q5" s="172"/>
      <c r="R5" s="172"/>
      <c r="S5" s="172"/>
      <c r="T5" s="172"/>
      <c r="U5" s="172"/>
      <c r="V5" s="172"/>
      <c r="W5" s="172"/>
      <c r="X5" s="172"/>
      <c r="Y5" s="172"/>
      <c r="Z5" s="172"/>
      <c r="AA5" s="172"/>
    </row>
    <row r="6" spans="1:27" ht="34">
      <c r="A6" s="170" t="str">
        <f t="shared" ca="1" si="0"/>
        <v/>
      </c>
      <c r="B6" s="171" t="str">
        <f t="shared" ca="1" si="1"/>
        <v/>
      </c>
      <c r="C6" s="171" t="str">
        <f t="shared" ca="1" si="2"/>
        <v xml:space="preserve">I don't feel you would need any prior experience for this course. The concepts are explained well by the professor, and the homework assignments are straight forward applications of the lectures. The final exam follows the course content with no surprise questions. </v>
      </c>
      <c r="D6" s="172">
        <f t="shared" ca="1" si="3"/>
        <v>1</v>
      </c>
      <c r="E6" s="172">
        <v>3</v>
      </c>
      <c r="F6" s="172"/>
      <c r="G6" s="174" t="str">
        <f ca="1">IFERROR(__xludf.DUMMYFUNCTION("""COMPUTED_VALUE"""),"EMEA 5022 - Project Valuation and the Capital Budgeting Process")</f>
        <v>EMEA 5022 - Project Valuation and the Capital Budgeting Process</v>
      </c>
      <c r="H6" s="174" t="str">
        <f ca="1">IFERROR(__xludf.DUMMYFUNCTION("""COMPUTED_VALUE"""),"I don't think you would need prior knowledge in the subject to take the course, although I would say the first course would be a good idea. The concepts are explained by the professor well, and the homework assignments follow the lecture concepts. The fin"&amp;"al exam is open book, open notes, and not proctored. ")</f>
        <v xml:space="preserve">I don't think you would need prior knowledge in the subject to take the course, although I would say the first course would be a good idea. The concepts are explained by the professor well, and the homework assignments follow the lecture concepts. The final exam is open book, open notes, and not proctored. </v>
      </c>
      <c r="I6" s="172">
        <f ca="1">IFERROR(__xludf.DUMMYFUNCTION("""COMPUTED_VALUE"""),1)</f>
        <v>1</v>
      </c>
      <c r="J6" s="172">
        <f ca="1">IFERROR(__xludf.DUMMYFUNCTION("""COMPUTED_VALUE"""),4)</f>
        <v>4</v>
      </c>
      <c r="K6" s="172"/>
      <c r="L6" s="172"/>
      <c r="M6" s="172"/>
      <c r="N6" s="172"/>
      <c r="O6" s="172"/>
      <c r="P6" s="172"/>
      <c r="Q6" s="172"/>
      <c r="R6" s="172"/>
      <c r="S6" s="172"/>
      <c r="T6" s="172"/>
      <c r="U6" s="172"/>
      <c r="V6" s="172"/>
      <c r="W6" s="172"/>
      <c r="X6" s="172"/>
      <c r="Y6" s="172"/>
      <c r="Z6" s="172"/>
      <c r="AA6" s="172"/>
    </row>
    <row r="7" spans="1:27" ht="51">
      <c r="A7" s="170" t="str">
        <f t="shared" ca="1" si="0"/>
        <v/>
      </c>
      <c r="B7" s="171" t="str">
        <f t="shared" ca="1" si="1"/>
        <v/>
      </c>
      <c r="C7" s="171" t="str">
        <f t="shared" ca="1" si="2"/>
        <v xml:space="preserve">I don't think you would need prior knowledge in the subject to take the course, although I would say the first course would be a good idea. The concepts are explained by the professor well, and the homework assignments follow the lecture concepts. The final exam is open book, open notes, and not proctored. </v>
      </c>
      <c r="D7" s="172">
        <f t="shared" ca="1" si="3"/>
        <v>1</v>
      </c>
      <c r="E7" s="172">
        <v>4</v>
      </c>
      <c r="F7" s="172"/>
      <c r="G7" s="174" t="str">
        <f ca="1">IFERROR(__xludf.DUMMYFUNCTION("""COMPUTED_VALUE"""),"EMEA 5022 - Project Valuation and the Capital Budgeting Process")</f>
        <v>EMEA 5022 - Project Valuation and the Capital Budgeting Process</v>
      </c>
      <c r="H7" s="174" t="str">
        <f ca="1">IFERROR(__xludf.DUMMYFUNCTION("""COMPUTED_VALUE"""),"If you're a real estate investor, this course will look familiar since you deal with pro forma, depreciation schedules, and income statements.  The first weeks feel straightforward, mostly a review of the previous course.  Again the math is straightforwar"&amp;"d, but got into some interesting stuff on the actual capital budgeting process at a company.")</f>
        <v>If you're a real estate investor, this course will look familiar since you deal with pro forma, depreciation schedules, and income statements.  The first weeks feel straightforward, mostly a review of the previous course.  Again the math is straightforward, but got into some interesting stuff on the actual capital budgeting process at a company.</v>
      </c>
      <c r="I7" s="172">
        <f ca="1">IFERROR(__xludf.DUMMYFUNCTION("""COMPUTED_VALUE"""),1)</f>
        <v>1</v>
      </c>
      <c r="J7" s="172">
        <f ca="1">IFERROR(__xludf.DUMMYFUNCTION("""COMPUTED_VALUE"""),4)</f>
        <v>4</v>
      </c>
      <c r="K7" s="172"/>
      <c r="L7" s="172"/>
      <c r="M7" s="172"/>
      <c r="N7" s="172"/>
      <c r="O7" s="172"/>
      <c r="P7" s="172"/>
      <c r="Q7" s="172"/>
      <c r="R7" s="172"/>
      <c r="S7" s="172"/>
      <c r="T7" s="172"/>
      <c r="U7" s="172"/>
      <c r="V7" s="172"/>
      <c r="W7" s="172"/>
      <c r="X7" s="172"/>
      <c r="Y7" s="172"/>
      <c r="Z7" s="172"/>
      <c r="AA7" s="172"/>
    </row>
    <row r="8" spans="1:27" ht="51">
      <c r="A8" s="170" t="str">
        <f t="shared" ca="1" si="0"/>
        <v/>
      </c>
      <c r="B8" s="171" t="str">
        <f t="shared" ca="1" si="1"/>
        <v/>
      </c>
      <c r="C8" s="171" t="str">
        <f t="shared" ca="1" si="2"/>
        <v xml:space="preserve">I don't think you would need prior knowledge in the subject to take the course, although I would say the first and 2nd courses would be a good idea, since some of those concepts are referenced. The concepts are explained by the professor well, and the homework assignments follow the lecture concepts. The final exam is open book, open notes, and not proctored. </v>
      </c>
      <c r="D8" s="172">
        <f t="shared" ca="1" si="3"/>
        <v>1</v>
      </c>
      <c r="E8" s="172">
        <v>5</v>
      </c>
      <c r="F8" s="172"/>
      <c r="G8" s="174" t="str">
        <f ca="1">IFERROR(__xludf.DUMMYFUNCTION("""COMPUTED_VALUE"""),"EMEA 5023 - Financial Forecasting and Reporting")</f>
        <v>EMEA 5023 - Financial Forecasting and Reporting</v>
      </c>
      <c r="H8" s="174" t="str">
        <f ca="1">IFERROR(__xludf.DUMMYFUNCTION("""COMPUTED_VALUE"""),"I don't think you would need prior knowledge in the subject to take the course, although I would say the first and 2nd courses would be a good idea, since some of those concepts are referenced. The concepts are explained by the professor well, and the hom"&amp;"ework assignments follow the lecture concepts. The final exam is open book, open notes, and not proctored. ")</f>
        <v xml:space="preserve">I don't think you would need prior knowledge in the subject to take the course, although I would say the first and 2nd courses would be a good idea, since some of those concepts are referenced. The concepts are explained by the professor well, and the homework assignments follow the lecture concepts. The final exam is open book, open notes, and not proctored. </v>
      </c>
      <c r="I8" s="172">
        <f ca="1">IFERROR(__xludf.DUMMYFUNCTION("""COMPUTED_VALUE"""),1)</f>
        <v>1</v>
      </c>
      <c r="J8" s="172">
        <f ca="1">IFERROR(__xludf.DUMMYFUNCTION("""COMPUTED_VALUE"""),5)</f>
        <v>5</v>
      </c>
      <c r="K8" s="172"/>
      <c r="L8" s="172"/>
      <c r="M8" s="172"/>
      <c r="N8" s="172"/>
      <c r="O8" s="172"/>
      <c r="P8" s="172"/>
      <c r="Q8" s="172"/>
      <c r="R8" s="172"/>
      <c r="S8" s="172"/>
      <c r="T8" s="172"/>
      <c r="U8" s="172"/>
      <c r="V8" s="172"/>
      <c r="W8" s="172"/>
      <c r="X8" s="172"/>
      <c r="Y8" s="172"/>
      <c r="Z8" s="172"/>
      <c r="AA8" s="172"/>
    </row>
    <row r="9" spans="1:27" ht="68">
      <c r="A9" s="170" t="str">
        <f t="shared" ca="1" si="0"/>
        <v/>
      </c>
      <c r="B9" s="171" t="str">
        <f t="shared" ca="1" si="1"/>
        <v/>
      </c>
      <c r="C9" s="171" t="str">
        <f t="shared" ca="1" si="2"/>
        <v>It helps to have some exposure to project management but it is not necessary as this is taught at beginner level. The course assignments revolve around creating practical project documents.  Having seen these documents for real projects already this course was very easy for me.</v>
      </c>
      <c r="D9" s="172">
        <f t="shared" ca="1" si="3"/>
        <v>1</v>
      </c>
      <c r="E9" s="172">
        <v>6</v>
      </c>
      <c r="F9" s="172"/>
      <c r="G9" s="174" t="str">
        <f ca="1">IFERROR(__xludf.DUMMYFUNCTION("""COMPUTED_VALUE"""),"EMEA 5023 - Financial Forecasting and Reporting")</f>
        <v>EMEA 5023 - Financial Forecasting and Reporting</v>
      </c>
      <c r="H9" s="174" t="str">
        <f ca="1">IFERROR(__xludf.DUMMYFUNCTION("""COMPUTED_VALUE"""),"This was my least favorite of the three courses.  Again the math is straightforward, but the myriad of ratios makes my eyes glaze over, especially since half of them aren't great indicators, or are so commonsense you can just look at the numbers and get t"&amp;"he ""indication"" without the need to compute a ratio.  The sustainability module started off very preachy (and veered to what I would say is off course into heterodox economics), but the sustainability reporting got pretty interesting and I think is very"&amp;" relevant to financial reporting in the modern world.")</f>
        <v>This was my least favorite of the three courses.  Again the math is straightforward, but the myriad of ratios makes my eyes glaze over, especially since half of them aren't great indicators, or are so commonsense you can just look at the numbers and get the "indication" without the need to compute a ratio.  The sustainability module started off very preachy (and veered to what I would say is off course into heterodox economics), but the sustainability reporting got pretty interesting and I think is very relevant to financial reporting in the modern world.</v>
      </c>
      <c r="I9" s="172">
        <f ca="1">IFERROR(__xludf.DUMMYFUNCTION("""COMPUTED_VALUE"""),1)</f>
        <v>1</v>
      </c>
      <c r="J9" s="172">
        <f ca="1">IFERROR(__xludf.DUMMYFUNCTION("""COMPUTED_VALUE"""),5)</f>
        <v>5</v>
      </c>
      <c r="K9" s="172"/>
      <c r="L9" s="172"/>
      <c r="M9" s="172"/>
      <c r="N9" s="172"/>
      <c r="O9" s="172"/>
      <c r="P9" s="172"/>
      <c r="Q9" s="172"/>
      <c r="R9" s="172"/>
      <c r="S9" s="172"/>
      <c r="T9" s="172"/>
      <c r="U9" s="172"/>
      <c r="V9" s="172"/>
      <c r="W9" s="172"/>
      <c r="X9" s="172"/>
      <c r="Y9" s="172"/>
      <c r="Z9" s="172"/>
      <c r="AA9" s="172"/>
    </row>
    <row r="10" spans="1:27" ht="34">
      <c r="A10" s="170" t="str">
        <f t="shared" ca="1" si="0"/>
        <v/>
      </c>
      <c r="B10" s="171" t="str">
        <f t="shared" ca="1" si="1"/>
        <v/>
      </c>
      <c r="C10" s="171" t="str">
        <f t="shared" ca="1" si="2"/>
        <v>It is helpful to have prior knowledge but not necessary.  The assignments revolve around creating practical documents.  Having exposure to real world projects will make this course very easy.</v>
      </c>
      <c r="D10" s="172">
        <f t="shared" ca="1" si="3"/>
        <v>1</v>
      </c>
      <c r="E10" s="172">
        <v>7</v>
      </c>
      <c r="F10" s="172"/>
      <c r="G10" s="174" t="str">
        <f ca="1">IFERROR(__xludf.DUMMYFUNCTION("""COMPUTED_VALUE"""),"EMEA 5031 - Project Management: Foundations and Initiation")</f>
        <v>EMEA 5031 - Project Management: Foundations and Initiation</v>
      </c>
      <c r="H10" s="174" t="str">
        <f ca="1">IFERROR(__xludf.DUMMYFUNCTION("""COMPUTED_VALUE"""),"It helps to have some exposure to project management but it is not necessary as this is taught at beginner level. The course assignments revolve around creating practical project documents.  Having seen these documents for real projects already this cours"&amp;"e was very easy for me.")</f>
        <v>It helps to have some exposure to project management but it is not necessary as this is taught at beginner level. The course assignments revolve around creating practical project documents.  Having seen these documents for real projects already this course was very easy for me.</v>
      </c>
      <c r="I10" s="172">
        <f ca="1">IFERROR(__xludf.DUMMYFUNCTION("""COMPUTED_VALUE"""),1)</f>
        <v>1</v>
      </c>
      <c r="J10" s="172">
        <f ca="1">IFERROR(__xludf.DUMMYFUNCTION("""COMPUTED_VALUE"""),6)</f>
        <v>6</v>
      </c>
      <c r="K10" s="172"/>
      <c r="L10" s="172"/>
      <c r="M10" s="172"/>
      <c r="N10" s="172"/>
      <c r="O10" s="172"/>
      <c r="P10" s="172"/>
      <c r="Q10" s="172"/>
      <c r="R10" s="172"/>
      <c r="S10" s="172"/>
      <c r="T10" s="172"/>
      <c r="U10" s="172"/>
      <c r="V10" s="172"/>
      <c r="W10" s="172"/>
      <c r="X10" s="172"/>
      <c r="Y10" s="172"/>
      <c r="Z10" s="172"/>
      <c r="AA10" s="172"/>
    </row>
    <row r="11" spans="1:27" ht="51">
      <c r="A11" s="170" t="str">
        <f t="shared" ca="1" si="0"/>
        <v/>
      </c>
      <c r="B11" s="171" t="str">
        <f t="shared" ca="1" si="1"/>
        <v/>
      </c>
      <c r="C11" s="171" t="str">
        <f t="shared" ca="1" si="2"/>
        <v>No prior knowledge is needed and if you're an experienced agile practitioner you may wince at some of the material.  Still, there are some interesting topics and this is a decent overview.  I was able to find new ideas from this course.  IIRC this courses assignments were more short essay based since there isn't heavy documentation in agile like there is in waterfall.</v>
      </c>
      <c r="D11" s="172">
        <f t="shared" ca="1" si="3"/>
        <v>1</v>
      </c>
      <c r="E11" s="172">
        <v>8</v>
      </c>
      <c r="F11" s="172"/>
      <c r="G11" s="174" t="str">
        <f ca="1">IFERROR(__xludf.DUMMYFUNCTION("""COMPUTED_VALUE"""),"EMEA 5031 - Project Management: Foundations and Initiation")</f>
        <v>EMEA 5031 - Project Management: Foundations and Initiation</v>
      </c>
      <c r="H11" s="174" t="str">
        <f ca="1">IFERROR(__xludf.DUMMYFUNCTION("""COMPUTED_VALUE"""),"Nothing needed to prep for this course - quizzes were 4-5 questions long and took direct info from the readings that I skimmed, with unlimited attempts. The final project is a collection of the 4 homeworks combined into one PDF with any adjustments made a"&amp;"fter incorporating feedback that you receive from peers. Overall very straightforward and simple.")</f>
        <v>Nothing needed to prep for this course - quizzes were 4-5 questions long and took direct info from the readings that I skimmed, with unlimited attempts. The final project is a collection of the 4 homeworks combined into one PDF with any adjustments made after incorporating feedback that you receive from peers. Overall very straightforward and simple.</v>
      </c>
      <c r="I11" s="172">
        <f ca="1">IFERROR(__xludf.DUMMYFUNCTION("""COMPUTED_VALUE"""),1)</f>
        <v>1</v>
      </c>
      <c r="J11" s="172">
        <f ca="1">IFERROR(__xludf.DUMMYFUNCTION("""COMPUTED_VALUE"""),6)</f>
        <v>6</v>
      </c>
      <c r="K11" s="172"/>
      <c r="L11" s="172"/>
      <c r="M11" s="172"/>
      <c r="N11" s="172"/>
      <c r="O11" s="172"/>
      <c r="P11" s="172"/>
      <c r="Q11" s="172"/>
      <c r="R11" s="172"/>
      <c r="S11" s="172"/>
      <c r="T11" s="172"/>
      <c r="U11" s="172"/>
      <c r="V11" s="172"/>
      <c r="W11" s="172"/>
      <c r="X11" s="172"/>
      <c r="Y11" s="172"/>
      <c r="Z11" s="172"/>
      <c r="AA11" s="172"/>
    </row>
    <row r="12" spans="1:27" ht="34">
      <c r="A12" s="170" t="str">
        <f t="shared" ca="1" si="0"/>
        <v/>
      </c>
      <c r="B12" s="171" t="str">
        <f t="shared" ca="1" si="1"/>
        <v/>
      </c>
      <c r="C12" s="171" t="str">
        <f t="shared" ca="1" si="2"/>
        <v/>
      </c>
      <c r="D12" s="172">
        <f t="shared" ca="1" si="3"/>
        <v>0</v>
      </c>
      <c r="E12" s="172" t="s">
        <v>281</v>
      </c>
      <c r="F12" s="172"/>
      <c r="G12" s="174" t="str">
        <f ca="1">IFERROR(__xludf.DUMMYFUNCTION("""COMPUTED_VALUE"""),"EMEA 5031 - Project Management: Foundations and Initiation")</f>
        <v>EMEA 5031 - Project Management: Foundations and Initiation</v>
      </c>
      <c r="H12" s="174" t="str">
        <f ca="1">IFERROR(__xludf.DUMMYFUNCTION("""COMPUTED_VALUE"""),"This was fairly easy, and all the assignments built on each other. The grading rubric was easy to use in order to get a 100 ")</f>
        <v xml:space="preserve">This was fairly easy, and all the assignments built on each other. The grading rubric was easy to use in order to get a 100 </v>
      </c>
      <c r="I12" s="172">
        <f ca="1">IFERROR(__xludf.DUMMYFUNCTION("""COMPUTED_VALUE"""),1)</f>
        <v>1</v>
      </c>
      <c r="J12" s="172">
        <f ca="1">IFERROR(__xludf.DUMMYFUNCTION("""COMPUTED_VALUE"""),6)</f>
        <v>6</v>
      </c>
      <c r="K12" s="172"/>
      <c r="L12" s="172"/>
      <c r="M12" s="172"/>
      <c r="N12" s="172"/>
      <c r="O12" s="172"/>
      <c r="P12" s="172"/>
      <c r="Q12" s="172"/>
      <c r="R12" s="172"/>
      <c r="S12" s="172"/>
      <c r="T12" s="172"/>
      <c r="U12" s="172"/>
      <c r="V12" s="172"/>
      <c r="W12" s="172"/>
      <c r="X12" s="172"/>
      <c r="Y12" s="172"/>
      <c r="Z12" s="172"/>
      <c r="AA12" s="172"/>
    </row>
    <row r="13" spans="1:27" ht="34">
      <c r="A13" s="170" t="str">
        <f t="shared" ca="1" si="0"/>
        <v/>
      </c>
      <c r="B13" s="171" t="str">
        <f t="shared" ca="1" si="1"/>
        <v/>
      </c>
      <c r="C13" s="171" t="str">
        <f t="shared" ca="1" si="2"/>
        <v/>
      </c>
      <c r="D13" s="172">
        <f t="shared" ca="1" si="3"/>
        <v>0</v>
      </c>
      <c r="E13" s="172" t="s">
        <v>281</v>
      </c>
      <c r="F13" s="172"/>
      <c r="G13" s="174" t="str">
        <f ca="1">IFERROR(__xludf.DUMMYFUNCTION("""COMPUTED_VALUE"""),"EMEA 5031 - Project Management: Foundations and Initiation")</f>
        <v>EMEA 5031 - Project Management: Foundations and Initiation</v>
      </c>
      <c r="H13" s="174" t="str">
        <f ca="1">IFERROR(__xludf.DUMMYFUNCTION("""COMPUTED_VALUE"""),"Make sure you submit the week 2-4 projects early.  You need to include feedback from those peer reviews on your final project, so if you save it all til the last minute you won't have what you need to do the final project.")</f>
        <v>Make sure you submit the week 2-4 projects early.  You need to include feedback from those peer reviews on your final project, so if you save it all til the last minute you won't have what you need to do the final project.</v>
      </c>
      <c r="I13" s="172">
        <f ca="1">IFERROR(__xludf.DUMMYFUNCTION("""COMPUTED_VALUE"""),1)</f>
        <v>1</v>
      </c>
      <c r="J13" s="172">
        <f ca="1">IFERROR(__xludf.DUMMYFUNCTION("""COMPUTED_VALUE"""),6)</f>
        <v>6</v>
      </c>
      <c r="K13" s="172"/>
      <c r="L13" s="172"/>
      <c r="M13" s="172"/>
      <c r="N13" s="172"/>
      <c r="O13" s="172"/>
      <c r="P13" s="172"/>
      <c r="Q13" s="172"/>
      <c r="R13" s="172"/>
      <c r="S13" s="172"/>
      <c r="T13" s="172"/>
      <c r="U13" s="172"/>
      <c r="V13" s="172"/>
      <c r="W13" s="172"/>
      <c r="X13" s="172"/>
      <c r="Y13" s="172"/>
      <c r="Z13" s="172"/>
      <c r="AA13" s="172"/>
    </row>
    <row r="14" spans="1:27" ht="34">
      <c r="A14" s="170" t="str">
        <f t="shared" ca="1" si="0"/>
        <v/>
      </c>
      <c r="B14" s="171" t="str">
        <f t="shared" ca="1" si="1"/>
        <v/>
      </c>
      <c r="C14" s="171" t="str">
        <f t="shared" ca="1" si="2"/>
        <v/>
      </c>
      <c r="D14" s="172">
        <f t="shared" ca="1" si="3"/>
        <v>0</v>
      </c>
      <c r="E14" s="172" t="s">
        <v>281</v>
      </c>
      <c r="F14" s="172"/>
      <c r="G14" s="174" t="str">
        <f ca="1">IFERROR(__xludf.DUMMYFUNCTION("""COMPUTED_VALUE"""),"EMEA 5031 - Project Management: Foundations and Initiation")</f>
        <v>EMEA 5031 - Project Management: Foundations and Initiation</v>
      </c>
      <c r="H14" s="174" t="str">
        <f ca="1">IFERROR(__xludf.DUMMYFUNCTION("""COMPUTED_VALUE"""),"watch videos and do required readings and you should pass this just fine")</f>
        <v>watch videos and do required readings and you should pass this just fine</v>
      </c>
      <c r="I14" s="172">
        <f ca="1">IFERROR(__xludf.DUMMYFUNCTION("""COMPUTED_VALUE"""),1)</f>
        <v>1</v>
      </c>
      <c r="J14" s="172">
        <f ca="1">IFERROR(__xludf.DUMMYFUNCTION("""COMPUTED_VALUE"""),6)</f>
        <v>6</v>
      </c>
      <c r="K14" s="172"/>
      <c r="L14" s="172"/>
      <c r="M14" s="172"/>
      <c r="N14" s="172"/>
      <c r="O14" s="172"/>
      <c r="P14" s="172"/>
      <c r="Q14" s="172"/>
      <c r="R14" s="172"/>
      <c r="S14" s="172"/>
      <c r="T14" s="172"/>
      <c r="U14" s="172"/>
      <c r="V14" s="172"/>
      <c r="W14" s="172"/>
      <c r="X14" s="172"/>
      <c r="Y14" s="172"/>
      <c r="Z14" s="172"/>
      <c r="AA14" s="172"/>
    </row>
    <row r="15" spans="1:27" ht="34">
      <c r="A15" s="170" t="str">
        <f t="shared" ca="1" si="0"/>
        <v/>
      </c>
      <c r="B15" s="171" t="str">
        <f t="shared" ca="1" si="1"/>
        <v/>
      </c>
      <c r="C15" s="171" t="str">
        <f t="shared" ca="1" si="2"/>
        <v>Nothing needed to prep for this course - quizzes were 4-5 questions long and took direct info from the readings that I skimmed, with unlimited attempts. The final project is a collection of the 4 homeworks combined into one PDF with any adjustments made after incorporating feedback that you receive from peers. Overall very straightforward and simple.</v>
      </c>
      <c r="D15" s="172">
        <f t="shared" ca="1" si="3"/>
        <v>1</v>
      </c>
      <c r="E15" s="172">
        <v>6</v>
      </c>
      <c r="F15" s="172"/>
      <c r="G15" s="174" t="str">
        <f ca="1">IFERROR(__xludf.DUMMYFUNCTION("""COMPUTED_VALUE"""),"EMEA 5031 - Project Management: Foundations and Initiation")</f>
        <v>EMEA 5031 - Project Management: Foundations and Initiation</v>
      </c>
      <c r="H15" s="174" t="str">
        <f ca="1">IFERROR(__xludf.DUMMYFUNCTION("""COMPUTED_VALUE"""),"Assignments and exams are hands on learning and grades are based on peer-reviewed feedback. They're good sample of applied learning that helped the learning material stick, and were simple/straightforward enough if you pay attention during the lectures. ")</f>
        <v xml:space="preserve">Assignments and exams are hands on learning and grades are based on peer-reviewed feedback. They're good sample of applied learning that helped the learning material stick, and were simple/straightforward enough if you pay attention during the lectures. </v>
      </c>
      <c r="I15" s="172">
        <f ca="1">IFERROR(__xludf.DUMMYFUNCTION("""COMPUTED_VALUE"""),1)</f>
        <v>1</v>
      </c>
      <c r="J15" s="172">
        <f ca="1">IFERROR(__xludf.DUMMYFUNCTION("""COMPUTED_VALUE"""),6)</f>
        <v>6</v>
      </c>
      <c r="K15" s="172"/>
      <c r="L15" s="172"/>
      <c r="M15" s="172"/>
      <c r="N15" s="172"/>
      <c r="O15" s="172"/>
      <c r="P15" s="172"/>
      <c r="Q15" s="172"/>
      <c r="R15" s="172"/>
      <c r="S15" s="172"/>
      <c r="T15" s="172"/>
      <c r="U15" s="172"/>
      <c r="V15" s="172"/>
      <c r="W15" s="172"/>
      <c r="X15" s="172"/>
      <c r="Y15" s="172"/>
      <c r="Z15" s="172"/>
      <c r="AA15" s="172"/>
    </row>
    <row r="16" spans="1:27" ht="34">
      <c r="A16" s="170" t="str">
        <f t="shared" ca="1" si="0"/>
        <v/>
      </c>
      <c r="B16" s="171" t="str">
        <f t="shared" ca="1" si="1"/>
        <v/>
      </c>
      <c r="C16" s="171" t="str">
        <f t="shared" ca="1" si="2"/>
        <v>Nothing needed for prep. Quizzes are 4-5 questions with unlimited attempts, and questions are taken directly from provided readings that you can skim. Homeworks are just filling out templates provided to you. Final project is combining all homeworks and incorporating feedback that you receive from peers</v>
      </c>
      <c r="D16" s="172">
        <f t="shared" ca="1" si="3"/>
        <v>1</v>
      </c>
      <c r="E16" s="172">
        <v>7</v>
      </c>
      <c r="F16" s="172"/>
      <c r="G16" s="174" t="str">
        <f ca="1">IFERROR(__xludf.DUMMYFUNCTION("""COMPUTED_VALUE"""),"EMEA 5032 - Project Management: Project Planning and Execution")</f>
        <v>EMEA 5032 - Project Management: Project Planning and Execution</v>
      </c>
      <c r="H16" s="174" t="str">
        <f ca="1">IFERROR(__xludf.DUMMYFUNCTION("""COMPUTED_VALUE"""),"It is helpful to have prior knowledge but not necessary.  The assignments revolve around creating practical documents.  Having exposure to real world projects will make this course very easy.")</f>
        <v>It is helpful to have prior knowledge but not necessary.  The assignments revolve around creating practical documents.  Having exposure to real world projects will make this course very easy.</v>
      </c>
      <c r="I16" s="172">
        <f ca="1">IFERROR(__xludf.DUMMYFUNCTION("""COMPUTED_VALUE"""),1)</f>
        <v>1</v>
      </c>
      <c r="J16" s="172">
        <f ca="1">IFERROR(__xludf.DUMMYFUNCTION("""COMPUTED_VALUE"""),7)</f>
        <v>7</v>
      </c>
      <c r="K16" s="172"/>
      <c r="L16" s="172"/>
      <c r="M16" s="172"/>
      <c r="N16" s="172"/>
      <c r="O16" s="172"/>
      <c r="P16" s="172"/>
      <c r="Q16" s="172"/>
      <c r="R16" s="172"/>
      <c r="S16" s="172"/>
      <c r="T16" s="172"/>
      <c r="U16" s="172"/>
      <c r="V16" s="172"/>
      <c r="W16" s="172"/>
      <c r="X16" s="172"/>
      <c r="Y16" s="172"/>
      <c r="Z16" s="172"/>
      <c r="AA16" s="172"/>
    </row>
    <row r="17" spans="1:27" ht="34">
      <c r="A17" s="170" t="str">
        <f t="shared" ca="1" si="0"/>
        <v/>
      </c>
      <c r="B17" s="171" t="str">
        <f t="shared" ca="1" si="1"/>
        <v/>
      </c>
      <c r="C17" s="171" t="str">
        <f t="shared" ca="1" si="2"/>
        <v/>
      </c>
      <c r="D17" s="172">
        <f t="shared" ca="1" si="3"/>
        <v>0</v>
      </c>
      <c r="E17" s="172" t="s">
        <v>281</v>
      </c>
      <c r="F17" s="172"/>
      <c r="G17" s="174" t="str">
        <f ca="1">IFERROR(__xludf.DUMMYFUNCTION("""COMPUTED_VALUE"""),"EMEA 5032 - Project Management: Project Planning and Execution")</f>
        <v>EMEA 5032 - Project Management: Project Planning and Execution</v>
      </c>
      <c r="H17" s="174" t="str">
        <f ca="1">IFERROR(__xludf.DUMMYFUNCTION("""COMPUTED_VALUE"""),"Nothing needed for prep. Quizzes are 4-5 questions with unlimited attempts, and questions are taken directly from provided readings that you can skim. Homeworks are just filling out templates provided to you. Final project is combining all homeworks and i"&amp;"ncorporating feedback that you receive from peers")</f>
        <v>Nothing needed for prep. Quizzes are 4-5 questions with unlimited attempts, and questions are taken directly from provided readings that you can skim. Homeworks are just filling out templates provided to you. Final project is combining all homeworks and incorporating feedback that you receive from peers</v>
      </c>
      <c r="I17" s="172">
        <f ca="1">IFERROR(__xludf.DUMMYFUNCTION("""COMPUTED_VALUE"""),1)</f>
        <v>1</v>
      </c>
      <c r="J17" s="172">
        <f ca="1">IFERROR(__xludf.DUMMYFUNCTION("""COMPUTED_VALUE"""),7)</f>
        <v>7</v>
      </c>
      <c r="K17" s="172"/>
      <c r="L17" s="172"/>
      <c r="M17" s="172"/>
      <c r="N17" s="172"/>
      <c r="O17" s="172"/>
      <c r="P17" s="172"/>
      <c r="Q17" s="172"/>
      <c r="R17" s="172"/>
      <c r="S17" s="172"/>
      <c r="T17" s="172"/>
      <c r="U17" s="172"/>
      <c r="V17" s="172"/>
      <c r="W17" s="172"/>
      <c r="X17" s="172"/>
      <c r="Y17" s="172"/>
      <c r="Z17" s="172"/>
      <c r="AA17" s="172"/>
    </row>
    <row r="18" spans="1:27" ht="51">
      <c r="A18" s="170" t="str">
        <f t="shared" ca="1" si="0"/>
        <v/>
      </c>
      <c r="B18" s="171" t="str">
        <f t="shared" ca="1" si="1"/>
        <v/>
      </c>
      <c r="C18" s="171" t="str">
        <f t="shared" ca="1" si="2"/>
        <v xml:space="preserve">This was fairly easy, and all the assignments built on each other. The grading rubric was easy to use in order to get a 100 </v>
      </c>
      <c r="D18" s="172">
        <f t="shared" ca="1" si="3"/>
        <v>1</v>
      </c>
      <c r="E18" s="172">
        <v>6</v>
      </c>
      <c r="F18" s="172"/>
      <c r="G18" s="174" t="str">
        <f ca="1">IFERROR(__xludf.DUMMYFUNCTION("""COMPUTED_VALUE"""),"EMEA 5033 - Project Management: Agile Project Management")</f>
        <v>EMEA 5033 - Project Management: Agile Project Management</v>
      </c>
      <c r="H18" s="174" t="str">
        <f ca="1">IFERROR(__xludf.DUMMYFUNCTION("""COMPUTED_VALUE"""),"No prior knowledge is needed and if you're an experienced agile practitioner you may wince at some of the material.  Still, there are some interesting topics and this is a decent overview.  I was able to find new ideas from this course.  IIRC this courses"&amp;" assignments were more short essay based since there isn't heavy documentation in agile like there is in waterfall.")</f>
        <v>No prior knowledge is needed and if you're an experienced agile practitioner you may wince at some of the material.  Still, there are some interesting topics and this is a decent overview.  I was able to find new ideas from this course.  IIRC this courses assignments were more short essay based since there isn't heavy documentation in agile like there is in waterfall.</v>
      </c>
      <c r="I18" s="172">
        <f ca="1">IFERROR(__xludf.DUMMYFUNCTION("""COMPUTED_VALUE"""),1)</f>
        <v>1</v>
      </c>
      <c r="J18" s="172">
        <f ca="1">IFERROR(__xludf.DUMMYFUNCTION("""COMPUTED_VALUE"""),8)</f>
        <v>8</v>
      </c>
      <c r="K18" s="172"/>
      <c r="L18" s="172"/>
      <c r="M18" s="172"/>
      <c r="N18" s="172"/>
      <c r="O18" s="172"/>
      <c r="P18" s="172"/>
      <c r="Q18" s="172"/>
      <c r="R18" s="172"/>
      <c r="S18" s="172"/>
      <c r="T18" s="172"/>
      <c r="U18" s="172"/>
      <c r="V18" s="172"/>
      <c r="W18" s="172"/>
      <c r="X18" s="172"/>
      <c r="Y18" s="172"/>
      <c r="Z18" s="172"/>
      <c r="AA18" s="172"/>
    </row>
    <row r="19" spans="1:27" ht="85">
      <c r="A19" s="170" t="str">
        <f t="shared" ca="1" si="0"/>
        <v/>
      </c>
      <c r="B19" s="171" t="str">
        <f t="shared" ca="1" si="1"/>
        <v/>
      </c>
      <c r="C19" s="171" t="str">
        <f t="shared" ca="1" si="2"/>
        <v xml:space="preserve">This was a fun course on personal productivity and self awareness.  The coursera time estimates drastically overestimate the workload--many of the readings or videos are listed at 30 minutes but only take 5.  </v>
      </c>
      <c r="D19" s="172">
        <f t="shared" ca="1" si="3"/>
        <v>1</v>
      </c>
      <c r="E19" s="172">
        <v>9</v>
      </c>
      <c r="F19" s="172"/>
      <c r="G19" s="174" t="str">
        <f ca="1">IFERROR(__xludf.DUMMYFUNCTION("""COMPUTED_VALUE"""),"EMEA 5033 - Project Management: Agile Project Management")</f>
        <v>EMEA 5033 - Project Management: Agile Project Management</v>
      </c>
      <c r="H19" s="174" t="str">
        <f ca="1">IFERROR(__xludf.DUMMYFUNCTION("""COMPUTED_VALUE"""),"If you know Agile, you might find this a bit easy. The rubric makes it easy to get an A, but some of the assignments don't offer a template like in the other classes to standardize the approach to get peer graded on.
The final is a video essay, it can be"&amp;" hard to talk for 5 - 8 minutes straight. My suggestion is to write out a script and read that. You can use basic video editing software to cut out mistakes!")</f>
        <v>If you know Agile, you might find this a bit easy. The rubric makes it easy to get an A, but some of the assignments don't offer a template like in the other classes to standardize the approach to get peer graded on.
The final is a video essay, it can be hard to talk for 5 - 8 minutes straight. My suggestion is to write out a script and read that. You can use basic video editing software to cut out mistakes!</v>
      </c>
      <c r="I19" s="172">
        <f ca="1">IFERROR(__xludf.DUMMYFUNCTION("""COMPUTED_VALUE"""),1)</f>
        <v>1</v>
      </c>
      <c r="J19" s="172">
        <f ca="1">IFERROR(__xludf.DUMMYFUNCTION("""COMPUTED_VALUE"""),8)</f>
        <v>8</v>
      </c>
      <c r="K19" s="172"/>
      <c r="L19" s="172"/>
      <c r="M19" s="172"/>
      <c r="N19" s="172"/>
      <c r="O19" s="172"/>
      <c r="P19" s="172"/>
      <c r="Q19" s="172"/>
      <c r="R19" s="172"/>
      <c r="S19" s="172"/>
      <c r="T19" s="172"/>
      <c r="U19" s="172"/>
      <c r="V19" s="172"/>
      <c r="W19" s="172"/>
      <c r="X19" s="172"/>
      <c r="Y19" s="172"/>
      <c r="Z19" s="172"/>
      <c r="AA19" s="172"/>
    </row>
    <row r="20" spans="1:27" ht="34">
      <c r="A20" s="170" t="str">
        <f t="shared" ca="1" si="0"/>
        <v/>
      </c>
      <c r="B20" s="171" t="str">
        <f t="shared" ca="1" si="1"/>
        <v/>
      </c>
      <c r="C20" s="171" t="str">
        <f t="shared" ca="1" si="2"/>
        <v>Make sure you submit the week 2-4 projects early.  You need to include feedback from those peer reviews on your final project, so if you save it all til the last minute you won't have what you need to do the final project.</v>
      </c>
      <c r="D20" s="172">
        <f t="shared" ca="1" si="3"/>
        <v>1</v>
      </c>
      <c r="E20" s="172">
        <v>6</v>
      </c>
      <c r="F20" s="172"/>
      <c r="G20" s="174" t="str">
        <f ca="1">IFERROR(__xludf.DUMMYFUNCTION("""COMPUTED_VALUE"""),"EMEA 5051 - Leading Oneself with Self Knowledge")</f>
        <v>EMEA 5051 - Leading Oneself with Self Knowledge</v>
      </c>
      <c r="H20" s="174" t="str">
        <f ca="1">IFERROR(__xludf.DUMMYFUNCTION("""COMPUTED_VALUE"""),"This was a fun course on personal productivity and self awareness.  The coursera time estimates drastically overestimate the workload--many of the readings or videos are listed at 30 minutes but only take 5.  ")</f>
        <v xml:space="preserve">This was a fun course on personal productivity and self awareness.  The coursera time estimates drastically overestimate the workload--many of the readings or videos are listed at 30 minutes but only take 5.  </v>
      </c>
      <c r="I20" s="172">
        <f ca="1">IFERROR(__xludf.DUMMYFUNCTION("""COMPUTED_VALUE"""),1)</f>
        <v>1</v>
      </c>
      <c r="J20" s="172">
        <f ca="1">IFERROR(__xludf.DUMMYFUNCTION("""COMPUTED_VALUE"""),9)</f>
        <v>9</v>
      </c>
      <c r="K20" s="172"/>
      <c r="L20" s="172"/>
      <c r="M20" s="172"/>
      <c r="N20" s="172"/>
      <c r="O20" s="172"/>
      <c r="P20" s="172"/>
      <c r="Q20" s="172"/>
      <c r="R20" s="172"/>
      <c r="S20" s="172"/>
      <c r="T20" s="172"/>
      <c r="U20" s="172"/>
      <c r="V20" s="172"/>
      <c r="W20" s="172"/>
      <c r="X20" s="172"/>
      <c r="Y20" s="172"/>
      <c r="Z20" s="172"/>
      <c r="AA20" s="172"/>
    </row>
    <row r="21" spans="1:27" ht="34">
      <c r="A21" s="170" t="str">
        <f t="shared" ca="1" si="0"/>
        <v/>
      </c>
      <c r="B21" s="171" t="str">
        <f t="shared" ca="1" si="1"/>
        <v/>
      </c>
      <c r="C21" s="171" t="str">
        <f t="shared" ca="1" si="2"/>
        <v>For the most part, this is very basic finance and investment information.  Very easy and straightforward course if you have any background in finance or investing at all.  A few assignments are out of date and need to be updated to current data.</v>
      </c>
      <c r="D21" s="172">
        <f t="shared" ca="1" si="3"/>
        <v>1</v>
      </c>
      <c r="E21" s="172">
        <v>3</v>
      </c>
      <c r="F21" s="172"/>
      <c r="G21" s="174" t="str">
        <f ca="1">IFERROR(__xludf.DUMMYFUNCTION("""COMPUTED_VALUE"""),"EMEA 5051 - Leading Oneself with Self Knowledge")</f>
        <v>EMEA 5051 - Leading Oneself with Self Knowledge</v>
      </c>
      <c r="H21" s="174" t="str">
        <f ca="1">IFERROR(__xludf.DUMMYFUNCTION("""COMPUTED_VALUE"""),"Little/no prior knowledge is needed.  Exams/quizzes are fairly easy.  Tips:  This course is easy to breeze through, but may take a little longer if you actually read the material and try to take notes, etc.")</f>
        <v>Little/no prior knowledge is needed.  Exams/quizzes are fairly easy.  Tips:  This course is easy to breeze through, but may take a little longer if you actually read the material and try to take notes, etc.</v>
      </c>
      <c r="I21" s="172">
        <f ca="1">IFERROR(__xludf.DUMMYFUNCTION("""COMPUTED_VALUE"""),1)</f>
        <v>1</v>
      </c>
      <c r="J21" s="172">
        <f ca="1">IFERROR(__xludf.DUMMYFUNCTION("""COMPUTED_VALUE"""),9)</f>
        <v>9</v>
      </c>
      <c r="K21" s="172"/>
      <c r="L21" s="172"/>
      <c r="M21" s="172"/>
      <c r="N21" s="172"/>
      <c r="O21" s="172"/>
      <c r="P21" s="172"/>
      <c r="Q21" s="172"/>
      <c r="R21" s="172"/>
      <c r="S21" s="172"/>
      <c r="T21" s="172"/>
      <c r="U21" s="172"/>
      <c r="V21" s="172"/>
      <c r="W21" s="172"/>
      <c r="X21" s="172"/>
      <c r="Y21" s="172"/>
      <c r="Z21" s="172"/>
      <c r="AA21" s="172"/>
    </row>
    <row r="22" spans="1:27" ht="34">
      <c r="A22" s="170" t="str">
        <f t="shared" ca="1" si="0"/>
        <v/>
      </c>
      <c r="B22" s="171" t="str">
        <f t="shared" ca="1" si="1"/>
        <v/>
      </c>
      <c r="C22" s="171">
        <f t="shared" ca="1" si="2"/>
        <v>0</v>
      </c>
      <c r="D22" s="172">
        <f t="shared" ca="1" si="3"/>
        <v>1</v>
      </c>
      <c r="E22" s="172">
        <v>6</v>
      </c>
      <c r="F22" s="172"/>
      <c r="G22" s="174" t="str">
        <f ca="1">IFERROR(__xludf.DUMMYFUNCTION("""COMPUTED_VALUE"""),"EMEA 5051 - Leading Oneself with Self Knowledge")</f>
        <v>EMEA 5051 - Leading Oneself with Self Knowledge</v>
      </c>
      <c r="H22" s="174" t="str">
        <f ca="1">IFERROR(__xludf.DUMMYFUNCTION("""COMPUTED_VALUE"""),"No prior knowledge is needed.  The final exam draws directly from the quizzes.  There is a substantial amount of reading which can make the course take a while.  Many of the blog posts take less time than the coursera estimate, but the academic articles s"&amp;"eem to take longer.")</f>
        <v>No prior knowledge is needed.  The final exam draws directly from the quizzes.  There is a substantial amount of reading which can make the course take a while.  Many of the blog posts take less time than the coursera estimate, but the academic articles seem to take longer.</v>
      </c>
      <c r="I22" s="172">
        <f ca="1">IFERROR(__xludf.DUMMYFUNCTION("""COMPUTED_VALUE"""),1)</f>
        <v>1</v>
      </c>
      <c r="J22" s="172">
        <f ca="1">IFERROR(__xludf.DUMMYFUNCTION("""COMPUTED_VALUE"""),9)</f>
        <v>9</v>
      </c>
      <c r="K22" s="172"/>
      <c r="L22" s="172"/>
      <c r="M22" s="172"/>
      <c r="N22" s="172"/>
      <c r="O22" s="172"/>
      <c r="P22" s="172"/>
      <c r="Q22" s="172"/>
      <c r="R22" s="172"/>
      <c r="S22" s="172"/>
      <c r="T22" s="172"/>
      <c r="U22" s="172"/>
      <c r="V22" s="172"/>
      <c r="W22" s="172"/>
      <c r="X22" s="172"/>
      <c r="Y22" s="172"/>
      <c r="Z22" s="172"/>
      <c r="AA22" s="172"/>
    </row>
    <row r="23" spans="1:27" ht="34">
      <c r="A23" s="170" t="str">
        <f t="shared" ca="1" si="0"/>
        <v/>
      </c>
      <c r="B23" s="171" t="str">
        <f t="shared" ca="1" si="1"/>
        <v/>
      </c>
      <c r="C23" s="171" t="str">
        <f t="shared" ca="1" si="2"/>
        <v/>
      </c>
      <c r="D23" s="172">
        <f t="shared" ca="1" si="3"/>
        <v>0</v>
      </c>
      <c r="E23" s="172" t="s">
        <v>281</v>
      </c>
      <c r="F23" s="172"/>
      <c r="G23" s="174" t="str">
        <f ca="1">IFERROR(__xludf.DUMMYFUNCTION("""COMPUTED_VALUE"""),"EMEA 5051 - Leading Oneself with Self Knowledge")</f>
        <v>EMEA 5051 - Leading Oneself with Self Knowledge</v>
      </c>
      <c r="H23" s="174" t="str">
        <f ca="1">IFERROR(__xludf.DUMMYFUNCTION("""COMPUTED_VALUE"""),"No prior knowledge is needed. THe exams are relatively easy. To get the most out of this course its better to read through the reading materials. Though it would take twice as long. If you are just coasting, well you have the option to just watch the summ"&amp;"ary videos.")</f>
        <v>No prior knowledge is needed. THe exams are relatively easy. To get the most out of this course its better to read through the reading materials. Though it would take twice as long. If you are just coasting, well you have the option to just watch the summary videos.</v>
      </c>
      <c r="I23" s="172">
        <f ca="1">IFERROR(__xludf.DUMMYFUNCTION("""COMPUTED_VALUE"""),1)</f>
        <v>1</v>
      </c>
      <c r="J23" s="172">
        <f ca="1">IFERROR(__xludf.DUMMYFUNCTION("""COMPUTED_VALUE"""),9)</f>
        <v>9</v>
      </c>
      <c r="K23" s="172"/>
      <c r="L23" s="172"/>
      <c r="M23" s="172"/>
      <c r="N23" s="172"/>
      <c r="O23" s="172"/>
      <c r="P23" s="172"/>
      <c r="Q23" s="172"/>
      <c r="R23" s="172"/>
      <c r="S23" s="172"/>
      <c r="T23" s="172"/>
      <c r="U23" s="172"/>
      <c r="V23" s="172"/>
      <c r="W23" s="172"/>
      <c r="X23" s="172"/>
      <c r="Y23" s="172"/>
      <c r="Z23" s="172"/>
      <c r="AA23" s="172"/>
    </row>
    <row r="24" spans="1:27" ht="85">
      <c r="A24" s="170" t="str">
        <f t="shared" ca="1" si="0"/>
        <v/>
      </c>
      <c r="B24" s="171" t="str">
        <f t="shared" ca="1" si="1"/>
        <v/>
      </c>
      <c r="C24" s="171" t="str">
        <f t="shared" ca="1" si="2"/>
        <v/>
      </c>
      <c r="D24" s="172">
        <f t="shared" ca="1" si="3"/>
        <v>0</v>
      </c>
      <c r="E24" s="172" t="s">
        <v>281</v>
      </c>
      <c r="F24" s="172"/>
      <c r="G24" s="174" t="str">
        <f ca="1">IFERROR(__xludf.DUMMYFUNCTION("""COMPUTED_VALUE"""),"EMEA 5051 - Leading Oneself with Self Knowledge")</f>
        <v>EMEA 5051 - Leading Oneself with Self Knowledge</v>
      </c>
      <c r="H24" s="174" t="str">
        <f ca="1">IFERROR(__xludf.DUMMYFUNCTION("""COMPUTED_VALUE"""),"If you actually read all the articles and take notes, this is a very heavy time commitment class. The course layout could be a bit better, you are often doing workbook exercises before you do any of the reading material. Sometimes the lecture is a summary"&amp;" of the reading, sometimes it goes a bit more into depth. I felt it was better to watch the lecture, then do the workbook, then the readings to get a better idea of what the workbook was asking for (and to know what to look for in the readings).
The prof"&amp;"essor kept talking about his side company as well, so just go ahead and ignore that part.")</f>
        <v>If you actually read all the articles and take notes, this is a very heavy time commitment class. The course layout could be a bit better, you are often doing workbook exercises before you do any of the reading material. Sometimes the lecture is a summary of the reading, sometimes it goes a bit more into depth. I felt it was better to watch the lecture, then do the workbook, then the readings to get a better idea of what the workbook was asking for (and to know what to look for in the readings).
The professor kept talking about his side company as well, so just go ahead and ignore that part.</v>
      </c>
      <c r="I24" s="172">
        <f ca="1">IFERROR(__xludf.DUMMYFUNCTION("""COMPUTED_VALUE"""),1)</f>
        <v>1</v>
      </c>
      <c r="J24" s="172">
        <f ca="1">IFERROR(__xludf.DUMMYFUNCTION("""COMPUTED_VALUE"""),9)</f>
        <v>9</v>
      </c>
      <c r="K24" s="172"/>
      <c r="L24" s="172"/>
      <c r="M24" s="172"/>
      <c r="N24" s="172"/>
      <c r="O24" s="172"/>
      <c r="P24" s="172"/>
      <c r="Q24" s="172"/>
      <c r="R24" s="172"/>
      <c r="S24" s="172"/>
      <c r="T24" s="172"/>
      <c r="U24" s="172"/>
      <c r="V24" s="172"/>
      <c r="W24" s="172"/>
      <c r="X24" s="172"/>
      <c r="Y24" s="172"/>
      <c r="Z24" s="172"/>
      <c r="AA24" s="172"/>
    </row>
    <row r="25" spans="1:27" ht="68">
      <c r="A25" s="170" t="str">
        <f t="shared" ca="1" si="0"/>
        <v/>
      </c>
      <c r="B25" s="171" t="str">
        <f t="shared" ca="1" si="1"/>
        <v/>
      </c>
      <c r="C25" s="171" t="str">
        <f t="shared" ca="1" si="2"/>
        <v/>
      </c>
      <c r="D25" s="172">
        <f t="shared" ca="1" si="3"/>
        <v>0</v>
      </c>
      <c r="E25" s="172" t="s">
        <v>281</v>
      </c>
      <c r="F25" s="172"/>
      <c r="G25" s="174" t="str">
        <f ca="1">IFERROR(__xludf.DUMMYFUNCTION("""COMPUTED_VALUE"""),"EMEA 5052 - Leading Oneself with Purpose and Meaning")</f>
        <v>EMEA 5052 - Leading Oneself with Purpose and Meaning</v>
      </c>
      <c r="H25" s="174" t="str">
        <f ca="1">IFERROR(__xludf.DUMMYFUNCTION("""COMPUTED_VALUE"""),"No prior knowledge is needed.  This course has a ton of content from academic articles to podcasts, but if you do the workbook along the way you're already set up for the final assignment and it is just formatting from there.  The course is easy to get an"&amp;" 'A' in, but tough to actually master the content (a lifelong journey perhaps). Overall a really interesting course that is all about being the best version of yourself.  I found that a lot of this is already stuff I've reflected on myself and I already h"&amp;"ad a solid ethos (something the course helps you craft), but I have never taken the exercise of putting it all on paper which I think is a worthwhile endeavor.")</f>
        <v>No prior knowledge is needed.  This course has a ton of content from academic articles to podcasts, but if you do the workbook along the way you're already set up for the final assignment and it is just formatting from there.  The course is easy to get an 'A' in, but tough to actually master the content (a lifelong journey perhaps). Overall a really interesting course that is all about being the best version of yourself.  I found that a lot of this is already stuff I've reflected on myself and I already had a solid ethos (something the course helps you craft), but I have never taken the exercise of putting it all on paper which I think is a worthwhile endeavor.</v>
      </c>
      <c r="I25" s="172">
        <f ca="1">IFERROR(__xludf.DUMMYFUNCTION("""COMPUTED_VALUE"""),1)</f>
        <v>1</v>
      </c>
      <c r="J25" s="172">
        <f ca="1">IFERROR(__xludf.DUMMYFUNCTION("""COMPUTED_VALUE"""),10)</f>
        <v>10</v>
      </c>
      <c r="K25" s="172"/>
      <c r="L25" s="172"/>
      <c r="M25" s="172"/>
      <c r="N25" s="172"/>
      <c r="O25" s="172"/>
      <c r="P25" s="172"/>
      <c r="Q25" s="172"/>
      <c r="R25" s="172"/>
      <c r="S25" s="172"/>
      <c r="T25" s="172"/>
      <c r="U25" s="172"/>
      <c r="V25" s="172"/>
      <c r="W25" s="172"/>
      <c r="X25" s="172"/>
      <c r="Y25" s="172"/>
      <c r="Z25" s="172"/>
      <c r="AA25" s="172"/>
    </row>
    <row r="26" spans="1:27" ht="34">
      <c r="A26" s="170" t="str">
        <f t="shared" ca="1" si="0"/>
        <v/>
      </c>
      <c r="B26" s="171" t="str">
        <f t="shared" ca="1" si="1"/>
        <v/>
      </c>
      <c r="C26" s="171" t="str">
        <f t="shared" ca="1" si="2"/>
        <v/>
      </c>
      <c r="D26" s="172">
        <f t="shared" ca="1" si="3"/>
        <v>0</v>
      </c>
      <c r="E26" s="172" t="s">
        <v>281</v>
      </c>
      <c r="F26" s="172"/>
      <c r="G26" s="174" t="str">
        <f ca="1">IFERROR(__xludf.DUMMYFUNCTION("""COMPUTED_VALUE"""),"EMEA 5052 - Leading Oneself with Purpose and Meaning")</f>
        <v>EMEA 5052 - Leading Oneself with Purpose and Meaning</v>
      </c>
      <c r="H26" s="174" t="str">
        <f ca="1">IFERROR(__xludf.DUMMYFUNCTION("""COMPUTED_VALUE"""),"Very similar to the first course, except that the final is a peer reviewed paper.  Make sure you are paying attention to the relevant journal entries along the way or you will need to do them all at the end of the course for the paper.")</f>
        <v>Very similar to the first course, except that the final is a peer reviewed paper.  Make sure you are paying attention to the relevant journal entries along the way or you will need to do them all at the end of the course for the paper.</v>
      </c>
      <c r="I26" s="172">
        <f ca="1">IFERROR(__xludf.DUMMYFUNCTION("""COMPUTED_VALUE"""),1)</f>
        <v>1</v>
      </c>
      <c r="J26" s="172">
        <f ca="1">IFERROR(__xludf.DUMMYFUNCTION("""COMPUTED_VALUE"""),10)</f>
        <v>10</v>
      </c>
      <c r="K26" s="172"/>
      <c r="L26" s="172"/>
      <c r="M26" s="172"/>
      <c r="N26" s="172"/>
      <c r="O26" s="172"/>
      <c r="P26" s="172"/>
      <c r="Q26" s="172"/>
      <c r="R26" s="172"/>
      <c r="S26" s="172"/>
      <c r="T26" s="172"/>
      <c r="U26" s="172"/>
      <c r="V26" s="172"/>
      <c r="W26" s="172"/>
      <c r="X26" s="172"/>
      <c r="Y26" s="172"/>
      <c r="Z26" s="172"/>
      <c r="AA26" s="172"/>
    </row>
    <row r="27" spans="1:27" ht="34">
      <c r="A27" s="170" t="str">
        <f t="shared" ca="1" si="0"/>
        <v/>
      </c>
      <c r="B27" s="171" t="str">
        <f t="shared" ca="1" si="1"/>
        <v/>
      </c>
      <c r="C27" s="171" t="str">
        <f t="shared" ca="1" si="2"/>
        <v/>
      </c>
      <c r="D27" s="172">
        <f t="shared" ca="1" si="3"/>
        <v>0</v>
      </c>
      <c r="E27" s="172" t="s">
        <v>281</v>
      </c>
      <c r="F27" s="172"/>
      <c r="G27" s="174" t="str">
        <f ca="1">IFERROR(__xludf.DUMMYFUNCTION("""COMPUTED_VALUE"""),"EMEA 5053 - Leading Oneself with Personal Excellence")</f>
        <v>EMEA 5053 - Leading Oneself with Personal Excellence</v>
      </c>
      <c r="H27" s="174" t="str">
        <f ca="1">IFERROR(__xludf.DUMMYFUNCTION("""COMPUTED_VALUE"""),"No prior knowledge needed. Similar structure to the middle course of the series in terms of content, but seems to be less dependent on the workbook for the final assignment. Very straightforward.")</f>
        <v>No prior knowledge needed. Similar structure to the middle course of the series in terms of content, but seems to be less dependent on the workbook for the final assignment. Very straightforward.</v>
      </c>
      <c r="I27" s="172">
        <f ca="1">IFERROR(__xludf.DUMMYFUNCTION("""COMPUTED_VALUE"""),1)</f>
        <v>1</v>
      </c>
      <c r="J27" s="172">
        <f ca="1">IFERROR(__xludf.DUMMYFUNCTION("""COMPUTED_VALUE"""),11)</f>
        <v>11</v>
      </c>
      <c r="K27" s="172"/>
      <c r="L27" s="172"/>
      <c r="M27" s="172"/>
      <c r="N27" s="172"/>
      <c r="O27" s="172"/>
      <c r="P27" s="172"/>
      <c r="Q27" s="172"/>
      <c r="R27" s="172"/>
      <c r="S27" s="172"/>
      <c r="T27" s="172"/>
      <c r="U27" s="172"/>
      <c r="V27" s="172"/>
      <c r="W27" s="172"/>
      <c r="X27" s="172"/>
      <c r="Y27" s="172"/>
      <c r="Z27" s="172"/>
      <c r="AA27" s="172"/>
    </row>
    <row r="28" spans="1:27" ht="34">
      <c r="A28" s="170" t="str">
        <f t="shared" ca="1" si="0"/>
        <v/>
      </c>
      <c r="B28" s="171" t="str">
        <f t="shared" ca="1" si="1"/>
        <v/>
      </c>
      <c r="C28" s="171" t="str">
        <f t="shared" ca="1" si="2"/>
        <v/>
      </c>
      <c r="D28" s="172">
        <f t="shared" ca="1" si="3"/>
        <v>0</v>
      </c>
      <c r="E28" s="172" t="s">
        <v>281</v>
      </c>
      <c r="F28" s="172"/>
      <c r="G28" s="174" t="str">
        <f ca="1">IFERROR(__xludf.DUMMYFUNCTION("""COMPUTED_VALUE"""),"EMEA 5053 - Leading Oneself with Personal Excellence")</f>
        <v>EMEA 5053 - Leading Oneself with Personal Excellence</v>
      </c>
      <c r="H28" s="174" t="str">
        <f ca="1">IFERROR(__xludf.DUMMYFUNCTION("""COMPUTED_VALUE"""),"Really enjoyed this course, and the series in general was better than I expected it would be.  ")</f>
        <v xml:space="preserve">Really enjoyed this course, and the series in general was better than I expected it would be.  </v>
      </c>
      <c r="I28" s="172">
        <f ca="1">IFERROR(__xludf.DUMMYFUNCTION("""COMPUTED_VALUE"""),1)</f>
        <v>1</v>
      </c>
      <c r="J28" s="172">
        <f ca="1">IFERROR(__xludf.DUMMYFUNCTION("""COMPUTED_VALUE"""),11)</f>
        <v>11</v>
      </c>
      <c r="K28" s="172"/>
      <c r="L28" s="172"/>
      <c r="M28" s="172"/>
      <c r="N28" s="172"/>
      <c r="O28" s="172"/>
      <c r="P28" s="172"/>
      <c r="Q28" s="172"/>
      <c r="R28" s="172"/>
      <c r="S28" s="172"/>
      <c r="T28" s="172"/>
      <c r="U28" s="172"/>
      <c r="V28" s="172"/>
      <c r="W28" s="172"/>
      <c r="X28" s="172"/>
      <c r="Y28" s="172"/>
      <c r="Z28" s="172"/>
      <c r="AA28" s="172"/>
    </row>
    <row r="29" spans="1:27" ht="34">
      <c r="A29" s="170" t="str">
        <f t="shared" ca="1" si="0"/>
        <v/>
      </c>
      <c r="B29" s="171" t="str">
        <f t="shared" ca="1" si="1"/>
        <v/>
      </c>
      <c r="C29" s="171" t="str">
        <f t="shared" ca="1" si="2"/>
        <v/>
      </c>
      <c r="D29" s="172">
        <f t="shared" ca="1" si="3"/>
        <v>0</v>
      </c>
      <c r="E29" s="172" t="s">
        <v>281</v>
      </c>
      <c r="F29" s="172"/>
      <c r="G29" s="174" t="str">
        <f ca="1">IFERROR(__xludf.DUMMYFUNCTION("""COMPUTED_VALUE"""),"EMEA 5401 - Strategic Product Development")</f>
        <v>EMEA 5401 - Strategic Product Development</v>
      </c>
      <c r="H29" s="174" t="str">
        <f ca="1">IFERROR(__xludf.DUMMYFUNCTION("""COMPUTED_VALUE"""),"No prior knowledge needed. Mixed of exams and peer graded projects. The projects at the end were doable. One was making an elevator Pitch. Its good for those in the technology development field. It gives you perspective and explanation on the pain points "&amp;"being encountered and how one might try to fix the system.")</f>
        <v>No prior knowledge needed. Mixed of exams and peer graded projects. The projects at the end were doable. One was making an elevator Pitch. Its good for those in the technology development field. It gives you perspective and explanation on the pain points being encountered and how one might try to fix the system.</v>
      </c>
      <c r="I29" s="172">
        <f ca="1">IFERROR(__xludf.DUMMYFUNCTION("""COMPUTED_VALUE"""),1)</f>
        <v>1</v>
      </c>
      <c r="J29" s="172">
        <f ca="1">IFERROR(__xludf.DUMMYFUNCTION("""COMPUTED_VALUE"""),18)</f>
        <v>18</v>
      </c>
      <c r="K29" s="172"/>
      <c r="L29" s="172"/>
      <c r="M29" s="172"/>
      <c r="N29" s="172"/>
      <c r="O29" s="172"/>
      <c r="P29" s="172"/>
      <c r="Q29" s="172"/>
      <c r="R29" s="172"/>
      <c r="S29" s="172"/>
      <c r="T29" s="172"/>
      <c r="U29" s="172"/>
      <c r="V29" s="172"/>
      <c r="W29" s="172"/>
      <c r="X29" s="172"/>
      <c r="Y29" s="172"/>
      <c r="Z29" s="172"/>
      <c r="AA29" s="172"/>
    </row>
    <row r="30" spans="1:27" ht="68">
      <c r="A30" s="170" t="str">
        <f t="shared" ca="1" si="0"/>
        <v/>
      </c>
      <c r="B30" s="171" t="str">
        <f t="shared" ca="1" si="1"/>
        <v/>
      </c>
      <c r="C30" s="171" t="str">
        <f t="shared" ca="1" si="2"/>
        <v/>
      </c>
      <c r="D30" s="172">
        <f t="shared" ca="1" si="3"/>
        <v>0</v>
      </c>
      <c r="E30" s="172" t="s">
        <v>281</v>
      </c>
      <c r="F30" s="172"/>
      <c r="G30" s="174" t="str">
        <f ca="1">IFERROR(__xludf.DUMMYFUNCTION("""COMPUTED_VALUE"""),"EMEA 5061 - A Technical Leader's Qualities and Effectiveness")</f>
        <v>EMEA 5061 - A Technical Leader's Qualities and Effectiveness</v>
      </c>
      <c r="H30" s="174" t="str">
        <f ca="1">IFERROR(__xludf.DUMMYFUNCTION("""COMPUTED_VALUE"""),"No prior knowledge needed.  Be prepared to write and don't skip the discussion prompts which you will need to package and add to. In total I wrote just under 7000 words, ~27 pages double spaced.  It was not the most challenging writing (nothing like diggi"&amp;"ng through academic sources and writing a lit review or research paper), but the volume is definitely there.  The course content is very light, almost feels like the reverse of the ""Leading Oneself"" series (in terms of writing vs reading/watching/listen"&amp;"ing) which I liked a lot better personally.")</f>
        <v>No prior knowledge needed.  Be prepared to write and don't skip the discussion prompts which you will need to package and add to. In total I wrote just under 7000 words, ~27 pages double spaced.  It was not the most challenging writing (nothing like digging through academic sources and writing a lit review or research paper), but the volume is definitely there.  The course content is very light, almost feels like the reverse of the "Leading Oneself" series (in terms of writing vs reading/watching/listening) which I liked a lot better personally.</v>
      </c>
      <c r="I30" s="172">
        <f ca="1">IFERROR(__xludf.DUMMYFUNCTION("""COMPUTED_VALUE"""),1)</f>
        <v>1</v>
      </c>
      <c r="J30" s="172">
        <f ca="1">IFERROR(__xludf.DUMMYFUNCTION("""COMPUTED_VALUE"""),33)</f>
        <v>33</v>
      </c>
      <c r="K30" s="172"/>
      <c r="L30" s="172"/>
      <c r="M30" s="172"/>
      <c r="N30" s="172"/>
      <c r="O30" s="172"/>
      <c r="P30" s="172"/>
      <c r="Q30" s="172"/>
      <c r="R30" s="172"/>
      <c r="S30" s="172"/>
      <c r="T30" s="172"/>
      <c r="U30" s="172"/>
      <c r="V30" s="172"/>
      <c r="W30" s="172"/>
      <c r="X30" s="172"/>
      <c r="Y30" s="172"/>
      <c r="Z30" s="172"/>
      <c r="AA30" s="172"/>
    </row>
    <row r="31" spans="1:27" ht="51">
      <c r="A31" s="170" t="str">
        <f t="shared" ca="1" si="0"/>
        <v/>
      </c>
      <c r="B31" s="171" t="str">
        <f t="shared" ca="1" si="1"/>
        <v/>
      </c>
      <c r="C31" s="171" t="str">
        <f t="shared" ca="1" si="2"/>
        <v/>
      </c>
      <c r="D31" s="172">
        <f t="shared" ca="1" si="3"/>
        <v>0</v>
      </c>
      <c r="E31" s="172" t="s">
        <v>281</v>
      </c>
      <c r="F31" s="172"/>
      <c r="G31" s="174" t="str">
        <f ca="1">IFERROR(__xludf.DUMMYFUNCTION("""COMPUTED_VALUE"""),"EMEA 5034 - The Need for Systems Engineering")</f>
        <v>EMEA 5034 - The Need for Systems Engineering</v>
      </c>
      <c r="H31" s="174" t="str">
        <f ca="1">IFERROR(__xludf.DUMMYFUNCTION("""COMPUTED_VALUE"""),"I would highly recommend taking the class. You can tell Professor Van-Atten put a lot of effort into making the course. No prior knowledge necessary and his quizzes had a good balance of humor and knowledge. His peer review tasks were not overly demanding"&amp;" and conveyed a priority on comprehension of the lessons rather than giving busy work. I would recommend all disciplines take this class.")</f>
        <v>I would highly recommend taking the class. You can tell Professor Van-Atten put a lot of effort into making the course. No prior knowledge necessary and his quizzes had a good balance of humor and knowledge. His peer review tasks were not overly demanding and conveyed a priority on comprehension of the lessons rather than giving busy work. I would recommend all disciplines take this class.</v>
      </c>
      <c r="I31" s="172">
        <f ca="1">IFERROR(__xludf.DUMMYFUNCTION("""COMPUTED_VALUE"""),1)</f>
        <v>1</v>
      </c>
      <c r="J31" s="172">
        <f ca="1">IFERROR(__xludf.DUMMYFUNCTION("""COMPUTED_VALUE"""),42)</f>
        <v>42</v>
      </c>
      <c r="K31" s="172"/>
      <c r="L31" s="172"/>
      <c r="M31" s="172"/>
      <c r="N31" s="172"/>
      <c r="O31" s="172"/>
      <c r="P31" s="172"/>
      <c r="Q31" s="172"/>
      <c r="R31" s="172"/>
      <c r="S31" s="172"/>
      <c r="T31" s="172"/>
      <c r="U31" s="172"/>
      <c r="V31" s="172"/>
      <c r="W31" s="172"/>
      <c r="X31" s="172"/>
      <c r="Y31" s="172"/>
      <c r="Z31" s="172"/>
      <c r="AA31" s="172"/>
    </row>
    <row r="32" spans="1:27" ht="68">
      <c r="A32" s="170" t="str">
        <f t="shared" ca="1" si="0"/>
        <v/>
      </c>
      <c r="B32" s="171" t="str">
        <f t="shared" ca="1" si="1"/>
        <v/>
      </c>
      <c r="C32" s="171" t="str">
        <f t="shared" ca="1" si="2"/>
        <v>The math is relatively straight forward and there is no test or project component</v>
      </c>
      <c r="D32" s="172">
        <f t="shared" ca="1" si="3"/>
        <v>1</v>
      </c>
      <c r="E32" s="172">
        <v>3</v>
      </c>
      <c r="F32" s="172"/>
      <c r="G32" s="174" t="str">
        <f ca="1">IFERROR(__xludf.DUMMYFUNCTION("""COMPUTED_VALUE"""),"EMEA 5034 - The Need for Systems Engineering")</f>
        <v>EMEA 5034 - The Need for Systems Engineering</v>
      </c>
      <c r="H32" s="174" t="str">
        <f ca="1">IFERROR(__xludf.DUMMYFUNCTION("""COMPUTED_VALUE"""),"This is a pretty good course overall and should be interesting for people in a variety of fields including pure software development.  There are a lot of parallels between SE and microservice software architecture, and even though SE tends to be more wate"&amp;"rfallish, there is still plenty of crossover with agile concepts (agile just favors validation over verification in the V&amp;V).  I thought the shuttle case study was a bit of a slog fest to get through, but outside of that I enjoyed most of the course.  Eas"&amp;"y peer reviewed assignments, and the final is a multi-submit within the 2 hour timeframe, so don't worry too much about the one ""trick question"".")</f>
        <v>This is a pretty good course overall and should be interesting for people in a variety of fields including pure software development.  There are a lot of parallels between SE and microservice software architecture, and even though SE tends to be more waterfallish, there is still plenty of crossover with agile concepts (agile just favors validation over verification in the V&amp;V).  I thought the shuttle case study was a bit of a slog fest to get through, but outside of that I enjoyed most of the course.  Easy peer reviewed assignments, and the final is a multi-submit within the 2 hour timeframe, so don't worry too much about the one "trick question".</v>
      </c>
      <c r="I32" s="172">
        <f ca="1">IFERROR(__xludf.DUMMYFUNCTION("""COMPUTED_VALUE"""),1)</f>
        <v>1</v>
      </c>
      <c r="J32" s="172">
        <f ca="1">IFERROR(__xludf.DUMMYFUNCTION("""COMPUTED_VALUE"""),42)</f>
        <v>42</v>
      </c>
      <c r="K32" s="172"/>
      <c r="L32" s="172"/>
      <c r="M32" s="172"/>
      <c r="N32" s="172"/>
      <c r="O32" s="172"/>
      <c r="P32" s="172"/>
      <c r="Q32" s="172"/>
      <c r="R32" s="172"/>
      <c r="S32" s="172"/>
      <c r="T32" s="172"/>
      <c r="U32" s="172"/>
      <c r="V32" s="172"/>
      <c r="W32" s="172"/>
      <c r="X32" s="172"/>
      <c r="Y32" s="172"/>
      <c r="Z32" s="172"/>
      <c r="AA32" s="172"/>
    </row>
    <row r="33" spans="1:27" ht="16">
      <c r="A33" s="170" t="str">
        <f t="shared" ca="1" si="0"/>
        <v/>
      </c>
      <c r="B33" s="171" t="str">
        <f t="shared" ca="1" si="1"/>
        <v/>
      </c>
      <c r="C33" s="171" t="str">
        <f t="shared" ca="1" si="2"/>
        <v/>
      </c>
      <c r="D33" s="172">
        <f t="shared" ca="1" si="3"/>
        <v>0</v>
      </c>
      <c r="E33" s="172" t="s">
        <v>281</v>
      </c>
      <c r="F33" s="172"/>
      <c r="G33" s="174"/>
      <c r="H33" s="174"/>
      <c r="I33" s="172">
        <f ca="1">IFERROR(__xludf.DUMMYFUNCTION("""COMPUTED_VALUE"""),0)</f>
        <v>0</v>
      </c>
      <c r="J33" s="172"/>
      <c r="K33" s="172"/>
      <c r="L33" s="172"/>
      <c r="M33" s="172"/>
      <c r="N33" s="172"/>
      <c r="O33" s="172"/>
      <c r="P33" s="172"/>
      <c r="Q33" s="172"/>
      <c r="R33" s="172"/>
      <c r="S33" s="172"/>
      <c r="T33" s="172"/>
      <c r="U33" s="172"/>
      <c r="V33" s="172"/>
      <c r="W33" s="172"/>
      <c r="X33" s="172"/>
      <c r="Y33" s="172"/>
      <c r="Z33" s="172"/>
      <c r="AA33" s="172"/>
    </row>
    <row r="34" spans="1:27" ht="16">
      <c r="A34" s="170" t="str">
        <f t="shared" ca="1" si="0"/>
        <v/>
      </c>
      <c r="B34" s="171" t="str">
        <f t="shared" ca="1" si="1"/>
        <v/>
      </c>
      <c r="C34" s="171" t="str">
        <f t="shared" ca="1" si="2"/>
        <v>Little/no prior knowledge is needed.  Exams/quizzes are fairly easy.  Tips:  This course is easy to breeze through, but may take a little longer if you actually read the material and try to take notes, etc.</v>
      </c>
      <c r="D34" s="172">
        <f t="shared" ca="1" si="3"/>
        <v>1</v>
      </c>
      <c r="E34" s="172">
        <v>9</v>
      </c>
      <c r="F34" s="172"/>
      <c r="G34" s="174"/>
      <c r="H34" s="174"/>
      <c r="I34" s="172">
        <f ca="1">IFERROR(__xludf.DUMMYFUNCTION("""COMPUTED_VALUE"""),0)</f>
        <v>0</v>
      </c>
      <c r="J34" s="172"/>
      <c r="K34" s="172"/>
      <c r="L34" s="172"/>
      <c r="M34" s="172"/>
      <c r="N34" s="172"/>
      <c r="O34" s="172"/>
      <c r="P34" s="172"/>
      <c r="Q34" s="172"/>
      <c r="R34" s="172"/>
      <c r="S34" s="172"/>
      <c r="T34" s="172"/>
      <c r="U34" s="172"/>
      <c r="V34" s="172"/>
      <c r="W34" s="172"/>
      <c r="X34" s="172"/>
      <c r="Y34" s="172"/>
      <c r="Z34" s="172"/>
      <c r="AA34" s="172"/>
    </row>
    <row r="35" spans="1:27" ht="16">
      <c r="A35" s="170" t="str">
        <f t="shared" ca="1" si="0"/>
        <v/>
      </c>
      <c r="B35" s="171" t="str">
        <f t="shared" ca="1" si="1"/>
        <v/>
      </c>
      <c r="C35" s="171" t="str">
        <f t="shared" ca="1" si="2"/>
        <v/>
      </c>
      <c r="D35" s="172">
        <f t="shared" ca="1" si="3"/>
        <v>0</v>
      </c>
      <c r="E35" s="172" t="s">
        <v>281</v>
      </c>
      <c r="F35" s="172"/>
      <c r="G35" s="174"/>
      <c r="H35" s="174"/>
      <c r="I35" s="172">
        <f ca="1">IFERROR(__xludf.DUMMYFUNCTION("""COMPUTED_VALUE"""),0)</f>
        <v>0</v>
      </c>
      <c r="J35" s="172"/>
      <c r="K35" s="172"/>
      <c r="L35" s="172"/>
      <c r="M35" s="172"/>
      <c r="N35" s="172"/>
      <c r="O35" s="172"/>
      <c r="P35" s="172"/>
      <c r="Q35" s="172"/>
      <c r="R35" s="172"/>
      <c r="S35" s="172"/>
      <c r="T35" s="172"/>
      <c r="U35" s="172"/>
      <c r="V35" s="172"/>
      <c r="W35" s="172"/>
      <c r="X35" s="172"/>
      <c r="Y35" s="172"/>
      <c r="Z35" s="172"/>
      <c r="AA35" s="172"/>
    </row>
    <row r="36" spans="1:27" ht="16">
      <c r="A36" s="170" t="str">
        <f t="shared" ca="1" si="0"/>
        <v/>
      </c>
      <c r="B36" s="171" t="str">
        <f t="shared" ca="1" si="1"/>
        <v/>
      </c>
      <c r="C36" s="171" t="str">
        <f t="shared" ca="1" si="2"/>
        <v/>
      </c>
      <c r="D36" s="172">
        <f t="shared" ca="1" si="3"/>
        <v>0</v>
      </c>
      <c r="E36" s="172" t="s">
        <v>281</v>
      </c>
      <c r="F36" s="172"/>
      <c r="G36" s="174"/>
      <c r="H36" s="174"/>
      <c r="I36" s="172">
        <f ca="1">IFERROR(__xludf.DUMMYFUNCTION("""COMPUTED_VALUE"""),0)</f>
        <v>0</v>
      </c>
      <c r="J36" s="172"/>
      <c r="K36" s="172"/>
      <c r="L36" s="172"/>
      <c r="M36" s="172"/>
      <c r="N36" s="172"/>
      <c r="O36" s="172"/>
      <c r="P36" s="172"/>
      <c r="Q36" s="172"/>
      <c r="R36" s="172"/>
      <c r="S36" s="172"/>
      <c r="T36" s="172"/>
      <c r="U36" s="172"/>
      <c r="V36" s="172"/>
      <c r="W36" s="172"/>
      <c r="X36" s="172"/>
      <c r="Y36" s="172"/>
      <c r="Z36" s="172"/>
      <c r="AA36" s="172"/>
    </row>
    <row r="37" spans="1:27" ht="16">
      <c r="A37" s="170" t="str">
        <f t="shared" ca="1" si="0"/>
        <v/>
      </c>
      <c r="B37" s="171" t="str">
        <f t="shared" ca="1" si="1"/>
        <v/>
      </c>
      <c r="C37" s="171" t="str">
        <f t="shared" ca="1" si="2"/>
        <v/>
      </c>
      <c r="D37" s="172">
        <f t="shared" ca="1" si="3"/>
        <v>0</v>
      </c>
      <c r="E37" s="172" t="s">
        <v>281</v>
      </c>
      <c r="F37" s="172"/>
      <c r="G37" s="174"/>
      <c r="H37" s="174"/>
      <c r="I37" s="172">
        <f ca="1">IFERROR(__xludf.DUMMYFUNCTION("""COMPUTED_VALUE"""),0)</f>
        <v>0</v>
      </c>
      <c r="J37" s="172"/>
      <c r="K37" s="172"/>
      <c r="L37" s="172"/>
      <c r="M37" s="172"/>
      <c r="N37" s="172"/>
      <c r="O37" s="172"/>
      <c r="P37" s="172"/>
      <c r="Q37" s="172"/>
      <c r="R37" s="172"/>
      <c r="S37" s="172"/>
      <c r="T37" s="172"/>
      <c r="U37" s="172"/>
      <c r="V37" s="172"/>
      <c r="W37" s="172"/>
      <c r="X37" s="172"/>
      <c r="Y37" s="172"/>
      <c r="Z37" s="172"/>
      <c r="AA37" s="172"/>
    </row>
    <row r="38" spans="1:27" ht="16">
      <c r="A38" s="170" t="str">
        <f t="shared" ca="1" si="0"/>
        <v/>
      </c>
      <c r="B38" s="171" t="str">
        <f t="shared" ca="1" si="1"/>
        <v/>
      </c>
      <c r="C38" s="171" t="str">
        <f t="shared" ca="1" si="2"/>
        <v/>
      </c>
      <c r="D38" s="172">
        <f t="shared" ca="1" si="3"/>
        <v>0</v>
      </c>
      <c r="E38" s="172" t="s">
        <v>281</v>
      </c>
      <c r="F38" s="172"/>
      <c r="G38" s="174"/>
      <c r="H38" s="174"/>
      <c r="I38" s="172">
        <f ca="1">IFERROR(__xludf.DUMMYFUNCTION("""COMPUTED_VALUE"""),0)</f>
        <v>0</v>
      </c>
      <c r="J38" s="172"/>
      <c r="K38" s="172"/>
      <c r="L38" s="172"/>
      <c r="M38" s="172"/>
      <c r="N38" s="172"/>
      <c r="O38" s="172"/>
      <c r="P38" s="172"/>
      <c r="Q38" s="172"/>
      <c r="R38" s="172"/>
      <c r="S38" s="172"/>
      <c r="T38" s="172"/>
      <c r="U38" s="172"/>
      <c r="V38" s="172"/>
      <c r="W38" s="172"/>
      <c r="X38" s="172"/>
      <c r="Y38" s="172"/>
      <c r="Z38" s="172"/>
      <c r="AA38" s="172"/>
    </row>
    <row r="39" spans="1:27" ht="16">
      <c r="A39" s="170" t="str">
        <f t="shared" ca="1" si="0"/>
        <v/>
      </c>
      <c r="B39" s="171" t="str">
        <f t="shared" ca="1" si="1"/>
        <v/>
      </c>
      <c r="C39" s="171" t="str">
        <f t="shared" ca="1" si="2"/>
        <v/>
      </c>
      <c r="D39" s="172">
        <f t="shared" ca="1" si="3"/>
        <v>0</v>
      </c>
      <c r="E39" s="172" t="s">
        <v>281</v>
      </c>
      <c r="F39" s="172"/>
      <c r="G39" s="174"/>
      <c r="H39" s="174"/>
      <c r="I39" s="172">
        <f ca="1">IFERROR(__xludf.DUMMYFUNCTION("""COMPUTED_VALUE"""),0)</f>
        <v>0</v>
      </c>
      <c r="J39" s="172"/>
      <c r="K39" s="172"/>
      <c r="L39" s="172"/>
      <c r="M39" s="172"/>
      <c r="N39" s="172"/>
      <c r="O39" s="172"/>
      <c r="P39" s="172"/>
      <c r="Q39" s="172"/>
      <c r="R39" s="172"/>
      <c r="S39" s="172"/>
      <c r="T39" s="172"/>
      <c r="U39" s="172"/>
      <c r="V39" s="172"/>
      <c r="W39" s="172"/>
      <c r="X39" s="172"/>
      <c r="Y39" s="172"/>
      <c r="Z39" s="172"/>
      <c r="AA39" s="172"/>
    </row>
    <row r="40" spans="1:27" ht="16">
      <c r="A40" s="170" t="str">
        <f t="shared" ca="1" si="0"/>
        <v/>
      </c>
      <c r="B40" s="171" t="str">
        <f t="shared" ca="1" si="1"/>
        <v/>
      </c>
      <c r="C40" s="171" t="str">
        <f t="shared" ca="1" si="2"/>
        <v/>
      </c>
      <c r="D40" s="172">
        <f t="shared" ca="1" si="3"/>
        <v>0</v>
      </c>
      <c r="E40" s="172" t="s">
        <v>281</v>
      </c>
      <c r="F40" s="172"/>
      <c r="G40" s="174"/>
      <c r="H40" s="174"/>
      <c r="I40" s="172">
        <f ca="1">IFERROR(__xludf.DUMMYFUNCTION("""COMPUTED_VALUE"""),0)</f>
        <v>0</v>
      </c>
      <c r="J40" s="172"/>
      <c r="K40" s="172"/>
      <c r="L40" s="172"/>
      <c r="M40" s="172"/>
      <c r="N40" s="172"/>
      <c r="O40" s="172"/>
      <c r="P40" s="172"/>
      <c r="Q40" s="172"/>
      <c r="R40" s="172"/>
      <c r="S40" s="172"/>
      <c r="T40" s="172"/>
      <c r="U40" s="172"/>
      <c r="V40" s="172"/>
      <c r="W40" s="172"/>
      <c r="X40" s="172"/>
      <c r="Y40" s="172"/>
      <c r="Z40" s="172"/>
      <c r="AA40" s="172"/>
    </row>
    <row r="41" spans="1:27" ht="16">
      <c r="A41" s="170" t="str">
        <f t="shared" ca="1" si="0"/>
        <v/>
      </c>
      <c r="B41" s="171" t="str">
        <f t="shared" ca="1" si="1"/>
        <v/>
      </c>
      <c r="C41" s="171" t="str">
        <f t="shared" ca="1" si="2"/>
        <v/>
      </c>
      <c r="D41" s="172">
        <f t="shared" ca="1" si="3"/>
        <v>0</v>
      </c>
      <c r="E41" s="172" t="s">
        <v>281</v>
      </c>
      <c r="F41" s="172"/>
      <c r="G41" s="174"/>
      <c r="H41" s="174"/>
      <c r="I41" s="172">
        <f ca="1">IFERROR(__xludf.DUMMYFUNCTION("""COMPUTED_VALUE"""),0)</f>
        <v>0</v>
      </c>
      <c r="J41" s="172"/>
      <c r="K41" s="172"/>
      <c r="L41" s="172"/>
      <c r="M41" s="172"/>
      <c r="N41" s="172"/>
      <c r="O41" s="172"/>
      <c r="P41" s="172"/>
      <c r="Q41" s="172"/>
      <c r="R41" s="172"/>
      <c r="S41" s="172"/>
      <c r="T41" s="172"/>
      <c r="U41" s="172"/>
      <c r="V41" s="172"/>
      <c r="W41" s="172"/>
      <c r="X41" s="172"/>
      <c r="Y41" s="172"/>
      <c r="Z41" s="172"/>
      <c r="AA41" s="172"/>
    </row>
    <row r="42" spans="1:27" ht="16">
      <c r="A42" s="170" t="str">
        <f t="shared" ca="1" si="0"/>
        <v/>
      </c>
      <c r="B42" s="171" t="str">
        <f t="shared" ca="1" si="1"/>
        <v/>
      </c>
      <c r="C42" s="171" t="str">
        <f t="shared" ca="1" si="2"/>
        <v>No prior knowledge is needed.  The final exam draws directly from the quizzes.  There is a substantial amount of reading which can make the course take a while.  Many of the blog posts take less time than the coursera estimate, but the academic articles seem to take longer.</v>
      </c>
      <c r="D42" s="172">
        <f t="shared" ca="1" si="3"/>
        <v>1</v>
      </c>
      <c r="E42" s="172">
        <v>9</v>
      </c>
      <c r="F42" s="172"/>
      <c r="G42" s="174"/>
      <c r="H42" s="174"/>
      <c r="I42" s="172">
        <f ca="1">IFERROR(__xludf.DUMMYFUNCTION("""COMPUTED_VALUE"""),0)</f>
        <v>0</v>
      </c>
      <c r="J42" s="172"/>
      <c r="K42" s="172"/>
      <c r="L42" s="172"/>
      <c r="M42" s="172"/>
      <c r="N42" s="172"/>
      <c r="O42" s="172"/>
      <c r="P42" s="172"/>
      <c r="Q42" s="172"/>
      <c r="R42" s="172"/>
      <c r="S42" s="172"/>
      <c r="T42" s="172"/>
      <c r="U42" s="172"/>
      <c r="V42" s="172"/>
      <c r="W42" s="172"/>
      <c r="X42" s="172"/>
      <c r="Y42" s="172"/>
      <c r="Z42" s="172"/>
      <c r="AA42" s="172"/>
    </row>
    <row r="43" spans="1:27" ht="16">
      <c r="A43" s="170" t="str">
        <f t="shared" ca="1" si="0"/>
        <v/>
      </c>
      <c r="B43" s="171" t="str">
        <f t="shared" ca="1" si="1"/>
        <v/>
      </c>
      <c r="C43" s="171" t="str">
        <f t="shared" ca="1" si="2"/>
        <v>I would highly recommend taking the class. You can tell Professor Van-Atten put a lot of effort into making the course. No prior knowledge necessary and his quizzes had a good balance of humor and knowledge. His peer review tasks were not overly demanding and conveyed a priority on comprehension of the lessons rather than giving busy work. I would recommend all disciplines take this class.</v>
      </c>
      <c r="D43" s="172">
        <f t="shared" ca="1" si="3"/>
        <v>1</v>
      </c>
      <c r="E43" s="172">
        <v>42</v>
      </c>
      <c r="F43" s="172"/>
      <c r="G43" s="174"/>
      <c r="H43" s="174"/>
      <c r="I43" s="172">
        <f ca="1">IFERROR(__xludf.DUMMYFUNCTION("""COMPUTED_VALUE"""),0)</f>
        <v>0</v>
      </c>
      <c r="J43" s="172"/>
      <c r="K43" s="172"/>
      <c r="L43" s="172"/>
      <c r="M43" s="172"/>
      <c r="N43" s="172"/>
      <c r="O43" s="172"/>
      <c r="P43" s="172"/>
      <c r="Q43" s="172"/>
      <c r="R43" s="172"/>
      <c r="S43" s="172"/>
      <c r="T43" s="172"/>
      <c r="U43" s="172"/>
      <c r="V43" s="172"/>
      <c r="W43" s="172"/>
      <c r="X43" s="172"/>
      <c r="Y43" s="172"/>
      <c r="Z43" s="172"/>
      <c r="AA43" s="172"/>
    </row>
    <row r="44" spans="1:27" ht="16">
      <c r="A44" s="170" t="str">
        <f t="shared" ca="1" si="0"/>
        <v/>
      </c>
      <c r="B44" s="171" t="str">
        <f t="shared" ca="1" si="1"/>
        <v/>
      </c>
      <c r="C44" s="171">
        <f t="shared" ca="1" si="2"/>
        <v>0</v>
      </c>
      <c r="D44" s="172">
        <f t="shared" ca="1" si="3"/>
        <v>1</v>
      </c>
      <c r="E44" s="172">
        <v>24</v>
      </c>
      <c r="F44" s="172"/>
      <c r="G44" s="174"/>
      <c r="H44" s="174"/>
      <c r="I44" s="172">
        <f ca="1">IFERROR(__xludf.DUMMYFUNCTION("""COMPUTED_VALUE"""),0)</f>
        <v>0</v>
      </c>
      <c r="J44" s="172"/>
      <c r="K44" s="172"/>
      <c r="L44" s="172"/>
      <c r="M44" s="172"/>
      <c r="N44" s="172"/>
      <c r="O44" s="172"/>
      <c r="P44" s="172"/>
      <c r="Q44" s="172"/>
      <c r="R44" s="172"/>
      <c r="S44" s="172"/>
      <c r="T44" s="172"/>
      <c r="U44" s="172"/>
      <c r="V44" s="172"/>
      <c r="W44" s="172"/>
      <c r="X44" s="172"/>
      <c r="Y44" s="172"/>
      <c r="Z44" s="172"/>
      <c r="AA44" s="172"/>
    </row>
    <row r="45" spans="1:27" ht="16">
      <c r="A45" s="170" t="str">
        <f t="shared" ca="1" si="0"/>
        <v/>
      </c>
      <c r="B45" s="171" t="str">
        <f t="shared" ca="1" si="1"/>
        <v/>
      </c>
      <c r="C45" s="171">
        <f t="shared" ca="1" si="2"/>
        <v>0</v>
      </c>
      <c r="D45" s="172">
        <f t="shared" ca="1" si="3"/>
        <v>1</v>
      </c>
      <c r="E45" s="172">
        <v>18</v>
      </c>
      <c r="F45" s="172"/>
      <c r="G45" s="174"/>
      <c r="H45" s="174"/>
      <c r="I45" s="172">
        <f ca="1">IFERROR(__xludf.DUMMYFUNCTION("""COMPUTED_VALUE"""),0)</f>
        <v>0</v>
      </c>
      <c r="J45" s="172"/>
      <c r="K45" s="172"/>
      <c r="L45" s="172"/>
      <c r="M45" s="172"/>
      <c r="N45" s="172"/>
      <c r="O45" s="172"/>
      <c r="P45" s="172"/>
      <c r="Q45" s="172"/>
      <c r="R45" s="172"/>
      <c r="S45" s="172"/>
      <c r="T45" s="172"/>
      <c r="U45" s="172"/>
      <c r="V45" s="172"/>
      <c r="W45" s="172"/>
      <c r="X45" s="172"/>
      <c r="Y45" s="172"/>
      <c r="Z45" s="172"/>
      <c r="AA45" s="172"/>
    </row>
    <row r="46" spans="1:27" ht="16">
      <c r="A46" s="170" t="str">
        <f t="shared" ca="1" si="0"/>
        <v/>
      </c>
      <c r="B46" s="171" t="str">
        <f t="shared" ca="1" si="1"/>
        <v/>
      </c>
      <c r="C46" s="171">
        <f t="shared" ca="1" si="2"/>
        <v>0</v>
      </c>
      <c r="D46" s="172">
        <f t="shared" ca="1" si="3"/>
        <v>1</v>
      </c>
      <c r="E46" s="172">
        <v>39</v>
      </c>
      <c r="F46" s="172"/>
      <c r="G46" s="174"/>
      <c r="H46" s="174"/>
      <c r="I46" s="172">
        <f ca="1">IFERROR(__xludf.DUMMYFUNCTION("""COMPUTED_VALUE"""),0)</f>
        <v>0</v>
      </c>
      <c r="J46" s="172"/>
      <c r="K46" s="172"/>
      <c r="L46" s="172"/>
      <c r="M46" s="172"/>
      <c r="N46" s="172"/>
      <c r="O46" s="172"/>
      <c r="P46" s="172"/>
      <c r="Q46" s="172"/>
      <c r="R46" s="172"/>
      <c r="S46" s="172"/>
      <c r="T46" s="172"/>
      <c r="U46" s="172"/>
      <c r="V46" s="172"/>
      <c r="W46" s="172"/>
      <c r="X46" s="172"/>
      <c r="Y46" s="172"/>
      <c r="Z46" s="172"/>
      <c r="AA46" s="172"/>
    </row>
    <row r="47" spans="1:27" ht="16">
      <c r="A47" s="170" t="str">
        <f t="shared" ca="1" si="0"/>
        <v/>
      </c>
      <c r="B47" s="171" t="str">
        <f t="shared" ca="1" si="1"/>
        <v/>
      </c>
      <c r="C47" s="171" t="str">
        <f t="shared" ca="1" si="2"/>
        <v/>
      </c>
      <c r="D47" s="172">
        <f t="shared" ca="1" si="3"/>
        <v>0</v>
      </c>
      <c r="E47" s="172" t="s">
        <v>281</v>
      </c>
      <c r="F47" s="172"/>
      <c r="G47" s="174"/>
      <c r="H47" s="174"/>
      <c r="I47" s="172">
        <f ca="1">IFERROR(__xludf.DUMMYFUNCTION("""COMPUTED_VALUE"""),0)</f>
        <v>0</v>
      </c>
      <c r="J47" s="172"/>
      <c r="K47" s="172"/>
      <c r="L47" s="172"/>
      <c r="M47" s="172"/>
      <c r="N47" s="172"/>
      <c r="O47" s="172"/>
      <c r="P47" s="172"/>
      <c r="Q47" s="172"/>
      <c r="R47" s="172"/>
      <c r="S47" s="172"/>
      <c r="T47" s="172"/>
      <c r="U47" s="172"/>
      <c r="V47" s="172"/>
      <c r="W47" s="172"/>
      <c r="X47" s="172"/>
      <c r="Y47" s="172"/>
      <c r="Z47" s="172"/>
      <c r="AA47" s="172"/>
    </row>
    <row r="48" spans="1:27" ht="16">
      <c r="A48" s="170" t="str">
        <f t="shared" ca="1" si="0"/>
        <v/>
      </c>
      <c r="B48" s="171" t="str">
        <f t="shared" ca="1" si="1"/>
        <v/>
      </c>
      <c r="C48" s="171" t="str">
        <f t="shared" ca="1" si="2"/>
        <v>No prior knowledge is needed.  This course has a ton of content from academic articles to podcasts, but if you do the workbook along the way you're already set up for the final assignment and it is just formatting from there.  The course is easy to get an 'A' in, but tough to actually master the content (a lifelong journey perhaps). Overall a really interesting course that is all about being the best version of yourself.  I found that a lot of this is already stuff I've reflected on myself and I already had a solid ethos (something the course helps you craft), but I have never taken the exercise of putting it all on paper which I think is a worthwhile endeavor.</v>
      </c>
      <c r="D48" s="172">
        <f t="shared" ca="1" si="3"/>
        <v>1</v>
      </c>
      <c r="E48" s="172">
        <v>10</v>
      </c>
      <c r="F48" s="172"/>
      <c r="G48" s="174"/>
      <c r="H48" s="174"/>
      <c r="I48" s="172">
        <f ca="1">IFERROR(__xludf.DUMMYFUNCTION("""COMPUTED_VALUE"""),0)</f>
        <v>0</v>
      </c>
      <c r="J48" s="172"/>
      <c r="K48" s="172"/>
      <c r="L48" s="172"/>
      <c r="M48" s="172"/>
      <c r="N48" s="172"/>
      <c r="O48" s="172"/>
      <c r="P48" s="172"/>
      <c r="Q48" s="172"/>
      <c r="R48" s="172"/>
      <c r="S48" s="172"/>
      <c r="T48" s="172"/>
      <c r="U48" s="172"/>
      <c r="V48" s="172"/>
      <c r="W48" s="172"/>
      <c r="X48" s="172"/>
      <c r="Y48" s="172"/>
      <c r="Z48" s="172"/>
      <c r="AA48" s="172"/>
    </row>
    <row r="49" spans="1:27" ht="16">
      <c r="A49" s="170" t="str">
        <f t="shared" ca="1" si="0"/>
        <v/>
      </c>
      <c r="B49" s="171" t="str">
        <f t="shared" ca="1" si="1"/>
        <v/>
      </c>
      <c r="C49" s="171" t="str">
        <f t="shared" ca="1" si="2"/>
        <v/>
      </c>
      <c r="D49" s="172">
        <f t="shared" ca="1" si="3"/>
        <v>0</v>
      </c>
      <c r="E49" s="172" t="s">
        <v>281</v>
      </c>
      <c r="F49" s="172"/>
      <c r="G49" s="174"/>
      <c r="H49" s="174"/>
      <c r="I49" s="172">
        <f ca="1">IFERROR(__xludf.DUMMYFUNCTION("""COMPUTED_VALUE"""),0)</f>
        <v>0</v>
      </c>
      <c r="J49" s="172"/>
      <c r="K49" s="172"/>
      <c r="L49" s="172"/>
      <c r="M49" s="172"/>
      <c r="N49" s="172"/>
      <c r="O49" s="172"/>
      <c r="P49" s="172"/>
      <c r="Q49" s="172"/>
      <c r="R49" s="172"/>
      <c r="S49" s="172"/>
      <c r="T49" s="172"/>
      <c r="U49" s="172"/>
      <c r="V49" s="172"/>
      <c r="W49" s="172"/>
      <c r="X49" s="172"/>
      <c r="Y49" s="172"/>
      <c r="Z49" s="172"/>
      <c r="AA49" s="172"/>
    </row>
    <row r="50" spans="1:27" ht="16">
      <c r="A50" s="170" t="str">
        <f t="shared" ca="1" si="0"/>
        <v/>
      </c>
      <c r="B50" s="171" t="str">
        <f t="shared" ca="1" si="1"/>
        <v/>
      </c>
      <c r="C50" s="171" t="str">
        <f t="shared" ca="1" si="2"/>
        <v>No prior knowledge needed.  Be prepared to write and don't skip the discussion prompts which you will need to package and add to. In total I wrote just under 7000 words, ~27 pages double spaced.  It was not the most challenging writing (nothing like digging through academic sources and writing a lit review or research paper), but the volume is definitely there.  The course content is very light, almost feels like the reverse of the "Leading Oneself" series (in terms of writing vs reading/watching/listening) which I liked a lot better personally.</v>
      </c>
      <c r="D50" s="172">
        <f t="shared" ca="1" si="3"/>
        <v>1</v>
      </c>
      <c r="E50" s="172">
        <v>33</v>
      </c>
      <c r="F50" s="172"/>
      <c r="G50" s="174"/>
      <c r="H50" s="174"/>
      <c r="I50" s="172">
        <f ca="1">IFERROR(__xludf.DUMMYFUNCTION("""COMPUTED_VALUE"""),0)</f>
        <v>0</v>
      </c>
      <c r="J50" s="172"/>
      <c r="K50" s="172"/>
      <c r="L50" s="172"/>
      <c r="M50" s="172"/>
      <c r="N50" s="172"/>
      <c r="O50" s="172"/>
      <c r="P50" s="172"/>
      <c r="Q50" s="172"/>
      <c r="R50" s="172"/>
      <c r="S50" s="172"/>
      <c r="T50" s="172"/>
      <c r="U50" s="172"/>
      <c r="V50" s="172"/>
      <c r="W50" s="172"/>
      <c r="X50" s="172"/>
      <c r="Y50" s="172"/>
      <c r="Z50" s="172"/>
      <c r="AA50" s="172"/>
    </row>
    <row r="51" spans="1:27" ht="16">
      <c r="A51" s="170" t="str">
        <f t="shared" ca="1" si="0"/>
        <v/>
      </c>
      <c r="B51" s="171" t="str">
        <f t="shared" ca="1" si="1"/>
        <v/>
      </c>
      <c r="C51" s="171" t="str">
        <f t="shared" ca="1" si="2"/>
        <v>No prior knowledge needed. Similar structure to the middle course of the series in terms of content, but seems to be less dependent on the workbook for the final assignment. Very straightforward.</v>
      </c>
      <c r="D51" s="172">
        <f t="shared" ca="1" si="3"/>
        <v>1</v>
      </c>
      <c r="E51" s="172">
        <v>11</v>
      </c>
      <c r="F51" s="172"/>
      <c r="G51" s="174"/>
      <c r="H51" s="174"/>
      <c r="I51" s="172">
        <f ca="1">IFERROR(__xludf.DUMMYFUNCTION("""COMPUTED_VALUE"""),0)</f>
        <v>0</v>
      </c>
      <c r="J51" s="172"/>
      <c r="K51" s="172"/>
      <c r="L51" s="172"/>
      <c r="M51" s="172"/>
      <c r="N51" s="172"/>
      <c r="O51" s="172"/>
      <c r="P51" s="172"/>
      <c r="Q51" s="172"/>
      <c r="R51" s="172"/>
      <c r="S51" s="172"/>
      <c r="T51" s="172"/>
      <c r="U51" s="172"/>
      <c r="V51" s="172"/>
      <c r="W51" s="172"/>
      <c r="X51" s="172"/>
      <c r="Y51" s="172"/>
      <c r="Z51" s="172"/>
      <c r="AA51" s="172"/>
    </row>
    <row r="52" spans="1:27" ht="16">
      <c r="A52" s="170" t="str">
        <f t="shared" ca="1" si="0"/>
        <v/>
      </c>
      <c r="B52" s="171" t="str">
        <f t="shared" ca="1" si="1"/>
        <v/>
      </c>
      <c r="C52" s="171" t="str">
        <f t="shared" ca="1" si="2"/>
        <v/>
      </c>
      <c r="D52" s="172">
        <f t="shared" ca="1" si="3"/>
        <v>0</v>
      </c>
      <c r="E52" s="172" t="s">
        <v>281</v>
      </c>
      <c r="F52" s="172"/>
      <c r="G52" s="174"/>
      <c r="H52" s="174"/>
      <c r="I52" s="172">
        <f ca="1">IFERROR(__xludf.DUMMYFUNCTION("""COMPUTED_VALUE"""),0)</f>
        <v>0</v>
      </c>
      <c r="J52" s="172"/>
      <c r="K52" s="172"/>
      <c r="L52" s="172"/>
      <c r="M52" s="172"/>
      <c r="N52" s="172"/>
      <c r="O52" s="172"/>
      <c r="P52" s="172"/>
      <c r="Q52" s="172"/>
      <c r="R52" s="172"/>
      <c r="S52" s="172"/>
      <c r="T52" s="172"/>
      <c r="U52" s="172"/>
      <c r="V52" s="172"/>
      <c r="W52" s="172"/>
      <c r="X52" s="172"/>
      <c r="Y52" s="172"/>
      <c r="Z52" s="172"/>
      <c r="AA52" s="172"/>
    </row>
    <row r="53" spans="1:27" ht="16">
      <c r="A53" s="170" t="str">
        <f t="shared" ca="1" si="0"/>
        <v/>
      </c>
      <c r="B53" s="171" t="str">
        <f t="shared" ca="1" si="1"/>
        <v/>
      </c>
      <c r="C53" s="171" t="str">
        <f t="shared" ca="1" si="2"/>
        <v/>
      </c>
      <c r="D53" s="172">
        <f t="shared" ca="1" si="3"/>
        <v>0</v>
      </c>
      <c r="E53" s="172" t="s">
        <v>281</v>
      </c>
      <c r="F53" s="172"/>
      <c r="G53" s="174"/>
      <c r="H53" s="174"/>
      <c r="I53" s="172">
        <f ca="1">IFERROR(__xludf.DUMMYFUNCTION("""COMPUTED_VALUE"""),0)</f>
        <v>0</v>
      </c>
      <c r="J53" s="172"/>
      <c r="K53" s="172"/>
      <c r="L53" s="172"/>
      <c r="M53" s="172"/>
      <c r="N53" s="172"/>
      <c r="O53" s="172"/>
      <c r="P53" s="172"/>
      <c r="Q53" s="172"/>
      <c r="R53" s="172"/>
      <c r="S53" s="172"/>
      <c r="T53" s="172"/>
      <c r="U53" s="172"/>
      <c r="V53" s="172"/>
      <c r="W53" s="172"/>
      <c r="X53" s="172"/>
      <c r="Y53" s="172"/>
      <c r="Z53" s="172"/>
      <c r="AA53" s="172"/>
    </row>
    <row r="54" spans="1:27" ht="16">
      <c r="A54" s="170" t="str">
        <f t="shared" ca="1" si="0"/>
        <v/>
      </c>
      <c r="B54" s="171" t="str">
        <f t="shared" ca="1" si="1"/>
        <v/>
      </c>
      <c r="C54" s="171" t="str">
        <f t="shared" ca="1" si="2"/>
        <v/>
      </c>
      <c r="D54" s="172">
        <f t="shared" ca="1" si="3"/>
        <v>0</v>
      </c>
      <c r="E54" s="172" t="s">
        <v>281</v>
      </c>
      <c r="F54" s="172"/>
      <c r="G54" s="174"/>
      <c r="H54" s="174"/>
      <c r="I54" s="172">
        <f ca="1">IFERROR(__xludf.DUMMYFUNCTION("""COMPUTED_VALUE"""),0)</f>
        <v>0</v>
      </c>
      <c r="J54" s="172"/>
      <c r="K54" s="172"/>
      <c r="L54" s="172"/>
      <c r="M54" s="172"/>
      <c r="N54" s="172"/>
      <c r="O54" s="172"/>
      <c r="P54" s="172"/>
      <c r="Q54" s="172"/>
      <c r="R54" s="172"/>
      <c r="S54" s="172"/>
      <c r="T54" s="172"/>
      <c r="U54" s="172"/>
      <c r="V54" s="172"/>
      <c r="W54" s="172"/>
      <c r="X54" s="172"/>
      <c r="Y54" s="172"/>
      <c r="Z54" s="172"/>
      <c r="AA54" s="172"/>
    </row>
    <row r="55" spans="1:27" ht="16">
      <c r="A55" s="170" t="str">
        <f t="shared" ca="1" si="0"/>
        <v/>
      </c>
      <c r="B55" s="171" t="str">
        <f t="shared" ca="1" si="1"/>
        <v/>
      </c>
      <c r="C55" s="171" t="str">
        <f t="shared" ca="1" si="2"/>
        <v>Very similar to the first course, except that the final is a peer reviewed paper.  Make sure you are paying attention to the relevant journal entries along the way or you will need to do them all at the end of the course for the paper.</v>
      </c>
      <c r="D55" s="172">
        <f t="shared" ca="1" si="3"/>
        <v>1</v>
      </c>
      <c r="E55" s="172">
        <v>10</v>
      </c>
      <c r="F55" s="172"/>
      <c r="G55" s="174"/>
      <c r="H55" s="174"/>
      <c r="I55" s="172">
        <f ca="1">IFERROR(__xludf.DUMMYFUNCTION("""COMPUTED_VALUE"""),0)</f>
        <v>0</v>
      </c>
      <c r="J55" s="172"/>
      <c r="K55" s="172"/>
      <c r="L55" s="172"/>
      <c r="M55" s="172"/>
      <c r="N55" s="172"/>
      <c r="O55" s="172"/>
      <c r="P55" s="172"/>
      <c r="Q55" s="172"/>
      <c r="R55" s="172"/>
      <c r="S55" s="172"/>
      <c r="T55" s="172"/>
      <c r="U55" s="172"/>
      <c r="V55" s="172"/>
      <c r="W55" s="172"/>
      <c r="X55" s="172"/>
      <c r="Y55" s="172"/>
      <c r="Z55" s="172"/>
      <c r="AA55" s="172"/>
    </row>
    <row r="56" spans="1:27" ht="16">
      <c r="A56" s="170" t="str">
        <f t="shared" ca="1" si="0"/>
        <v/>
      </c>
      <c r="B56" s="171" t="str">
        <f t="shared" ca="1" si="1"/>
        <v/>
      </c>
      <c r="C56" s="171" t="str">
        <f t="shared" ca="1" si="2"/>
        <v>watch videos and do required readings and you should pass this just fine</v>
      </c>
      <c r="D56" s="172">
        <f t="shared" ca="1" si="3"/>
        <v>1</v>
      </c>
      <c r="E56" s="172">
        <v>6</v>
      </c>
      <c r="F56" s="172"/>
      <c r="G56" s="174"/>
      <c r="H56" s="174"/>
      <c r="I56" s="172">
        <f ca="1">IFERROR(__xludf.DUMMYFUNCTION("""COMPUTED_VALUE"""),0)</f>
        <v>0</v>
      </c>
      <c r="J56" s="172"/>
      <c r="K56" s="172"/>
      <c r="L56" s="172"/>
      <c r="M56" s="172"/>
      <c r="N56" s="172"/>
      <c r="O56" s="172"/>
      <c r="P56" s="172"/>
      <c r="Q56" s="172"/>
      <c r="R56" s="172"/>
      <c r="S56" s="172"/>
      <c r="T56" s="172"/>
      <c r="U56" s="172"/>
      <c r="V56" s="172"/>
      <c r="W56" s="172"/>
      <c r="X56" s="172"/>
      <c r="Y56" s="172"/>
      <c r="Z56" s="172"/>
      <c r="AA56" s="172"/>
    </row>
    <row r="57" spans="1:27" ht="16">
      <c r="A57" s="170" t="str">
        <f t="shared" ca="1" si="0"/>
        <v/>
      </c>
      <c r="B57" s="171" t="str">
        <f t="shared" ca="1" si="1"/>
        <v/>
      </c>
      <c r="C57" s="171" t="str">
        <f t="shared" ca="1" si="2"/>
        <v/>
      </c>
      <c r="D57" s="172">
        <f t="shared" ca="1" si="3"/>
        <v>0</v>
      </c>
      <c r="E57" s="172" t="s">
        <v>281</v>
      </c>
      <c r="F57" s="172"/>
      <c r="G57" s="174"/>
      <c r="H57" s="174"/>
      <c r="I57" s="172">
        <f ca="1">IFERROR(__xludf.DUMMYFUNCTION("""COMPUTED_VALUE"""),0)</f>
        <v>0</v>
      </c>
      <c r="J57" s="172"/>
      <c r="K57" s="172"/>
      <c r="L57" s="172"/>
      <c r="M57" s="172"/>
      <c r="N57" s="172"/>
      <c r="O57" s="172"/>
      <c r="P57" s="172"/>
      <c r="Q57" s="172"/>
      <c r="R57" s="172"/>
      <c r="S57" s="172"/>
      <c r="T57" s="172"/>
      <c r="U57" s="172"/>
      <c r="V57" s="172"/>
      <c r="W57" s="172"/>
      <c r="X57" s="172"/>
      <c r="Y57" s="172"/>
      <c r="Z57" s="172"/>
      <c r="AA57" s="172"/>
    </row>
    <row r="58" spans="1:27" ht="16">
      <c r="A58" s="170" t="str">
        <f t="shared" ca="1" si="0"/>
        <v/>
      </c>
      <c r="B58" s="171" t="str">
        <f t="shared" ca="1" si="1"/>
        <v/>
      </c>
      <c r="C58" s="171" t="str">
        <f t="shared" ca="1" si="2"/>
        <v/>
      </c>
      <c r="D58" s="172">
        <f t="shared" ca="1" si="3"/>
        <v>0</v>
      </c>
      <c r="E58" s="172" t="s">
        <v>281</v>
      </c>
      <c r="F58" s="172"/>
      <c r="G58" s="174"/>
      <c r="H58" s="174"/>
      <c r="I58" s="172">
        <f ca="1">IFERROR(__xludf.DUMMYFUNCTION("""COMPUTED_VALUE"""),0)</f>
        <v>0</v>
      </c>
      <c r="J58" s="172"/>
      <c r="K58" s="172"/>
      <c r="L58" s="172"/>
      <c r="M58" s="172"/>
      <c r="N58" s="172"/>
      <c r="O58" s="172"/>
      <c r="P58" s="172"/>
      <c r="Q58" s="172"/>
      <c r="R58" s="172"/>
      <c r="S58" s="172"/>
      <c r="T58" s="172"/>
      <c r="U58" s="172"/>
      <c r="V58" s="172"/>
      <c r="W58" s="172"/>
      <c r="X58" s="172"/>
      <c r="Y58" s="172"/>
      <c r="Z58" s="172"/>
      <c r="AA58" s="172"/>
    </row>
    <row r="59" spans="1:27" ht="16">
      <c r="A59" s="170" t="str">
        <f t="shared" ca="1" si="0"/>
        <v/>
      </c>
      <c r="B59" s="171" t="str">
        <f t="shared" ca="1" si="1"/>
        <v/>
      </c>
      <c r="C59" s="171" t="str">
        <f t="shared" ca="1" si="2"/>
        <v xml:space="preserve">Assignments and exams are hands on learning and grades are based on peer-reviewed feedback. They're good sample of applied learning that helped the learning material stick, and were simple/straightforward enough if you pay attention during the lectures. </v>
      </c>
      <c r="D59" s="172">
        <f t="shared" ca="1" si="3"/>
        <v>1</v>
      </c>
      <c r="E59" s="172">
        <v>6</v>
      </c>
      <c r="F59" s="172"/>
      <c r="G59" s="174"/>
      <c r="H59" s="174"/>
      <c r="I59" s="172">
        <f ca="1">IFERROR(__xludf.DUMMYFUNCTION("""COMPUTED_VALUE"""),0)</f>
        <v>0</v>
      </c>
      <c r="J59" s="172"/>
      <c r="K59" s="172"/>
      <c r="L59" s="172"/>
      <c r="M59" s="172"/>
      <c r="N59" s="172"/>
      <c r="O59" s="172"/>
      <c r="P59" s="172"/>
      <c r="Q59" s="172"/>
      <c r="R59" s="172"/>
      <c r="S59" s="172"/>
      <c r="T59" s="172"/>
      <c r="U59" s="172"/>
      <c r="V59" s="172"/>
      <c r="W59" s="172"/>
      <c r="X59" s="172"/>
      <c r="Y59" s="172"/>
      <c r="Z59" s="172"/>
      <c r="AA59" s="172"/>
    </row>
    <row r="60" spans="1:27" ht="16">
      <c r="A60" s="170" t="str">
        <f t="shared" ca="1" si="0"/>
        <v/>
      </c>
      <c r="B60" s="171" t="str">
        <f t="shared" ca="1" si="1"/>
        <v/>
      </c>
      <c r="C60" s="171">
        <f t="shared" ca="1" si="2"/>
        <v>0</v>
      </c>
      <c r="D60" s="172">
        <f t="shared" ca="1" si="3"/>
        <v>1</v>
      </c>
      <c r="E60" s="172">
        <v>7</v>
      </c>
      <c r="F60" s="172"/>
      <c r="G60" s="174"/>
      <c r="H60" s="174"/>
      <c r="I60" s="172">
        <f ca="1">IFERROR(__xludf.DUMMYFUNCTION("""COMPUTED_VALUE"""),0)</f>
        <v>0</v>
      </c>
      <c r="J60" s="172"/>
      <c r="K60" s="172"/>
      <c r="L60" s="172"/>
      <c r="M60" s="172"/>
      <c r="N60" s="172"/>
      <c r="O60" s="172"/>
      <c r="P60" s="172"/>
      <c r="Q60" s="172"/>
      <c r="R60" s="172"/>
      <c r="S60" s="172"/>
      <c r="T60" s="172"/>
      <c r="U60" s="172"/>
      <c r="V60" s="172"/>
      <c r="W60" s="172"/>
      <c r="X60" s="172"/>
      <c r="Y60" s="172"/>
      <c r="Z60" s="172"/>
      <c r="AA60" s="172"/>
    </row>
    <row r="61" spans="1:27" ht="16">
      <c r="A61" s="170" t="str">
        <f t="shared" ca="1" si="0"/>
        <v/>
      </c>
      <c r="B61" s="171" t="str">
        <f t="shared" ca="1" si="1"/>
        <v/>
      </c>
      <c r="C61" s="171">
        <f t="shared" ca="1" si="2"/>
        <v>0</v>
      </c>
      <c r="D61" s="172">
        <f t="shared" ca="1" si="3"/>
        <v>1</v>
      </c>
      <c r="E61" s="172">
        <v>8</v>
      </c>
      <c r="F61" s="172"/>
      <c r="G61" s="174"/>
      <c r="H61" s="174"/>
      <c r="I61" s="172">
        <f ca="1">IFERROR(__xludf.DUMMYFUNCTION("""COMPUTED_VALUE"""),0)</f>
        <v>0</v>
      </c>
      <c r="J61" s="172"/>
      <c r="K61" s="172"/>
      <c r="L61" s="172"/>
      <c r="M61" s="172"/>
      <c r="N61" s="172"/>
      <c r="O61" s="172"/>
      <c r="P61" s="172"/>
      <c r="Q61" s="172"/>
      <c r="R61" s="172"/>
      <c r="S61" s="172"/>
      <c r="T61" s="172"/>
      <c r="U61" s="172"/>
      <c r="V61" s="172"/>
      <c r="W61" s="172"/>
      <c r="X61" s="172"/>
      <c r="Y61" s="172"/>
      <c r="Z61" s="172"/>
      <c r="AA61" s="172"/>
    </row>
    <row r="62" spans="1:27" ht="16">
      <c r="A62" s="170" t="str">
        <f t="shared" ca="1" si="0"/>
        <v/>
      </c>
      <c r="B62" s="171" t="str">
        <f t="shared" ca="1" si="1"/>
        <v/>
      </c>
      <c r="C62" s="171" t="str">
        <f t="shared" ca="1" si="2"/>
        <v>No prior knowledge needed. Mixed of exams and peer graded projects. The projects at the end were doable. One was making an elevator Pitch. Its good for those in the technology development field. It gives you perspective and explanation on the pain points being encountered and how one might try to fix the system.</v>
      </c>
      <c r="D62" s="172">
        <f t="shared" ca="1" si="3"/>
        <v>1</v>
      </c>
      <c r="E62" s="172">
        <v>18</v>
      </c>
      <c r="F62" s="172"/>
      <c r="G62" s="174"/>
      <c r="H62" s="174"/>
      <c r="I62" s="172">
        <f ca="1">IFERROR(__xludf.DUMMYFUNCTION("""COMPUTED_VALUE"""),0)</f>
        <v>0</v>
      </c>
      <c r="J62" s="172"/>
      <c r="K62" s="172"/>
      <c r="L62" s="172"/>
      <c r="M62" s="172"/>
      <c r="N62" s="172"/>
      <c r="O62" s="172"/>
      <c r="P62" s="172"/>
      <c r="Q62" s="172"/>
      <c r="R62" s="172"/>
      <c r="S62" s="172"/>
      <c r="T62" s="172"/>
      <c r="U62" s="172"/>
      <c r="V62" s="172"/>
      <c r="W62" s="172"/>
      <c r="X62" s="172"/>
      <c r="Y62" s="172"/>
      <c r="Z62" s="172"/>
      <c r="AA62" s="172"/>
    </row>
    <row r="63" spans="1:27" ht="16">
      <c r="A63" s="170" t="str">
        <f t="shared" ca="1" si="0"/>
        <v/>
      </c>
      <c r="B63" s="171" t="str">
        <f t="shared" ca="1" si="1"/>
        <v/>
      </c>
      <c r="C63" s="171" t="str">
        <f t="shared" ca="1" si="2"/>
        <v>No prior knowledge is needed. THe exams are relatively easy. To get the most out of this course its better to read through the reading materials. Though it would take twice as long. If you are just coasting, well you have the option to just watch the summary videos.</v>
      </c>
      <c r="D63" s="172">
        <f t="shared" ca="1" si="3"/>
        <v>1</v>
      </c>
      <c r="E63" s="172">
        <v>9</v>
      </c>
      <c r="F63" s="172"/>
      <c r="G63" s="174"/>
      <c r="H63" s="174"/>
      <c r="I63" s="172">
        <f ca="1">IFERROR(__xludf.DUMMYFUNCTION("""COMPUTED_VALUE"""),0)</f>
        <v>0</v>
      </c>
      <c r="J63" s="172"/>
      <c r="K63" s="172"/>
      <c r="L63" s="172"/>
      <c r="M63" s="172"/>
      <c r="N63" s="172"/>
      <c r="O63" s="172"/>
      <c r="P63" s="172"/>
      <c r="Q63" s="172"/>
      <c r="R63" s="172"/>
      <c r="S63" s="172"/>
      <c r="T63" s="172"/>
      <c r="U63" s="172"/>
      <c r="V63" s="172"/>
      <c r="W63" s="172"/>
      <c r="X63" s="172"/>
      <c r="Y63" s="172"/>
      <c r="Z63" s="172"/>
      <c r="AA63" s="172"/>
    </row>
    <row r="64" spans="1:27" ht="16">
      <c r="A64" s="170" t="str">
        <f t="shared" ca="1" si="0"/>
        <v/>
      </c>
      <c r="B64" s="171" t="str">
        <f t="shared" ca="1" si="1"/>
        <v/>
      </c>
      <c r="C64" s="171" t="str">
        <f t="shared" ca="1" si="2"/>
        <v/>
      </c>
      <c r="D64" s="172">
        <f t="shared" ca="1" si="3"/>
        <v>0</v>
      </c>
      <c r="E64" s="172" t="s">
        <v>281</v>
      </c>
      <c r="F64" s="172"/>
      <c r="G64" s="174"/>
      <c r="H64" s="174"/>
      <c r="I64" s="172">
        <f ca="1">IFERROR(__xludf.DUMMYFUNCTION("""COMPUTED_VALUE"""),0)</f>
        <v>0</v>
      </c>
      <c r="J64" s="172"/>
      <c r="K64" s="172"/>
      <c r="L64" s="172"/>
      <c r="M64" s="172"/>
      <c r="N64" s="172"/>
      <c r="O64" s="172"/>
      <c r="P64" s="172"/>
      <c r="Q64" s="172"/>
      <c r="R64" s="172"/>
      <c r="S64" s="172"/>
      <c r="T64" s="172"/>
      <c r="U64" s="172"/>
      <c r="V64" s="172"/>
      <c r="W64" s="172"/>
      <c r="X64" s="172"/>
      <c r="Y64" s="172"/>
      <c r="Z64" s="172"/>
      <c r="AA64" s="172"/>
    </row>
    <row r="65" spans="1:27" ht="16">
      <c r="A65" s="170" t="str">
        <f t="shared" ca="1" si="0"/>
        <v/>
      </c>
      <c r="B65" s="171" t="str">
        <f t="shared" ca="1" si="1"/>
        <v/>
      </c>
      <c r="C65" s="171" t="str">
        <f t="shared" ca="1" si="2"/>
        <v/>
      </c>
      <c r="D65" s="172">
        <f t="shared" ca="1" si="3"/>
        <v>0</v>
      </c>
      <c r="E65" s="172" t="s">
        <v>281</v>
      </c>
      <c r="F65" s="172"/>
      <c r="G65" s="174"/>
      <c r="H65" s="174"/>
      <c r="I65" s="172">
        <f ca="1">IFERROR(__xludf.DUMMYFUNCTION("""COMPUTED_VALUE"""),0)</f>
        <v>0</v>
      </c>
      <c r="J65" s="172"/>
      <c r="K65" s="172"/>
      <c r="L65" s="172"/>
      <c r="M65" s="172"/>
      <c r="N65" s="172"/>
      <c r="O65" s="172"/>
      <c r="P65" s="172"/>
      <c r="Q65" s="172"/>
      <c r="R65" s="172"/>
      <c r="S65" s="172"/>
      <c r="T65" s="172"/>
      <c r="U65" s="172"/>
      <c r="V65" s="172"/>
      <c r="W65" s="172"/>
      <c r="X65" s="172"/>
      <c r="Y65" s="172"/>
      <c r="Z65" s="172"/>
      <c r="AA65" s="172"/>
    </row>
    <row r="66" spans="1:27" ht="16">
      <c r="A66" s="170" t="str">
        <f t="shared" ca="1" si="0"/>
        <v/>
      </c>
      <c r="B66" s="171" t="str">
        <f t="shared" ca="1" si="1"/>
        <v/>
      </c>
      <c r="C66" s="171" t="str">
        <f t="shared" ca="1" si="2"/>
        <v>Good course.  If you do any investing, you might be familiar with much of this course, and the math is at grade school level. Still, it isn't a waste of time, as it ties everything back to projects and had a few ideas I wasn't familiar with.</v>
      </c>
      <c r="D66" s="172">
        <f t="shared" ca="1" si="3"/>
        <v>1</v>
      </c>
      <c r="E66" s="172">
        <v>3</v>
      </c>
      <c r="F66" s="172"/>
      <c r="G66" s="174"/>
      <c r="H66" s="174"/>
      <c r="I66" s="172">
        <f ca="1">IFERROR(__xludf.DUMMYFUNCTION("""COMPUTED_VALUE"""),0)</f>
        <v>0</v>
      </c>
      <c r="J66" s="172"/>
      <c r="K66" s="172"/>
      <c r="L66" s="172"/>
      <c r="M66" s="172"/>
      <c r="N66" s="172"/>
      <c r="O66" s="172"/>
      <c r="P66" s="172"/>
      <c r="Q66" s="172"/>
      <c r="R66" s="172"/>
      <c r="S66" s="172"/>
      <c r="T66" s="172"/>
      <c r="U66" s="172"/>
      <c r="V66" s="172"/>
      <c r="W66" s="172"/>
      <c r="X66" s="172"/>
      <c r="Y66" s="172"/>
      <c r="Z66" s="172"/>
      <c r="AA66" s="172"/>
    </row>
    <row r="67" spans="1:27" ht="16">
      <c r="A67" s="170" t="str">
        <f t="shared" ca="1" si="0"/>
        <v/>
      </c>
      <c r="B67" s="171" t="str">
        <f t="shared" ca="1" si="1"/>
        <v/>
      </c>
      <c r="C67" s="171" t="str">
        <f t="shared" ca="1" si="2"/>
        <v>If you're a real estate investor, this course will look familiar since you deal with pro forma, depreciation schedules, and income statements.  The first weeks feel straightforward, mostly a review of the previous course.  Again the math is straightforward, but got into some interesting stuff on the actual capital budgeting process at a company.</v>
      </c>
      <c r="D67" s="172">
        <f t="shared" ca="1" si="3"/>
        <v>1</v>
      </c>
      <c r="E67" s="172">
        <v>4</v>
      </c>
      <c r="F67" s="172"/>
      <c r="G67" s="174"/>
      <c r="H67" s="174"/>
      <c r="I67" s="172">
        <f ca="1">IFERROR(__xludf.DUMMYFUNCTION("""COMPUTED_VALUE"""),0)</f>
        <v>0</v>
      </c>
      <c r="J67" s="172"/>
      <c r="K67" s="172"/>
      <c r="L67" s="172"/>
      <c r="M67" s="172"/>
      <c r="N67" s="172"/>
      <c r="O67" s="172"/>
      <c r="P67" s="172"/>
      <c r="Q67" s="172"/>
      <c r="R67" s="172"/>
      <c r="S67" s="172"/>
      <c r="T67" s="172"/>
      <c r="U67" s="172"/>
      <c r="V67" s="172"/>
      <c r="W67" s="172"/>
      <c r="X67" s="172"/>
      <c r="Y67" s="172"/>
      <c r="Z67" s="172"/>
      <c r="AA67" s="172"/>
    </row>
    <row r="68" spans="1:27" ht="16">
      <c r="A68" s="170" t="str">
        <f t="shared" ca="1" si="0"/>
        <v/>
      </c>
      <c r="B68" s="171" t="str">
        <f t="shared" ca="1" si="1"/>
        <v/>
      </c>
      <c r="C68" s="171" t="str">
        <f t="shared" ca="1" si="2"/>
        <v>This was my least favorite of the three courses.  Again the math is straightforward, but the myriad of ratios makes my eyes glaze over, especially since half of them aren't great indicators, or are so commonsense you can just look at the numbers and get the "indication" without the need to compute a ratio.  The sustainability module started off very preachy (and veered to what I would say is off course into heterodox economics), but the sustainability reporting got pretty interesting and I think is very relevant to financial reporting in the modern world.</v>
      </c>
      <c r="D68" s="172">
        <f t="shared" ca="1" si="3"/>
        <v>1</v>
      </c>
      <c r="E68" s="172">
        <v>5</v>
      </c>
      <c r="F68" s="172"/>
      <c r="G68" s="174"/>
      <c r="H68" s="174"/>
      <c r="I68" s="172">
        <f ca="1">IFERROR(__xludf.DUMMYFUNCTION("""COMPUTED_VALUE"""),0)</f>
        <v>0</v>
      </c>
      <c r="J68" s="172"/>
      <c r="K68" s="172"/>
      <c r="L68" s="172"/>
      <c r="M68" s="172"/>
      <c r="N68" s="172"/>
      <c r="O68" s="172"/>
      <c r="P68" s="172"/>
      <c r="Q68" s="172"/>
      <c r="R68" s="172"/>
      <c r="S68" s="172"/>
      <c r="T68" s="172"/>
      <c r="U68" s="172"/>
      <c r="V68" s="172"/>
      <c r="W68" s="172"/>
      <c r="X68" s="172"/>
      <c r="Y68" s="172"/>
      <c r="Z68" s="172"/>
      <c r="AA68" s="172"/>
    </row>
    <row r="69" spans="1:27" ht="16">
      <c r="A69" s="170" t="str">
        <f t="shared" ca="1" si="0"/>
        <v/>
      </c>
      <c r="B69" s="171" t="str">
        <f t="shared" ca="1" si="1"/>
        <v/>
      </c>
      <c r="C69" s="171" t="str">
        <f t="shared" ca="1" si="2"/>
        <v>If you know Agile, you might find this a bit easy. The rubric makes it easy to get an A, but some of the assignments don't offer a template like in the other classes to standardize the approach to get peer graded on.
The final is a video essay, it can be hard to talk for 5 - 8 minutes straight. My suggestion is to write out a script and read that. You can use basic video editing software to cut out mistakes!</v>
      </c>
      <c r="D69" s="172">
        <f t="shared" ca="1" si="3"/>
        <v>1</v>
      </c>
      <c r="E69" s="172">
        <v>8</v>
      </c>
      <c r="F69" s="172"/>
      <c r="G69" s="174"/>
      <c r="H69" s="174"/>
      <c r="I69" s="172">
        <f ca="1">IFERROR(__xludf.DUMMYFUNCTION("""COMPUTED_VALUE"""),0)</f>
        <v>0</v>
      </c>
      <c r="J69" s="172"/>
      <c r="K69" s="172"/>
      <c r="L69" s="172"/>
      <c r="M69" s="172"/>
      <c r="N69" s="172"/>
      <c r="O69" s="172"/>
      <c r="P69" s="172"/>
      <c r="Q69" s="172"/>
      <c r="R69" s="172"/>
      <c r="S69" s="172"/>
      <c r="T69" s="172"/>
      <c r="U69" s="172"/>
      <c r="V69" s="172"/>
      <c r="W69" s="172"/>
      <c r="X69" s="172"/>
      <c r="Y69" s="172"/>
      <c r="Z69" s="172"/>
      <c r="AA69" s="172"/>
    </row>
    <row r="70" spans="1:27" ht="16">
      <c r="A70" s="170" t="str">
        <f t="shared" ca="1" si="0"/>
        <v/>
      </c>
      <c r="B70" s="171" t="str">
        <f t="shared" ca="1" si="1"/>
        <v/>
      </c>
      <c r="C70" s="171" t="str">
        <f t="shared" ca="1" si="2"/>
        <v>If you actually read all the articles and take notes, this is a very heavy time commitment class. The course layout could be a bit better, you are often doing workbook exercises before you do any of the reading material. Sometimes the lecture is a summary of the reading, sometimes it goes a bit more into depth. I felt it was better to watch the lecture, then do the workbook, then the readings to get a better idea of what the workbook was asking for (and to know what to look for in the readings).
The professor kept talking about his side company as well, so just go ahead and ignore that part.</v>
      </c>
      <c r="D70" s="172">
        <f t="shared" ca="1" si="3"/>
        <v>1</v>
      </c>
      <c r="E70" s="172">
        <v>9</v>
      </c>
      <c r="F70" s="172"/>
      <c r="G70" s="174"/>
      <c r="H70" s="174"/>
      <c r="I70" s="172">
        <f ca="1">IFERROR(__xludf.DUMMYFUNCTION("""COMPUTED_VALUE"""),0)</f>
        <v>0</v>
      </c>
      <c r="J70" s="172"/>
      <c r="K70" s="172"/>
      <c r="L70" s="172"/>
      <c r="M70" s="172"/>
      <c r="N70" s="172"/>
      <c r="O70" s="172"/>
      <c r="P70" s="172"/>
      <c r="Q70" s="172"/>
      <c r="R70" s="172"/>
      <c r="S70" s="172"/>
      <c r="T70" s="172"/>
      <c r="U70" s="172"/>
      <c r="V70" s="172"/>
      <c r="W70" s="172"/>
      <c r="X70" s="172"/>
      <c r="Y70" s="172"/>
      <c r="Z70" s="172"/>
      <c r="AA70" s="172"/>
    </row>
    <row r="71" spans="1:27" ht="16">
      <c r="A71" s="170" t="str">
        <f t="shared" ca="1" si="0"/>
        <v/>
      </c>
      <c r="B71" s="171" t="str">
        <f t="shared" ca="1" si="1"/>
        <v/>
      </c>
      <c r="C71" s="171" t="str">
        <f t="shared" ca="1" si="2"/>
        <v/>
      </c>
      <c r="D71" s="172">
        <f t="shared" ca="1" si="3"/>
        <v>0</v>
      </c>
      <c r="E71" s="172" t="s">
        <v>281</v>
      </c>
      <c r="F71" s="172"/>
      <c r="G71" s="174"/>
      <c r="H71" s="174"/>
      <c r="I71" s="172">
        <f ca="1">IFERROR(__xludf.DUMMYFUNCTION("""COMPUTED_VALUE"""),0)</f>
        <v>0</v>
      </c>
      <c r="J71" s="172"/>
      <c r="K71" s="172"/>
      <c r="L71" s="172"/>
      <c r="M71" s="172"/>
      <c r="N71" s="172"/>
      <c r="O71" s="172"/>
      <c r="P71" s="172"/>
      <c r="Q71" s="172"/>
      <c r="R71" s="172"/>
      <c r="S71" s="172"/>
      <c r="T71" s="172"/>
      <c r="U71" s="172"/>
      <c r="V71" s="172"/>
      <c r="W71" s="172"/>
      <c r="X71" s="172"/>
      <c r="Y71" s="172"/>
      <c r="Z71" s="172"/>
      <c r="AA71" s="172"/>
    </row>
    <row r="72" spans="1:27" ht="16">
      <c r="A72" s="170" t="str">
        <f t="shared" ca="1" si="0"/>
        <v/>
      </c>
      <c r="B72" s="171" t="str">
        <f t="shared" ca="1" si="1"/>
        <v/>
      </c>
      <c r="C72" s="171" t="str">
        <f t="shared" ca="1" si="2"/>
        <v/>
      </c>
      <c r="D72" s="172">
        <f t="shared" ca="1" si="3"/>
        <v>0</v>
      </c>
      <c r="E72" s="172" t="s">
        <v>281</v>
      </c>
      <c r="F72" s="172"/>
      <c r="G72" s="174"/>
      <c r="H72" s="174"/>
      <c r="I72" s="172">
        <f ca="1">IFERROR(__xludf.DUMMYFUNCTION("""COMPUTED_VALUE"""),0)</f>
        <v>0</v>
      </c>
      <c r="J72" s="172"/>
      <c r="K72" s="172"/>
      <c r="L72" s="172"/>
      <c r="M72" s="172"/>
      <c r="N72" s="172"/>
      <c r="O72" s="172"/>
      <c r="P72" s="172"/>
      <c r="Q72" s="172"/>
      <c r="R72" s="172"/>
      <c r="S72" s="172"/>
      <c r="T72" s="172"/>
      <c r="U72" s="172"/>
      <c r="V72" s="172"/>
      <c r="W72" s="172"/>
      <c r="X72" s="172"/>
      <c r="Y72" s="172"/>
      <c r="Z72" s="172"/>
      <c r="AA72" s="172"/>
    </row>
    <row r="73" spans="1:27" ht="16">
      <c r="A73" s="170" t="str">
        <f t="shared" ca="1" si="0"/>
        <v/>
      </c>
      <c r="B73" s="171" t="str">
        <f t="shared" ca="1" si="1"/>
        <v/>
      </c>
      <c r="C73" s="171" t="str">
        <f t="shared" ca="1" si="2"/>
        <v/>
      </c>
      <c r="D73" s="172">
        <f t="shared" ca="1" si="3"/>
        <v>0</v>
      </c>
      <c r="E73" s="172" t="s">
        <v>281</v>
      </c>
      <c r="F73" s="172"/>
      <c r="G73" s="174"/>
      <c r="H73" s="174"/>
      <c r="I73" s="172">
        <f ca="1">IFERROR(__xludf.DUMMYFUNCTION("""COMPUTED_VALUE"""),0)</f>
        <v>0</v>
      </c>
      <c r="J73" s="172"/>
      <c r="K73" s="172"/>
      <c r="L73" s="172"/>
      <c r="M73" s="172"/>
      <c r="N73" s="172"/>
      <c r="O73" s="172"/>
      <c r="P73" s="172"/>
      <c r="Q73" s="172"/>
      <c r="R73" s="172"/>
      <c r="S73" s="172"/>
      <c r="T73" s="172"/>
      <c r="U73" s="172"/>
      <c r="V73" s="172"/>
      <c r="W73" s="172"/>
      <c r="X73" s="172"/>
      <c r="Y73" s="172"/>
      <c r="Z73" s="172"/>
      <c r="AA73" s="172"/>
    </row>
    <row r="74" spans="1:27" ht="16">
      <c r="A74" s="170" t="str">
        <f t="shared" ca="1" si="0"/>
        <v/>
      </c>
      <c r="B74" s="171" t="str">
        <f t="shared" ca="1" si="1"/>
        <v/>
      </c>
      <c r="C74" s="171" t="str">
        <f t="shared" ca="1" si="2"/>
        <v>This is a pretty good course overall and should be interesting for people in a variety of fields including pure software development.  There are a lot of parallels between SE and microservice software architecture, and even though SE tends to be more waterfallish, there is still plenty of crossover with agile concepts (agile just favors validation over verification in the V&amp;V).  I thought the shuttle case study was a bit of a slog fest to get through, but outside of that I enjoyed most of the course.  Easy peer reviewed assignments, and the final is a multi-submit within the 2 hour timeframe, so don't worry too much about the one "trick question".</v>
      </c>
      <c r="D74" s="172">
        <f t="shared" ca="1" si="3"/>
        <v>1</v>
      </c>
      <c r="E74" s="172">
        <v>42</v>
      </c>
      <c r="F74" s="172"/>
      <c r="G74" s="174"/>
      <c r="H74" s="174"/>
      <c r="I74" s="172">
        <f ca="1">IFERROR(__xludf.DUMMYFUNCTION("""COMPUTED_VALUE"""),0)</f>
        <v>0</v>
      </c>
      <c r="J74" s="172"/>
      <c r="K74" s="172"/>
      <c r="L74" s="172"/>
      <c r="M74" s="172"/>
      <c r="N74" s="172"/>
      <c r="O74" s="172"/>
      <c r="P74" s="172"/>
      <c r="Q74" s="172"/>
      <c r="R74" s="172"/>
      <c r="S74" s="172"/>
      <c r="T74" s="172"/>
      <c r="U74" s="172"/>
      <c r="V74" s="172"/>
      <c r="W74" s="172"/>
      <c r="X74" s="172"/>
      <c r="Y74" s="172"/>
      <c r="Z74" s="172"/>
      <c r="AA74" s="172"/>
    </row>
    <row r="75" spans="1:27" ht="16">
      <c r="A75" s="170" t="str">
        <f t="shared" ca="1" si="0"/>
        <v/>
      </c>
      <c r="B75" s="171" t="str">
        <f t="shared" ca="1" si="1"/>
        <v/>
      </c>
      <c r="C75" s="171" t="str">
        <f t="shared" ca="1" si="2"/>
        <v/>
      </c>
      <c r="D75" s="172">
        <f t="shared" ca="1" si="3"/>
        <v>0</v>
      </c>
      <c r="E75" s="172" t="s">
        <v>281</v>
      </c>
      <c r="F75" s="172"/>
      <c r="G75" s="174"/>
      <c r="H75" s="174"/>
      <c r="I75" s="172">
        <f ca="1">IFERROR(__xludf.DUMMYFUNCTION("""COMPUTED_VALUE"""),0)</f>
        <v>0</v>
      </c>
      <c r="J75" s="172"/>
      <c r="K75" s="172"/>
      <c r="L75" s="172"/>
      <c r="M75" s="172"/>
      <c r="N75" s="172"/>
      <c r="O75" s="172"/>
      <c r="P75" s="172"/>
      <c r="Q75" s="172"/>
      <c r="R75" s="172"/>
      <c r="S75" s="172"/>
      <c r="T75" s="172"/>
      <c r="U75" s="172"/>
      <c r="V75" s="172"/>
      <c r="W75" s="172"/>
      <c r="X75" s="172"/>
      <c r="Y75" s="172"/>
      <c r="Z75" s="172"/>
      <c r="AA75" s="172"/>
    </row>
    <row r="76" spans="1:27" ht="16">
      <c r="A76" s="170" t="str">
        <f t="shared" ca="1" si="0"/>
        <v/>
      </c>
      <c r="B76" s="171" t="str">
        <f t="shared" ca="1" si="1"/>
        <v/>
      </c>
      <c r="C76" s="171" t="str">
        <f t="shared" ca="1" si="2"/>
        <v xml:space="preserve">Really enjoyed this course, and the series in general was better than I expected it would be.  </v>
      </c>
      <c r="D76" s="172">
        <f t="shared" ca="1" si="3"/>
        <v>1</v>
      </c>
      <c r="E76" s="172">
        <v>11</v>
      </c>
      <c r="F76" s="172"/>
      <c r="G76" s="174"/>
      <c r="H76" s="174"/>
      <c r="I76" s="172">
        <f ca="1">IFERROR(__xludf.DUMMYFUNCTION("""COMPUTED_VALUE"""),0)</f>
        <v>0</v>
      </c>
      <c r="J76" s="172"/>
      <c r="K76" s="172"/>
      <c r="L76" s="172"/>
      <c r="M76" s="172"/>
      <c r="N76" s="172"/>
      <c r="O76" s="172"/>
      <c r="P76" s="172"/>
      <c r="Q76" s="172"/>
      <c r="R76" s="172"/>
      <c r="S76" s="172"/>
      <c r="T76" s="172"/>
      <c r="U76" s="172"/>
      <c r="V76" s="172"/>
      <c r="W76" s="172"/>
      <c r="X76" s="172"/>
      <c r="Y76" s="172"/>
      <c r="Z76" s="172"/>
      <c r="AA76" s="172"/>
    </row>
    <row r="77" spans="1:27" ht="16">
      <c r="A77" s="170" t="str">
        <f t="shared" ca="1" si="0"/>
        <v/>
      </c>
      <c r="B77" s="171" t="str">
        <f t="shared" ca="1" si="1"/>
        <v/>
      </c>
      <c r="C77" s="171">
        <f t="shared" ca="1" si="2"/>
        <v>0</v>
      </c>
      <c r="D77" s="172">
        <f t="shared" ca="1" si="3"/>
        <v>1</v>
      </c>
      <c r="E77" s="172">
        <v>8</v>
      </c>
      <c r="F77" s="172"/>
      <c r="G77" s="174"/>
      <c r="H77" s="174"/>
      <c r="I77" s="172">
        <f ca="1">IFERROR(__xludf.DUMMYFUNCTION("""COMPUTED_VALUE"""),0)</f>
        <v>0</v>
      </c>
      <c r="J77" s="172"/>
      <c r="K77" s="172"/>
      <c r="L77" s="172"/>
      <c r="M77" s="172"/>
      <c r="N77" s="172"/>
      <c r="O77" s="172"/>
      <c r="P77" s="172"/>
      <c r="Q77" s="172"/>
      <c r="R77" s="172"/>
      <c r="S77" s="172"/>
      <c r="T77" s="172"/>
      <c r="U77" s="172"/>
      <c r="V77" s="172"/>
      <c r="W77" s="172"/>
      <c r="X77" s="172"/>
      <c r="Y77" s="172"/>
      <c r="Z77" s="172"/>
      <c r="AA77" s="172"/>
    </row>
    <row r="78" spans="1:27" ht="16">
      <c r="A78" s="170" t="str">
        <f t="shared" ca="1" si="0"/>
        <v/>
      </c>
      <c r="B78" s="171" t="str">
        <f t="shared" ca="1" si="1"/>
        <v/>
      </c>
      <c r="C78" s="171" t="str">
        <f t="shared" ca="1" si="2"/>
        <v/>
      </c>
      <c r="D78" s="172">
        <f t="shared" ca="1" si="3"/>
        <v>0</v>
      </c>
      <c r="E78" s="172" t="s">
        <v>281</v>
      </c>
      <c r="F78" s="172"/>
      <c r="G78" s="174"/>
      <c r="H78" s="174"/>
      <c r="I78" s="172">
        <f ca="1">IFERROR(__xludf.DUMMYFUNCTION("""COMPUTED_VALUE"""),0)</f>
        <v>0</v>
      </c>
      <c r="J78" s="172"/>
      <c r="K78" s="172"/>
      <c r="L78" s="172"/>
      <c r="M78" s="172"/>
      <c r="N78" s="172"/>
      <c r="O78" s="172"/>
      <c r="P78" s="172"/>
      <c r="Q78" s="172"/>
      <c r="R78" s="172"/>
      <c r="S78" s="172"/>
      <c r="T78" s="172"/>
      <c r="U78" s="172"/>
      <c r="V78" s="172"/>
      <c r="W78" s="172"/>
      <c r="X78" s="172"/>
      <c r="Y78" s="172"/>
      <c r="Z78" s="172"/>
      <c r="AA78" s="172"/>
    </row>
    <row r="79" spans="1:27" ht="16">
      <c r="A79" s="170" t="str">
        <f t="shared" ca="1" si="0"/>
        <v/>
      </c>
      <c r="B79" s="171" t="str">
        <f t="shared" ca="1" si="1"/>
        <v/>
      </c>
      <c r="C79" s="171" t="str">
        <f t="shared" ca="1" si="2"/>
        <v/>
      </c>
      <c r="D79" s="172">
        <f t="shared" ca="1" si="3"/>
        <v>0</v>
      </c>
      <c r="E79" s="172" t="s">
        <v>281</v>
      </c>
      <c r="F79" s="172"/>
      <c r="G79" s="174"/>
      <c r="H79" s="174"/>
      <c r="I79" s="172">
        <f ca="1">IFERROR(__xludf.DUMMYFUNCTION("""COMPUTED_VALUE"""),0)</f>
        <v>0</v>
      </c>
      <c r="J79" s="172"/>
      <c r="K79" s="172"/>
      <c r="L79" s="172"/>
      <c r="M79" s="172"/>
      <c r="N79" s="172"/>
      <c r="O79" s="172"/>
      <c r="P79" s="172"/>
      <c r="Q79" s="172"/>
      <c r="R79" s="172"/>
      <c r="S79" s="172"/>
      <c r="T79" s="172"/>
      <c r="U79" s="172"/>
      <c r="V79" s="172"/>
      <c r="W79" s="172"/>
      <c r="X79" s="172"/>
      <c r="Y79" s="172"/>
      <c r="Z79" s="172"/>
      <c r="AA79" s="172"/>
    </row>
    <row r="80" spans="1:27" ht="16">
      <c r="A80" s="170" t="str">
        <f t="shared" ca="1" si="0"/>
        <v/>
      </c>
      <c r="B80" s="171" t="str">
        <f t="shared" ca="1" si="1"/>
        <v/>
      </c>
      <c r="C80" s="171" t="str">
        <f t="shared" ca="1" si="2"/>
        <v/>
      </c>
      <c r="D80" s="172">
        <f t="shared" ca="1" si="3"/>
        <v>0</v>
      </c>
      <c r="E80" s="172" t="s">
        <v>281</v>
      </c>
      <c r="F80" s="172"/>
      <c r="G80" s="174"/>
      <c r="H80" s="174"/>
      <c r="I80" s="172">
        <f ca="1">IFERROR(__xludf.DUMMYFUNCTION("""COMPUTED_VALUE"""),0)</f>
        <v>0</v>
      </c>
      <c r="J80" s="172"/>
      <c r="K80" s="172"/>
      <c r="L80" s="172"/>
      <c r="M80" s="172"/>
      <c r="N80" s="172"/>
      <c r="O80" s="172"/>
      <c r="P80" s="172"/>
      <c r="Q80" s="172"/>
      <c r="R80" s="172"/>
      <c r="S80" s="172"/>
      <c r="T80" s="172"/>
      <c r="U80" s="172"/>
      <c r="V80" s="172"/>
      <c r="W80" s="172"/>
      <c r="X80" s="172"/>
      <c r="Y80" s="172"/>
      <c r="Z80" s="172"/>
      <c r="AA80" s="172"/>
    </row>
    <row r="81" spans="1:27" ht="16">
      <c r="A81" s="170" t="str">
        <f t="shared" ca="1" si="0"/>
        <v/>
      </c>
      <c r="B81" s="171" t="str">
        <f t="shared" ca="1" si="1"/>
        <v/>
      </c>
      <c r="C81" s="171" t="str">
        <f t="shared" ca="1" si="2"/>
        <v/>
      </c>
      <c r="D81" s="172">
        <f t="shared" ca="1" si="3"/>
        <v>0</v>
      </c>
      <c r="E81" s="172" t="s">
        <v>281</v>
      </c>
      <c r="F81" s="172"/>
      <c r="G81" s="174"/>
      <c r="H81" s="174"/>
      <c r="I81" s="172">
        <f ca="1">IFERROR(__xludf.DUMMYFUNCTION("""COMPUTED_VALUE"""),0)</f>
        <v>0</v>
      </c>
      <c r="J81" s="172"/>
      <c r="K81" s="172"/>
      <c r="L81" s="172"/>
      <c r="M81" s="172"/>
      <c r="N81" s="172"/>
      <c r="O81" s="172"/>
      <c r="P81" s="172"/>
      <c r="Q81" s="172"/>
      <c r="R81" s="172"/>
      <c r="S81" s="172"/>
      <c r="T81" s="172"/>
      <c r="U81" s="172"/>
      <c r="V81" s="172"/>
      <c r="W81" s="172"/>
      <c r="X81" s="172"/>
      <c r="Y81" s="172"/>
      <c r="Z81" s="172"/>
      <c r="AA81" s="172"/>
    </row>
    <row r="82" spans="1:27" ht="16">
      <c r="A82" s="170" t="str">
        <f t="shared" ca="1" si="0"/>
        <v/>
      </c>
      <c r="B82" s="171" t="str">
        <f t="shared" ca="1" si="1"/>
        <v/>
      </c>
      <c r="C82" s="171" t="str">
        <f t="shared" ca="1" si="2"/>
        <v/>
      </c>
      <c r="D82" s="172">
        <f t="shared" ca="1" si="3"/>
        <v>0</v>
      </c>
      <c r="E82" s="172" t="s">
        <v>281</v>
      </c>
      <c r="F82" s="172"/>
      <c r="G82" s="174"/>
      <c r="H82" s="174"/>
      <c r="I82" s="172">
        <f ca="1">IFERROR(__xludf.DUMMYFUNCTION("""COMPUTED_VALUE"""),0)</f>
        <v>0</v>
      </c>
      <c r="J82" s="172"/>
      <c r="K82" s="172"/>
      <c r="L82" s="172"/>
      <c r="M82" s="172"/>
      <c r="N82" s="172"/>
      <c r="O82" s="172"/>
      <c r="P82" s="172"/>
      <c r="Q82" s="172"/>
      <c r="R82" s="172"/>
      <c r="S82" s="172"/>
      <c r="T82" s="172"/>
      <c r="U82" s="172"/>
      <c r="V82" s="172"/>
      <c r="W82" s="172"/>
      <c r="X82" s="172"/>
      <c r="Y82" s="172"/>
      <c r="Z82" s="172"/>
      <c r="AA82" s="172"/>
    </row>
    <row r="83" spans="1:27" ht="16">
      <c r="A83" s="170" t="str">
        <f t="shared" ca="1" si="0"/>
        <v/>
      </c>
      <c r="B83" s="171" t="str">
        <f t="shared" ca="1" si="1"/>
        <v/>
      </c>
      <c r="C83" s="171" t="str">
        <f t="shared" ca="1" si="2"/>
        <v/>
      </c>
      <c r="D83" s="172">
        <f t="shared" ca="1" si="3"/>
        <v>0</v>
      </c>
      <c r="E83" s="172" t="s">
        <v>281</v>
      </c>
      <c r="F83" s="172"/>
      <c r="G83" s="174"/>
      <c r="H83" s="174"/>
      <c r="I83" s="172">
        <f ca="1">IFERROR(__xludf.DUMMYFUNCTION("""COMPUTED_VALUE"""),0)</f>
        <v>0</v>
      </c>
      <c r="J83" s="172"/>
      <c r="K83" s="172"/>
      <c r="L83" s="172"/>
      <c r="M83" s="172"/>
      <c r="N83" s="172"/>
      <c r="O83" s="172"/>
      <c r="P83" s="172"/>
      <c r="Q83" s="172"/>
      <c r="R83" s="172"/>
      <c r="S83" s="172"/>
      <c r="T83" s="172"/>
      <c r="U83" s="172"/>
      <c r="V83" s="172"/>
      <c r="W83" s="172"/>
      <c r="X83" s="172"/>
      <c r="Y83" s="172"/>
      <c r="Z83" s="172"/>
      <c r="AA83" s="172"/>
    </row>
    <row r="84" spans="1:27" ht="16">
      <c r="A84" s="170" t="str">
        <f t="shared" ca="1" si="0"/>
        <v/>
      </c>
      <c r="B84" s="171" t="str">
        <f t="shared" ca="1" si="1"/>
        <v/>
      </c>
      <c r="C84" s="171" t="str">
        <f t="shared" ca="1" si="2"/>
        <v/>
      </c>
      <c r="D84" s="172">
        <f t="shared" ca="1" si="3"/>
        <v>0</v>
      </c>
      <c r="E84" s="172" t="s">
        <v>281</v>
      </c>
      <c r="F84" s="172"/>
      <c r="G84" s="174"/>
      <c r="H84" s="174"/>
      <c r="I84" s="172">
        <f ca="1">IFERROR(__xludf.DUMMYFUNCTION("""COMPUTED_VALUE"""),0)</f>
        <v>0</v>
      </c>
      <c r="J84" s="172"/>
      <c r="K84" s="172"/>
      <c r="L84" s="172"/>
      <c r="M84" s="172"/>
      <c r="N84" s="172"/>
      <c r="O84" s="172"/>
      <c r="P84" s="172"/>
      <c r="Q84" s="172"/>
      <c r="R84" s="172"/>
      <c r="S84" s="172"/>
      <c r="T84" s="172"/>
      <c r="U84" s="172"/>
      <c r="V84" s="172"/>
      <c r="W84" s="172"/>
      <c r="X84" s="172"/>
      <c r="Y84" s="172"/>
      <c r="Z84" s="172"/>
      <c r="AA84" s="172"/>
    </row>
    <row r="85" spans="1:27" ht="16">
      <c r="A85" s="170" t="str">
        <f t="shared" ca="1" si="0"/>
        <v/>
      </c>
      <c r="B85" s="171" t="str">
        <f t="shared" ca="1" si="1"/>
        <v/>
      </c>
      <c r="C85" s="171" t="str">
        <f t="shared" ca="1" si="2"/>
        <v/>
      </c>
      <c r="D85" s="172">
        <f t="shared" ca="1" si="3"/>
        <v>0</v>
      </c>
      <c r="E85" s="172" t="s">
        <v>281</v>
      </c>
      <c r="F85" s="172"/>
      <c r="G85" s="174"/>
      <c r="H85" s="174"/>
      <c r="I85" s="172">
        <f ca="1">IFERROR(__xludf.DUMMYFUNCTION("""COMPUTED_VALUE"""),0)</f>
        <v>0</v>
      </c>
      <c r="J85" s="172"/>
      <c r="K85" s="172"/>
      <c r="L85" s="172"/>
      <c r="M85" s="172"/>
      <c r="N85" s="172"/>
      <c r="O85" s="172"/>
      <c r="P85" s="172"/>
      <c r="Q85" s="172"/>
      <c r="R85" s="172"/>
      <c r="S85" s="172"/>
      <c r="T85" s="172"/>
      <c r="U85" s="172"/>
      <c r="V85" s="172"/>
      <c r="W85" s="172"/>
      <c r="X85" s="172"/>
      <c r="Y85" s="172"/>
      <c r="Z85" s="172"/>
      <c r="AA85" s="172"/>
    </row>
    <row r="86" spans="1:27" ht="16">
      <c r="A86" s="170" t="str">
        <f t="shared" ca="1" si="0"/>
        <v/>
      </c>
      <c r="B86" s="171" t="str">
        <f t="shared" ca="1" si="1"/>
        <v/>
      </c>
      <c r="C86" s="171" t="str">
        <f t="shared" ca="1" si="2"/>
        <v/>
      </c>
      <c r="D86" s="172">
        <f t="shared" ca="1" si="3"/>
        <v>0</v>
      </c>
      <c r="E86" s="172" t="s">
        <v>281</v>
      </c>
      <c r="F86" s="172"/>
      <c r="G86" s="174"/>
      <c r="H86" s="174"/>
      <c r="I86" s="172">
        <f ca="1">IFERROR(__xludf.DUMMYFUNCTION("""COMPUTED_VALUE"""),0)</f>
        <v>0</v>
      </c>
      <c r="J86" s="172"/>
      <c r="K86" s="172"/>
      <c r="L86" s="172"/>
      <c r="M86" s="172"/>
      <c r="N86" s="172"/>
      <c r="O86" s="172"/>
      <c r="P86" s="172"/>
      <c r="Q86" s="172"/>
      <c r="R86" s="172"/>
      <c r="S86" s="172"/>
      <c r="T86" s="172"/>
      <c r="U86" s="172"/>
      <c r="V86" s="172"/>
      <c r="W86" s="172"/>
      <c r="X86" s="172"/>
      <c r="Y86" s="172"/>
      <c r="Z86" s="172"/>
      <c r="AA86" s="172"/>
    </row>
    <row r="87" spans="1:27" ht="16">
      <c r="A87" s="170" t="str">
        <f t="shared" ca="1" si="0"/>
        <v/>
      </c>
      <c r="B87" s="171" t="str">
        <f t="shared" ca="1" si="1"/>
        <v/>
      </c>
      <c r="C87" s="171">
        <f t="shared" ca="1" si="2"/>
        <v>0</v>
      </c>
      <c r="D87" s="172">
        <f t="shared" ca="1" si="3"/>
        <v>1</v>
      </c>
      <c r="E87" s="172">
        <v>3</v>
      </c>
      <c r="F87" s="172"/>
      <c r="G87" s="174"/>
      <c r="H87" s="174"/>
      <c r="I87" s="172">
        <f ca="1">IFERROR(__xludf.DUMMYFUNCTION("""COMPUTED_VALUE"""),0)</f>
        <v>0</v>
      </c>
      <c r="J87" s="172"/>
      <c r="K87" s="172"/>
      <c r="L87" s="172"/>
      <c r="M87" s="172"/>
      <c r="N87" s="172"/>
      <c r="O87" s="172"/>
      <c r="P87" s="172"/>
      <c r="Q87" s="172"/>
      <c r="R87" s="172"/>
      <c r="S87" s="172"/>
      <c r="T87" s="172"/>
      <c r="U87" s="172"/>
      <c r="V87" s="172"/>
      <c r="W87" s="172"/>
      <c r="X87" s="172"/>
      <c r="Y87" s="172"/>
      <c r="Z87" s="172"/>
      <c r="AA87" s="172"/>
    </row>
    <row r="88" spans="1:27" ht="16">
      <c r="A88" s="170" t="str">
        <f t="shared" ca="1" si="0"/>
        <v/>
      </c>
      <c r="B88" s="171" t="str">
        <f t="shared" ca="1" si="1"/>
        <v/>
      </c>
      <c r="C88" s="171" t="str">
        <f t="shared" ca="1" si="2"/>
        <v/>
      </c>
      <c r="D88" s="172">
        <f t="shared" ca="1" si="3"/>
        <v>0</v>
      </c>
      <c r="E88" s="172" t="s">
        <v>281</v>
      </c>
      <c r="F88" s="172"/>
      <c r="G88" s="174"/>
      <c r="H88" s="174"/>
      <c r="I88" s="172">
        <f ca="1">IFERROR(__xludf.DUMMYFUNCTION("""COMPUTED_VALUE"""),0)</f>
        <v>0</v>
      </c>
      <c r="J88" s="172"/>
      <c r="K88" s="172"/>
      <c r="L88" s="172"/>
      <c r="M88" s="172"/>
      <c r="N88" s="172"/>
      <c r="O88" s="172"/>
      <c r="P88" s="172"/>
      <c r="Q88" s="172"/>
      <c r="R88" s="172"/>
      <c r="S88" s="172"/>
      <c r="T88" s="172"/>
      <c r="U88" s="172"/>
      <c r="V88" s="172"/>
      <c r="W88" s="172"/>
      <c r="X88" s="172"/>
      <c r="Y88" s="172"/>
      <c r="Z88" s="172"/>
      <c r="AA88" s="172"/>
    </row>
    <row r="89" spans="1:27" ht="16">
      <c r="A89" s="170" t="str">
        <f t="shared" ca="1" si="0"/>
        <v/>
      </c>
      <c r="B89" s="171" t="str">
        <f t="shared" ca="1" si="1"/>
        <v/>
      </c>
      <c r="C89" s="171" t="str">
        <f t="shared" ca="1" si="2"/>
        <v/>
      </c>
      <c r="D89" s="172">
        <f t="shared" ca="1" si="3"/>
        <v>0</v>
      </c>
      <c r="E89" s="172" t="s">
        <v>281</v>
      </c>
      <c r="F89" s="172"/>
      <c r="G89" s="174"/>
      <c r="H89" s="174"/>
      <c r="I89" s="172">
        <f ca="1">IFERROR(__xludf.DUMMYFUNCTION("""COMPUTED_VALUE"""),0)</f>
        <v>0</v>
      </c>
      <c r="J89" s="172"/>
      <c r="K89" s="172"/>
      <c r="L89" s="172"/>
      <c r="M89" s="172"/>
      <c r="N89" s="172"/>
      <c r="O89" s="172"/>
      <c r="P89" s="172"/>
      <c r="Q89" s="172"/>
      <c r="R89" s="172"/>
      <c r="S89" s="172"/>
      <c r="T89" s="172"/>
      <c r="U89" s="172"/>
      <c r="V89" s="172"/>
      <c r="W89" s="172"/>
      <c r="X89" s="172"/>
      <c r="Y89" s="172"/>
      <c r="Z89" s="172"/>
      <c r="AA89" s="172"/>
    </row>
    <row r="90" spans="1:27" ht="16">
      <c r="A90" s="170" t="str">
        <f t="shared" ca="1" si="0"/>
        <v/>
      </c>
      <c r="B90" s="171" t="str">
        <f t="shared" ca="1" si="1"/>
        <v/>
      </c>
      <c r="C90" s="171" t="str">
        <f t="shared" ca="1" si="2"/>
        <v/>
      </c>
      <c r="D90" s="172">
        <f t="shared" ca="1" si="3"/>
        <v>0</v>
      </c>
      <c r="E90" s="172" t="s">
        <v>281</v>
      </c>
      <c r="F90" s="172"/>
      <c r="G90" s="174"/>
      <c r="H90" s="174"/>
      <c r="I90" s="172">
        <f ca="1">IFERROR(__xludf.DUMMYFUNCTION("""COMPUTED_VALUE"""),0)</f>
        <v>0</v>
      </c>
      <c r="J90" s="172"/>
      <c r="K90" s="172"/>
      <c r="L90" s="172"/>
      <c r="M90" s="172"/>
      <c r="N90" s="172"/>
      <c r="O90" s="172"/>
      <c r="P90" s="172"/>
      <c r="Q90" s="172"/>
      <c r="R90" s="172"/>
      <c r="S90" s="172"/>
      <c r="T90" s="172"/>
      <c r="U90" s="172"/>
      <c r="V90" s="172"/>
      <c r="W90" s="172"/>
      <c r="X90" s="172"/>
      <c r="Y90" s="172"/>
      <c r="Z90" s="172"/>
      <c r="AA90" s="172"/>
    </row>
    <row r="91" spans="1:27" ht="16">
      <c r="A91" s="170" t="str">
        <f t="shared" ca="1" si="0"/>
        <v/>
      </c>
      <c r="B91" s="171" t="str">
        <f t="shared" ca="1" si="1"/>
        <v/>
      </c>
      <c r="C91" s="171" t="str">
        <f t="shared" ca="1" si="2"/>
        <v/>
      </c>
      <c r="D91" s="172">
        <f t="shared" ca="1" si="3"/>
        <v>0</v>
      </c>
      <c r="E91" s="172" t="s">
        <v>281</v>
      </c>
      <c r="F91" s="172"/>
      <c r="G91" s="174"/>
      <c r="H91" s="174"/>
      <c r="I91" s="172">
        <f ca="1">IFERROR(__xludf.DUMMYFUNCTION("""COMPUTED_VALUE"""),0)</f>
        <v>0</v>
      </c>
      <c r="J91" s="172"/>
      <c r="K91" s="172"/>
      <c r="L91" s="172"/>
      <c r="M91" s="172"/>
      <c r="N91" s="172"/>
      <c r="O91" s="172"/>
      <c r="P91" s="172"/>
      <c r="Q91" s="172"/>
      <c r="R91" s="172"/>
      <c r="S91" s="172"/>
      <c r="T91" s="172"/>
      <c r="U91" s="172"/>
      <c r="V91" s="172"/>
      <c r="W91" s="172"/>
      <c r="X91" s="172"/>
      <c r="Y91" s="172"/>
      <c r="Z91" s="172"/>
      <c r="AA91" s="172"/>
    </row>
    <row r="92" spans="1:27" ht="16">
      <c r="A92" s="170" t="str">
        <f t="shared" ca="1" si="0"/>
        <v/>
      </c>
      <c r="B92" s="171" t="str">
        <f t="shared" ca="1" si="1"/>
        <v/>
      </c>
      <c r="C92" s="171" t="str">
        <f t="shared" ca="1" si="2"/>
        <v/>
      </c>
      <c r="D92" s="172">
        <f t="shared" ca="1" si="3"/>
        <v>0</v>
      </c>
      <c r="E92" s="172" t="s">
        <v>281</v>
      </c>
      <c r="F92" s="172"/>
      <c r="G92" s="174"/>
      <c r="H92" s="174"/>
      <c r="I92" s="172">
        <f ca="1">IFERROR(__xludf.DUMMYFUNCTION("""COMPUTED_VALUE"""),0)</f>
        <v>0</v>
      </c>
      <c r="J92" s="172"/>
      <c r="K92" s="172"/>
      <c r="L92" s="172"/>
      <c r="M92" s="172"/>
      <c r="N92" s="172"/>
      <c r="O92" s="172"/>
      <c r="P92" s="172"/>
      <c r="Q92" s="172"/>
      <c r="R92" s="172"/>
      <c r="S92" s="172"/>
      <c r="T92" s="172"/>
      <c r="U92" s="172"/>
      <c r="V92" s="172"/>
      <c r="W92" s="172"/>
      <c r="X92" s="172"/>
      <c r="Y92" s="172"/>
      <c r="Z92" s="172"/>
      <c r="AA92" s="172"/>
    </row>
    <row r="93" spans="1:27" ht="16">
      <c r="A93" s="170" t="str">
        <f t="shared" ca="1" si="0"/>
        <v/>
      </c>
      <c r="B93" s="171" t="str">
        <f t="shared" ca="1" si="1"/>
        <v/>
      </c>
      <c r="C93" s="171" t="str">
        <f t="shared" ca="1" si="2"/>
        <v/>
      </c>
      <c r="D93" s="172">
        <f t="shared" ca="1" si="3"/>
        <v>0</v>
      </c>
      <c r="E93" s="172" t="s">
        <v>281</v>
      </c>
      <c r="F93" s="172"/>
      <c r="G93" s="174"/>
      <c r="H93" s="174"/>
      <c r="I93" s="172">
        <f ca="1">IFERROR(__xludf.DUMMYFUNCTION("""COMPUTED_VALUE"""),0)</f>
        <v>0</v>
      </c>
      <c r="J93" s="172"/>
      <c r="K93" s="172"/>
      <c r="L93" s="172"/>
      <c r="M93" s="172"/>
      <c r="N93" s="172"/>
      <c r="O93" s="172"/>
      <c r="P93" s="172"/>
      <c r="Q93" s="172"/>
      <c r="R93" s="172"/>
      <c r="S93" s="172"/>
      <c r="T93" s="172"/>
      <c r="U93" s="172"/>
      <c r="V93" s="172"/>
      <c r="W93" s="172"/>
      <c r="X93" s="172"/>
      <c r="Y93" s="172"/>
      <c r="Z93" s="172"/>
      <c r="AA93" s="172"/>
    </row>
    <row r="94" spans="1:27" ht="16">
      <c r="A94" s="170" t="str">
        <f t="shared" ca="1" si="0"/>
        <v/>
      </c>
      <c r="B94" s="171" t="str">
        <f t="shared" ca="1" si="1"/>
        <v/>
      </c>
      <c r="C94" s="171" t="str">
        <f t="shared" ca="1" si="2"/>
        <v/>
      </c>
      <c r="D94" s="172">
        <f t="shared" ca="1" si="3"/>
        <v>0</v>
      </c>
      <c r="E94" s="172" t="s">
        <v>281</v>
      </c>
      <c r="F94" s="172"/>
      <c r="G94" s="174"/>
      <c r="H94" s="174"/>
      <c r="I94" s="172">
        <f ca="1">IFERROR(__xludf.DUMMYFUNCTION("""COMPUTED_VALUE"""),0)</f>
        <v>0</v>
      </c>
      <c r="J94" s="172"/>
      <c r="K94" s="172"/>
      <c r="L94" s="172"/>
      <c r="M94" s="172"/>
      <c r="N94" s="172"/>
      <c r="O94" s="172"/>
      <c r="P94" s="172"/>
      <c r="Q94" s="172"/>
      <c r="R94" s="172"/>
      <c r="S94" s="172"/>
      <c r="T94" s="172"/>
      <c r="U94" s="172"/>
      <c r="V94" s="172"/>
      <c r="W94" s="172"/>
      <c r="X94" s="172"/>
      <c r="Y94" s="172"/>
      <c r="Z94" s="172"/>
      <c r="AA94" s="172"/>
    </row>
    <row r="95" spans="1:27" ht="16">
      <c r="A95" s="170" t="str">
        <f t="shared" ca="1" si="0"/>
        <v/>
      </c>
      <c r="B95" s="171" t="str">
        <f t="shared" ca="1" si="1"/>
        <v/>
      </c>
      <c r="C95" s="171" t="str">
        <f t="shared" ca="1" si="2"/>
        <v/>
      </c>
      <c r="D95" s="172">
        <f t="shared" ca="1" si="3"/>
        <v>0</v>
      </c>
      <c r="E95" s="172" t="s">
        <v>281</v>
      </c>
      <c r="F95" s="172"/>
      <c r="G95" s="174"/>
      <c r="H95" s="174"/>
      <c r="I95" s="172">
        <f ca="1">IFERROR(__xludf.DUMMYFUNCTION("""COMPUTED_VALUE"""),0)</f>
        <v>0</v>
      </c>
      <c r="J95" s="172"/>
      <c r="K95" s="172"/>
      <c r="L95" s="172"/>
      <c r="M95" s="172"/>
      <c r="N95" s="172"/>
      <c r="O95" s="172"/>
      <c r="P95" s="172"/>
      <c r="Q95" s="172"/>
      <c r="R95" s="172"/>
      <c r="S95" s="172"/>
      <c r="T95" s="172"/>
      <c r="U95" s="172"/>
      <c r="V95" s="172"/>
      <c r="W95" s="172"/>
      <c r="X95" s="172"/>
      <c r="Y95" s="172"/>
      <c r="Z95" s="172"/>
      <c r="AA95" s="172"/>
    </row>
    <row r="96" spans="1:27" ht="16">
      <c r="A96" s="170" t="str">
        <f t="shared" ca="1" si="0"/>
        <v/>
      </c>
      <c r="B96" s="171" t="str">
        <f t="shared" ca="1" si="1"/>
        <v/>
      </c>
      <c r="C96" s="171" t="str">
        <f t="shared" ca="1" si="2"/>
        <v/>
      </c>
      <c r="D96" s="172">
        <f t="shared" ca="1" si="3"/>
        <v>0</v>
      </c>
      <c r="E96" s="172" t="s">
        <v>281</v>
      </c>
      <c r="F96" s="172"/>
      <c r="G96" s="174"/>
      <c r="H96" s="174"/>
      <c r="I96" s="172">
        <f ca="1">IFERROR(__xludf.DUMMYFUNCTION("""COMPUTED_VALUE"""),0)</f>
        <v>0</v>
      </c>
      <c r="J96" s="172"/>
      <c r="K96" s="172"/>
      <c r="L96" s="172"/>
      <c r="M96" s="172"/>
      <c r="N96" s="172"/>
      <c r="O96" s="172"/>
      <c r="P96" s="172"/>
      <c r="Q96" s="172"/>
      <c r="R96" s="172"/>
      <c r="S96" s="172"/>
      <c r="T96" s="172"/>
      <c r="U96" s="172"/>
      <c r="V96" s="172"/>
      <c r="W96" s="172"/>
      <c r="X96" s="172"/>
      <c r="Y96" s="172"/>
      <c r="Z96" s="172"/>
      <c r="AA96" s="172"/>
    </row>
    <row r="97" spans="1:27" ht="16">
      <c r="A97" s="170" t="str">
        <f t="shared" ca="1" si="0"/>
        <v/>
      </c>
      <c r="B97" s="171" t="str">
        <f t="shared" ca="1" si="1"/>
        <v/>
      </c>
      <c r="C97" s="171" t="str">
        <f t="shared" ca="1" si="2"/>
        <v/>
      </c>
      <c r="D97" s="172">
        <f t="shared" ca="1" si="3"/>
        <v>0</v>
      </c>
      <c r="E97" s="172" t="s">
        <v>281</v>
      </c>
      <c r="F97" s="172"/>
      <c r="G97" s="174"/>
      <c r="H97" s="174"/>
      <c r="I97" s="172">
        <f ca="1">IFERROR(__xludf.DUMMYFUNCTION("""COMPUTED_VALUE"""),0)</f>
        <v>0</v>
      </c>
      <c r="J97" s="172"/>
      <c r="K97" s="172"/>
      <c r="L97" s="172"/>
      <c r="M97" s="172"/>
      <c r="N97" s="172"/>
      <c r="O97" s="172"/>
      <c r="P97" s="172"/>
      <c r="Q97" s="172"/>
      <c r="R97" s="172"/>
      <c r="S97" s="172"/>
      <c r="T97" s="172"/>
      <c r="U97" s="172"/>
      <c r="V97" s="172"/>
      <c r="W97" s="172"/>
      <c r="X97" s="172"/>
      <c r="Y97" s="172"/>
      <c r="Z97" s="172"/>
      <c r="AA97" s="172"/>
    </row>
    <row r="98" spans="1:27" ht="16">
      <c r="A98" s="170" t="str">
        <f t="shared" ca="1" si="0"/>
        <v/>
      </c>
      <c r="B98" s="171" t="str">
        <f t="shared" ca="1" si="1"/>
        <v/>
      </c>
      <c r="C98" s="171" t="str">
        <f t="shared" ca="1" si="2"/>
        <v/>
      </c>
      <c r="D98" s="172">
        <f t="shared" ca="1" si="3"/>
        <v>0</v>
      </c>
      <c r="E98" s="172" t="s">
        <v>281</v>
      </c>
      <c r="F98" s="172"/>
      <c r="G98" s="174"/>
      <c r="H98" s="174"/>
      <c r="I98" s="172">
        <f ca="1">IFERROR(__xludf.DUMMYFUNCTION("""COMPUTED_VALUE"""),0)</f>
        <v>0</v>
      </c>
      <c r="J98" s="172"/>
      <c r="K98" s="172"/>
      <c r="L98" s="172"/>
      <c r="M98" s="172"/>
      <c r="N98" s="172"/>
      <c r="O98" s="172"/>
      <c r="P98" s="172"/>
      <c r="Q98" s="172"/>
      <c r="R98" s="172"/>
      <c r="S98" s="172"/>
      <c r="T98" s="172"/>
      <c r="U98" s="172"/>
      <c r="V98" s="172"/>
      <c r="W98" s="172"/>
      <c r="X98" s="172"/>
      <c r="Y98" s="172"/>
      <c r="Z98" s="172"/>
      <c r="AA98" s="172"/>
    </row>
    <row r="99" spans="1:27" ht="16">
      <c r="A99" s="170" t="str">
        <f t="shared" ca="1" si="0"/>
        <v/>
      </c>
      <c r="B99" s="171" t="str">
        <f t="shared" ca="1" si="1"/>
        <v/>
      </c>
      <c r="C99" s="171" t="str">
        <f t="shared" ca="1" si="2"/>
        <v/>
      </c>
      <c r="D99" s="172">
        <f t="shared" ca="1" si="3"/>
        <v>0</v>
      </c>
      <c r="E99" s="172" t="s">
        <v>281</v>
      </c>
      <c r="F99" s="172"/>
      <c r="G99" s="174"/>
      <c r="H99" s="174"/>
      <c r="I99" s="172">
        <f ca="1">IFERROR(__xludf.DUMMYFUNCTION("""COMPUTED_VALUE"""),0)</f>
        <v>0</v>
      </c>
      <c r="J99" s="172"/>
      <c r="K99" s="172"/>
      <c r="L99" s="172"/>
      <c r="M99" s="172"/>
      <c r="N99" s="172"/>
      <c r="O99" s="172"/>
      <c r="P99" s="172"/>
      <c r="Q99" s="172"/>
      <c r="R99" s="172"/>
      <c r="S99" s="172"/>
      <c r="T99" s="172"/>
      <c r="U99" s="172"/>
      <c r="V99" s="172"/>
      <c r="W99" s="172"/>
      <c r="X99" s="172"/>
      <c r="Y99" s="172"/>
      <c r="Z99" s="172"/>
      <c r="AA99" s="172"/>
    </row>
    <row r="100" spans="1:27" ht="16">
      <c r="A100" s="170" t="str">
        <f t="shared" ca="1" si="0"/>
        <v/>
      </c>
      <c r="B100" s="171" t="str">
        <f t="shared" ca="1" si="1"/>
        <v/>
      </c>
      <c r="C100" s="171" t="str">
        <f t="shared" ca="1" si="2"/>
        <v/>
      </c>
      <c r="D100" s="172">
        <f t="shared" ca="1" si="3"/>
        <v>0</v>
      </c>
      <c r="E100" s="172" t="s">
        <v>281</v>
      </c>
      <c r="F100" s="172"/>
      <c r="G100" s="174"/>
      <c r="H100" s="174"/>
      <c r="I100" s="172">
        <f ca="1">IFERROR(__xludf.DUMMYFUNCTION("""COMPUTED_VALUE"""),0)</f>
        <v>0</v>
      </c>
      <c r="J100" s="172"/>
      <c r="K100" s="172"/>
      <c r="L100" s="172"/>
      <c r="M100" s="172"/>
      <c r="N100" s="172"/>
      <c r="O100" s="172"/>
      <c r="P100" s="172"/>
      <c r="Q100" s="172"/>
      <c r="R100" s="172"/>
      <c r="S100" s="172"/>
      <c r="T100" s="172"/>
      <c r="U100" s="172"/>
      <c r="V100" s="172"/>
      <c r="W100" s="172"/>
      <c r="X100" s="172"/>
      <c r="Y100" s="172"/>
      <c r="Z100" s="172"/>
      <c r="AA100" s="172"/>
    </row>
    <row r="101" spans="1:27" ht="16">
      <c r="A101" s="170" t="str">
        <f t="shared" ca="1" si="0"/>
        <v/>
      </c>
      <c r="B101" s="171" t="str">
        <f t="shared" ca="1" si="1"/>
        <v/>
      </c>
      <c r="C101" s="171" t="str">
        <f t="shared" ca="1" si="2"/>
        <v/>
      </c>
      <c r="D101" s="172">
        <f t="shared" ca="1" si="3"/>
        <v>0</v>
      </c>
      <c r="E101" s="172" t="s">
        <v>281</v>
      </c>
      <c r="F101" s="172"/>
      <c r="G101" s="174"/>
      <c r="H101" s="174"/>
      <c r="I101" s="172">
        <f ca="1">IFERROR(__xludf.DUMMYFUNCTION("""COMPUTED_VALUE"""),0)</f>
        <v>0</v>
      </c>
      <c r="J101" s="172"/>
      <c r="K101" s="172"/>
      <c r="L101" s="172"/>
      <c r="M101" s="172"/>
      <c r="N101" s="172"/>
      <c r="O101" s="172"/>
      <c r="P101" s="172"/>
      <c r="Q101" s="172"/>
      <c r="R101" s="172"/>
      <c r="S101" s="172"/>
      <c r="T101" s="172"/>
      <c r="U101" s="172"/>
      <c r="V101" s="172"/>
      <c r="W101" s="172"/>
      <c r="X101" s="172"/>
      <c r="Y101" s="172"/>
      <c r="Z101" s="172"/>
      <c r="AA101" s="172"/>
    </row>
    <row r="102" spans="1:27" ht="16">
      <c r="A102" s="170" t="str">
        <f t="shared" ca="1" si="0"/>
        <v/>
      </c>
      <c r="B102" s="171" t="str">
        <f t="shared" ca="1" si="1"/>
        <v/>
      </c>
      <c r="C102" s="171" t="str">
        <f t="shared" ca="1" si="2"/>
        <v/>
      </c>
      <c r="D102" s="172">
        <f t="shared" ca="1" si="3"/>
        <v>0</v>
      </c>
      <c r="E102" s="172" t="s">
        <v>281</v>
      </c>
      <c r="F102" s="172"/>
      <c r="G102" s="174"/>
      <c r="H102" s="174"/>
      <c r="I102" s="172">
        <f ca="1">IFERROR(__xludf.DUMMYFUNCTION("""COMPUTED_VALUE"""),0)</f>
        <v>0</v>
      </c>
      <c r="J102" s="172"/>
      <c r="K102" s="172"/>
      <c r="L102" s="172"/>
      <c r="M102" s="172"/>
      <c r="N102" s="172"/>
      <c r="O102" s="172"/>
      <c r="P102" s="172"/>
      <c r="Q102" s="172"/>
      <c r="R102" s="172"/>
      <c r="S102" s="172"/>
      <c r="T102" s="172"/>
      <c r="U102" s="172"/>
      <c r="V102" s="172"/>
      <c r="W102" s="172"/>
      <c r="X102" s="172"/>
      <c r="Y102" s="172"/>
      <c r="Z102" s="172"/>
      <c r="AA102" s="172"/>
    </row>
    <row r="103" spans="1:27" ht="16">
      <c r="A103" s="170" t="str">
        <f t="shared" ca="1" si="0"/>
        <v/>
      </c>
      <c r="B103" s="171" t="str">
        <f t="shared" ca="1" si="1"/>
        <v/>
      </c>
      <c r="C103" s="171" t="str">
        <f t="shared" ca="1" si="2"/>
        <v/>
      </c>
      <c r="D103" s="172">
        <f t="shared" ca="1" si="3"/>
        <v>0</v>
      </c>
      <c r="E103" s="172" t="s">
        <v>281</v>
      </c>
      <c r="F103" s="172"/>
      <c r="G103" s="174"/>
      <c r="H103" s="174"/>
      <c r="I103" s="172">
        <f ca="1">IFERROR(__xludf.DUMMYFUNCTION("""COMPUTED_VALUE"""),0)</f>
        <v>0</v>
      </c>
      <c r="J103" s="172"/>
      <c r="K103" s="172"/>
      <c r="L103" s="172"/>
      <c r="M103" s="172"/>
      <c r="N103" s="172"/>
      <c r="O103" s="172"/>
      <c r="P103" s="172"/>
      <c r="Q103" s="172"/>
      <c r="R103" s="172"/>
      <c r="S103" s="172"/>
      <c r="T103" s="172"/>
      <c r="U103" s="172"/>
      <c r="V103" s="172"/>
      <c r="W103" s="172"/>
      <c r="X103" s="172"/>
      <c r="Y103" s="172"/>
      <c r="Z103" s="172"/>
      <c r="AA103" s="172"/>
    </row>
    <row r="104" spans="1:27" ht="16">
      <c r="A104" s="170" t="str">
        <f t="shared" ca="1" si="0"/>
        <v/>
      </c>
      <c r="B104" s="171" t="str">
        <f t="shared" ca="1" si="1"/>
        <v/>
      </c>
      <c r="C104" s="171" t="str">
        <f t="shared" ca="1" si="2"/>
        <v/>
      </c>
      <c r="D104" s="172">
        <f t="shared" ca="1" si="3"/>
        <v>0</v>
      </c>
      <c r="E104" s="172" t="s">
        <v>281</v>
      </c>
      <c r="F104" s="172"/>
      <c r="G104" s="174"/>
      <c r="H104" s="174"/>
      <c r="I104" s="172">
        <f ca="1">IFERROR(__xludf.DUMMYFUNCTION("""COMPUTED_VALUE"""),0)</f>
        <v>0</v>
      </c>
      <c r="J104" s="172"/>
      <c r="K104" s="172"/>
      <c r="L104" s="172"/>
      <c r="M104" s="172"/>
      <c r="N104" s="172"/>
      <c r="O104" s="172"/>
      <c r="P104" s="172"/>
      <c r="Q104" s="172"/>
      <c r="R104" s="172"/>
      <c r="S104" s="172"/>
      <c r="T104" s="172"/>
      <c r="U104" s="172"/>
      <c r="V104" s="172"/>
      <c r="W104" s="172"/>
      <c r="X104" s="172"/>
      <c r="Y104" s="172"/>
      <c r="Z104" s="172"/>
      <c r="AA104" s="172"/>
    </row>
    <row r="105" spans="1:27" ht="16">
      <c r="A105" s="170" t="str">
        <f t="shared" ca="1" si="0"/>
        <v/>
      </c>
      <c r="B105" s="171" t="str">
        <f t="shared" ca="1" si="1"/>
        <v/>
      </c>
      <c r="C105" s="171" t="str">
        <f t="shared" ca="1" si="2"/>
        <v/>
      </c>
      <c r="D105" s="172">
        <f t="shared" ca="1" si="3"/>
        <v>0</v>
      </c>
      <c r="E105" s="172" t="s">
        <v>281</v>
      </c>
      <c r="F105" s="172"/>
      <c r="G105" s="174"/>
      <c r="H105" s="174"/>
      <c r="I105" s="172">
        <f ca="1">IFERROR(__xludf.DUMMYFUNCTION("""COMPUTED_VALUE"""),0)</f>
        <v>0</v>
      </c>
      <c r="J105" s="172"/>
      <c r="K105" s="172"/>
      <c r="L105" s="172"/>
      <c r="M105" s="172"/>
      <c r="N105" s="172"/>
      <c r="O105" s="172"/>
      <c r="P105" s="172"/>
      <c r="Q105" s="172"/>
      <c r="R105" s="172"/>
      <c r="S105" s="172"/>
      <c r="T105" s="172"/>
      <c r="U105" s="172"/>
      <c r="V105" s="172"/>
      <c r="W105" s="172"/>
      <c r="X105" s="172"/>
      <c r="Y105" s="172"/>
      <c r="Z105" s="172"/>
      <c r="AA105" s="172"/>
    </row>
    <row r="106" spans="1:27" ht="16">
      <c r="A106" s="170" t="str">
        <f t="shared" ca="1" si="0"/>
        <v/>
      </c>
      <c r="B106" s="171" t="str">
        <f t="shared" ca="1" si="1"/>
        <v/>
      </c>
      <c r="C106" s="171" t="str">
        <f t="shared" ca="1" si="2"/>
        <v/>
      </c>
      <c r="D106" s="172">
        <f t="shared" ca="1" si="3"/>
        <v>0</v>
      </c>
      <c r="E106" s="172" t="s">
        <v>281</v>
      </c>
      <c r="F106" s="172"/>
      <c r="G106" s="174"/>
      <c r="H106" s="174"/>
      <c r="I106" s="172">
        <f ca="1">IFERROR(__xludf.DUMMYFUNCTION("""COMPUTED_VALUE"""),0)</f>
        <v>0</v>
      </c>
      <c r="J106" s="172"/>
      <c r="K106" s="172"/>
      <c r="L106" s="172"/>
      <c r="M106" s="172"/>
      <c r="N106" s="172"/>
      <c r="O106" s="172"/>
      <c r="P106" s="172"/>
      <c r="Q106" s="172"/>
      <c r="R106" s="172"/>
      <c r="S106" s="172"/>
      <c r="T106" s="172"/>
      <c r="U106" s="172"/>
      <c r="V106" s="172"/>
      <c r="W106" s="172"/>
      <c r="X106" s="172"/>
      <c r="Y106" s="172"/>
      <c r="Z106" s="172"/>
      <c r="AA106" s="172"/>
    </row>
    <row r="107" spans="1:27" ht="16">
      <c r="A107" s="170" t="str">
        <f t="shared" ca="1" si="0"/>
        <v/>
      </c>
      <c r="B107" s="171" t="str">
        <f t="shared" ca="1" si="1"/>
        <v/>
      </c>
      <c r="C107" s="171" t="str">
        <f t="shared" ca="1" si="2"/>
        <v/>
      </c>
      <c r="D107" s="172">
        <f t="shared" ca="1" si="3"/>
        <v>0</v>
      </c>
      <c r="E107" s="172" t="s">
        <v>281</v>
      </c>
      <c r="F107" s="172"/>
      <c r="G107" s="174"/>
      <c r="H107" s="174"/>
      <c r="I107" s="172">
        <f ca="1">IFERROR(__xludf.DUMMYFUNCTION("""COMPUTED_VALUE"""),0)</f>
        <v>0</v>
      </c>
      <c r="J107" s="172"/>
      <c r="K107" s="172"/>
      <c r="L107" s="172"/>
      <c r="M107" s="172"/>
      <c r="N107" s="172"/>
      <c r="O107" s="172"/>
      <c r="P107" s="172"/>
      <c r="Q107" s="172"/>
      <c r="R107" s="172"/>
      <c r="S107" s="172"/>
      <c r="T107" s="172"/>
      <c r="U107" s="172"/>
      <c r="V107" s="172"/>
      <c r="W107" s="172"/>
      <c r="X107" s="172"/>
      <c r="Y107" s="172"/>
      <c r="Z107" s="172"/>
      <c r="AA107" s="172"/>
    </row>
    <row r="108" spans="1:27" ht="16">
      <c r="A108" s="170" t="str">
        <f t="shared" ca="1" si="0"/>
        <v/>
      </c>
      <c r="B108" s="171" t="str">
        <f t="shared" ca="1" si="1"/>
        <v/>
      </c>
      <c r="C108" s="171" t="str">
        <f t="shared" ca="1" si="2"/>
        <v/>
      </c>
      <c r="D108" s="172">
        <f t="shared" ca="1" si="3"/>
        <v>0</v>
      </c>
      <c r="E108" s="172" t="s">
        <v>281</v>
      </c>
      <c r="F108" s="172"/>
      <c r="G108" s="174"/>
      <c r="H108" s="174"/>
      <c r="I108" s="172">
        <f ca="1">IFERROR(__xludf.DUMMYFUNCTION("""COMPUTED_VALUE"""),0)</f>
        <v>0</v>
      </c>
      <c r="J108" s="172"/>
      <c r="K108" s="172"/>
      <c r="L108" s="172"/>
      <c r="M108" s="172"/>
      <c r="N108" s="172"/>
      <c r="O108" s="172"/>
      <c r="P108" s="172"/>
      <c r="Q108" s="172"/>
      <c r="R108" s="172"/>
      <c r="S108" s="172"/>
      <c r="T108" s="172"/>
      <c r="U108" s="172"/>
      <c r="V108" s="172"/>
      <c r="W108" s="172"/>
      <c r="X108" s="172"/>
      <c r="Y108" s="172"/>
      <c r="Z108" s="172"/>
      <c r="AA108" s="172"/>
    </row>
    <row r="109" spans="1:27" ht="16">
      <c r="A109" s="170" t="str">
        <f t="shared" ca="1" si="0"/>
        <v/>
      </c>
      <c r="B109" s="171" t="str">
        <f t="shared" ca="1" si="1"/>
        <v/>
      </c>
      <c r="C109" s="171" t="str">
        <f t="shared" ca="1" si="2"/>
        <v/>
      </c>
      <c r="D109" s="172">
        <f t="shared" ca="1" si="3"/>
        <v>0</v>
      </c>
      <c r="E109" s="172" t="s">
        <v>281</v>
      </c>
      <c r="F109" s="172"/>
      <c r="G109" s="174"/>
      <c r="H109" s="174"/>
      <c r="I109" s="172">
        <f ca="1">IFERROR(__xludf.DUMMYFUNCTION("""COMPUTED_VALUE"""),0)</f>
        <v>0</v>
      </c>
      <c r="J109" s="172"/>
      <c r="K109" s="172"/>
      <c r="L109" s="172"/>
      <c r="M109" s="172"/>
      <c r="N109" s="172"/>
      <c r="O109" s="172"/>
      <c r="P109" s="172"/>
      <c r="Q109" s="172"/>
      <c r="R109" s="172"/>
      <c r="S109" s="172"/>
      <c r="T109" s="172"/>
      <c r="U109" s="172"/>
      <c r="V109" s="172"/>
      <c r="W109" s="172"/>
      <c r="X109" s="172"/>
      <c r="Y109" s="172"/>
      <c r="Z109" s="172"/>
      <c r="AA109" s="172"/>
    </row>
    <row r="110" spans="1:27" ht="16">
      <c r="A110" s="170" t="str">
        <f t="shared" ca="1" si="0"/>
        <v/>
      </c>
      <c r="B110" s="171" t="str">
        <f t="shared" ca="1" si="1"/>
        <v/>
      </c>
      <c r="C110" s="171" t="str">
        <f t="shared" ca="1" si="2"/>
        <v/>
      </c>
      <c r="D110" s="172">
        <f t="shared" ca="1" si="3"/>
        <v>0</v>
      </c>
      <c r="E110" s="172" t="s">
        <v>281</v>
      </c>
      <c r="F110" s="172"/>
      <c r="G110" s="174"/>
      <c r="H110" s="174"/>
      <c r="I110" s="172">
        <f ca="1">IFERROR(__xludf.DUMMYFUNCTION("""COMPUTED_VALUE"""),0)</f>
        <v>0</v>
      </c>
      <c r="J110" s="172"/>
      <c r="K110" s="172"/>
      <c r="L110" s="172"/>
      <c r="M110" s="172"/>
      <c r="N110" s="172"/>
      <c r="O110" s="172"/>
      <c r="P110" s="172"/>
      <c r="Q110" s="172"/>
      <c r="R110" s="172"/>
      <c r="S110" s="172"/>
      <c r="T110" s="172"/>
      <c r="U110" s="172"/>
      <c r="V110" s="172"/>
      <c r="W110" s="172"/>
      <c r="X110" s="172"/>
      <c r="Y110" s="172"/>
      <c r="Z110" s="172"/>
      <c r="AA110" s="172"/>
    </row>
    <row r="111" spans="1:27" ht="16">
      <c r="A111" s="170" t="str">
        <f t="shared" ca="1" si="0"/>
        <v/>
      </c>
      <c r="B111" s="171" t="str">
        <f t="shared" ca="1" si="1"/>
        <v/>
      </c>
      <c r="C111" s="171" t="str">
        <f t="shared" ca="1" si="2"/>
        <v/>
      </c>
      <c r="D111" s="172">
        <f t="shared" ca="1" si="3"/>
        <v>0</v>
      </c>
      <c r="E111" s="172" t="s">
        <v>281</v>
      </c>
      <c r="F111" s="172"/>
      <c r="G111" s="174"/>
      <c r="H111" s="174"/>
      <c r="I111" s="172">
        <f ca="1">IFERROR(__xludf.DUMMYFUNCTION("""COMPUTED_VALUE"""),0)</f>
        <v>0</v>
      </c>
      <c r="J111" s="172"/>
      <c r="K111" s="172"/>
      <c r="L111" s="172"/>
      <c r="M111" s="172"/>
      <c r="N111" s="172"/>
      <c r="O111" s="172"/>
      <c r="P111" s="172"/>
      <c r="Q111" s="172"/>
      <c r="R111" s="172"/>
      <c r="S111" s="172"/>
      <c r="T111" s="172"/>
      <c r="U111" s="172"/>
      <c r="V111" s="172"/>
      <c r="W111" s="172"/>
      <c r="X111" s="172"/>
      <c r="Y111" s="172"/>
      <c r="Z111" s="172"/>
      <c r="AA111" s="172"/>
    </row>
    <row r="112" spans="1:27" ht="16">
      <c r="A112" s="170" t="str">
        <f t="shared" ca="1" si="0"/>
        <v/>
      </c>
      <c r="B112" s="171" t="str">
        <f t="shared" ca="1" si="1"/>
        <v/>
      </c>
      <c r="C112" s="171" t="str">
        <f t="shared" ca="1" si="2"/>
        <v/>
      </c>
      <c r="D112" s="172">
        <f t="shared" ca="1" si="3"/>
        <v>0</v>
      </c>
      <c r="E112" s="172" t="s">
        <v>281</v>
      </c>
      <c r="F112" s="172"/>
      <c r="G112" s="174"/>
      <c r="H112" s="174"/>
      <c r="I112" s="172">
        <f ca="1">IFERROR(__xludf.DUMMYFUNCTION("""COMPUTED_VALUE"""),0)</f>
        <v>0</v>
      </c>
      <c r="J112" s="172"/>
      <c r="K112" s="172"/>
      <c r="L112" s="172"/>
      <c r="M112" s="172"/>
      <c r="N112" s="172"/>
      <c r="O112" s="172"/>
      <c r="P112" s="172"/>
      <c r="Q112" s="172"/>
      <c r="R112" s="172"/>
      <c r="S112" s="172"/>
      <c r="T112" s="172"/>
      <c r="U112" s="172"/>
      <c r="V112" s="172"/>
      <c r="W112" s="172"/>
      <c r="X112" s="172"/>
      <c r="Y112" s="172"/>
      <c r="Z112" s="172"/>
      <c r="AA112" s="172"/>
    </row>
    <row r="113" spans="1:27" ht="16">
      <c r="A113" s="170" t="str">
        <f t="shared" ca="1" si="0"/>
        <v/>
      </c>
      <c r="B113" s="171" t="str">
        <f t="shared" ca="1" si="1"/>
        <v/>
      </c>
      <c r="C113" s="171" t="str">
        <f t="shared" ca="1" si="2"/>
        <v/>
      </c>
      <c r="D113" s="172">
        <f t="shared" ca="1" si="3"/>
        <v>0</v>
      </c>
      <c r="E113" s="172" t="s">
        <v>281</v>
      </c>
      <c r="F113" s="172"/>
      <c r="G113" s="174"/>
      <c r="H113" s="174"/>
      <c r="I113" s="172">
        <f ca="1">IFERROR(__xludf.DUMMYFUNCTION("""COMPUTED_VALUE"""),0)</f>
        <v>0</v>
      </c>
      <c r="J113" s="172"/>
      <c r="K113" s="172"/>
      <c r="L113" s="172"/>
      <c r="M113" s="172"/>
      <c r="N113" s="172"/>
      <c r="O113" s="172"/>
      <c r="P113" s="172"/>
      <c r="Q113" s="172"/>
      <c r="R113" s="172"/>
      <c r="S113" s="172"/>
      <c r="T113" s="172"/>
      <c r="U113" s="172"/>
      <c r="V113" s="172"/>
      <c r="W113" s="172"/>
      <c r="X113" s="172"/>
      <c r="Y113" s="172"/>
      <c r="Z113" s="172"/>
      <c r="AA113" s="172"/>
    </row>
    <row r="114" spans="1:27" ht="16">
      <c r="A114" s="170" t="str">
        <f t="shared" ca="1" si="0"/>
        <v/>
      </c>
      <c r="B114" s="171" t="str">
        <f t="shared" ca="1" si="1"/>
        <v/>
      </c>
      <c r="C114" s="171" t="str">
        <f t="shared" ca="1" si="2"/>
        <v/>
      </c>
      <c r="D114" s="172">
        <f t="shared" ca="1" si="3"/>
        <v>0</v>
      </c>
      <c r="E114" s="172" t="s">
        <v>281</v>
      </c>
      <c r="F114" s="172"/>
      <c r="G114" s="174"/>
      <c r="H114" s="174"/>
      <c r="I114" s="172">
        <f ca="1">IFERROR(__xludf.DUMMYFUNCTION("""COMPUTED_VALUE"""),0)</f>
        <v>0</v>
      </c>
      <c r="J114" s="172"/>
      <c r="K114" s="172"/>
      <c r="L114" s="172"/>
      <c r="M114" s="172"/>
      <c r="N114" s="172"/>
      <c r="O114" s="172"/>
      <c r="P114" s="172"/>
      <c r="Q114" s="172"/>
      <c r="R114" s="172"/>
      <c r="S114" s="172"/>
      <c r="T114" s="172"/>
      <c r="U114" s="172"/>
      <c r="V114" s="172"/>
      <c r="W114" s="172"/>
      <c r="X114" s="172"/>
      <c r="Y114" s="172"/>
      <c r="Z114" s="172"/>
      <c r="AA114" s="172"/>
    </row>
    <row r="115" spans="1:27" ht="16">
      <c r="A115" s="170" t="str">
        <f t="shared" ca="1" si="0"/>
        <v/>
      </c>
      <c r="B115" s="171" t="str">
        <f t="shared" ca="1" si="1"/>
        <v/>
      </c>
      <c r="C115" s="171" t="str">
        <f t="shared" ca="1" si="2"/>
        <v/>
      </c>
      <c r="D115" s="172">
        <f t="shared" ca="1" si="3"/>
        <v>0</v>
      </c>
      <c r="E115" s="172" t="s">
        <v>281</v>
      </c>
      <c r="F115" s="172"/>
      <c r="G115" s="174"/>
      <c r="H115" s="174"/>
      <c r="I115" s="172">
        <f ca="1">IFERROR(__xludf.DUMMYFUNCTION("""COMPUTED_VALUE"""),0)</f>
        <v>0</v>
      </c>
      <c r="J115" s="172"/>
      <c r="K115" s="172"/>
      <c r="L115" s="172"/>
      <c r="M115" s="172"/>
      <c r="N115" s="172"/>
      <c r="O115" s="172"/>
      <c r="P115" s="172"/>
      <c r="Q115" s="172"/>
      <c r="R115" s="172"/>
      <c r="S115" s="172"/>
      <c r="T115" s="172"/>
      <c r="U115" s="172"/>
      <c r="V115" s="172"/>
      <c r="W115" s="172"/>
      <c r="X115" s="172"/>
      <c r="Y115" s="172"/>
      <c r="Z115" s="172"/>
      <c r="AA115" s="172"/>
    </row>
    <row r="116" spans="1:27" ht="16">
      <c r="A116" s="170" t="str">
        <f t="shared" ca="1" si="0"/>
        <v/>
      </c>
      <c r="B116" s="171" t="str">
        <f t="shared" ca="1" si="1"/>
        <v/>
      </c>
      <c r="C116" s="171" t="str">
        <f t="shared" ca="1" si="2"/>
        <v/>
      </c>
      <c r="D116" s="172">
        <f t="shared" ca="1" si="3"/>
        <v>0</v>
      </c>
      <c r="E116" s="172" t="s">
        <v>281</v>
      </c>
      <c r="F116" s="172"/>
      <c r="G116" s="174"/>
      <c r="H116" s="174"/>
      <c r="I116" s="172">
        <f ca="1">IFERROR(__xludf.DUMMYFUNCTION("""COMPUTED_VALUE"""),0)</f>
        <v>0</v>
      </c>
      <c r="J116" s="172"/>
      <c r="K116" s="172"/>
      <c r="L116" s="172"/>
      <c r="M116" s="172"/>
      <c r="N116" s="172"/>
      <c r="O116" s="172"/>
      <c r="P116" s="172"/>
      <c r="Q116" s="172"/>
      <c r="R116" s="172"/>
      <c r="S116" s="172"/>
      <c r="T116" s="172"/>
      <c r="U116" s="172"/>
      <c r="V116" s="172"/>
      <c r="W116" s="172"/>
      <c r="X116" s="172"/>
      <c r="Y116" s="172"/>
      <c r="Z116" s="172"/>
      <c r="AA116" s="172"/>
    </row>
    <row r="117" spans="1:27" ht="16">
      <c r="A117" s="170" t="str">
        <f t="shared" ca="1" si="0"/>
        <v/>
      </c>
      <c r="B117" s="171" t="str">
        <f t="shared" ca="1" si="1"/>
        <v/>
      </c>
      <c r="C117" s="171" t="str">
        <f t="shared" ca="1" si="2"/>
        <v/>
      </c>
      <c r="D117" s="172">
        <f t="shared" ca="1" si="3"/>
        <v>0</v>
      </c>
      <c r="E117" s="172" t="s">
        <v>281</v>
      </c>
      <c r="F117" s="172"/>
      <c r="G117" s="174"/>
      <c r="H117" s="174"/>
      <c r="I117" s="172">
        <f ca="1">IFERROR(__xludf.DUMMYFUNCTION("""COMPUTED_VALUE"""),0)</f>
        <v>0</v>
      </c>
      <c r="J117" s="172"/>
      <c r="K117" s="172"/>
      <c r="L117" s="172"/>
      <c r="M117" s="172"/>
      <c r="N117" s="172"/>
      <c r="O117" s="172"/>
      <c r="P117" s="172"/>
      <c r="Q117" s="172"/>
      <c r="R117" s="172"/>
      <c r="S117" s="172"/>
      <c r="T117" s="172"/>
      <c r="U117" s="172"/>
      <c r="V117" s="172"/>
      <c r="W117" s="172"/>
      <c r="X117" s="172"/>
      <c r="Y117" s="172"/>
      <c r="Z117" s="172"/>
      <c r="AA117" s="172"/>
    </row>
    <row r="118" spans="1:27" ht="16">
      <c r="A118" s="170" t="str">
        <f t="shared" ca="1" si="0"/>
        <v/>
      </c>
      <c r="B118" s="171" t="str">
        <f t="shared" ca="1" si="1"/>
        <v/>
      </c>
      <c r="C118" s="171" t="str">
        <f t="shared" ca="1" si="2"/>
        <v/>
      </c>
      <c r="D118" s="172">
        <f t="shared" ca="1" si="3"/>
        <v>0</v>
      </c>
      <c r="E118" s="172" t="s">
        <v>281</v>
      </c>
      <c r="F118" s="172"/>
      <c r="G118" s="174"/>
      <c r="H118" s="174"/>
      <c r="I118" s="172">
        <f ca="1">IFERROR(__xludf.DUMMYFUNCTION("""COMPUTED_VALUE"""),0)</f>
        <v>0</v>
      </c>
      <c r="J118" s="172"/>
      <c r="K118" s="172"/>
      <c r="L118" s="172"/>
      <c r="M118" s="172"/>
      <c r="N118" s="172"/>
      <c r="O118" s="172"/>
      <c r="P118" s="172"/>
      <c r="Q118" s="172"/>
      <c r="R118" s="172"/>
      <c r="S118" s="172"/>
      <c r="T118" s="172"/>
      <c r="U118" s="172"/>
      <c r="V118" s="172"/>
      <c r="W118" s="172"/>
      <c r="X118" s="172"/>
      <c r="Y118" s="172"/>
      <c r="Z118" s="172"/>
      <c r="AA118" s="172"/>
    </row>
    <row r="119" spans="1:27" ht="16">
      <c r="A119" s="170" t="str">
        <f t="shared" ca="1" si="0"/>
        <v/>
      </c>
      <c r="B119" s="171" t="str">
        <f t="shared" ca="1" si="1"/>
        <v/>
      </c>
      <c r="C119" s="171" t="str">
        <f t="shared" ca="1" si="2"/>
        <v/>
      </c>
      <c r="D119" s="172">
        <f t="shared" ca="1" si="3"/>
        <v>0</v>
      </c>
      <c r="E119" s="172" t="s">
        <v>281</v>
      </c>
      <c r="F119" s="172"/>
      <c r="G119" s="174"/>
      <c r="H119" s="174"/>
      <c r="I119" s="172">
        <f ca="1">IFERROR(__xludf.DUMMYFUNCTION("""COMPUTED_VALUE"""),0)</f>
        <v>0</v>
      </c>
      <c r="J119" s="172"/>
      <c r="K119" s="172"/>
      <c r="L119" s="172"/>
      <c r="M119" s="172"/>
      <c r="N119" s="172"/>
      <c r="O119" s="172"/>
      <c r="P119" s="172"/>
      <c r="Q119" s="172"/>
      <c r="R119" s="172"/>
      <c r="S119" s="172"/>
      <c r="T119" s="172"/>
      <c r="U119" s="172"/>
      <c r="V119" s="172"/>
      <c r="W119" s="172"/>
      <c r="X119" s="172"/>
      <c r="Y119" s="172"/>
      <c r="Z119" s="172"/>
      <c r="AA119" s="172"/>
    </row>
    <row r="120" spans="1:27" ht="16">
      <c r="A120" s="170" t="str">
        <f t="shared" ca="1" si="0"/>
        <v/>
      </c>
      <c r="B120" s="171" t="str">
        <f t="shared" ca="1" si="1"/>
        <v/>
      </c>
      <c r="C120" s="171" t="str">
        <f t="shared" ca="1" si="2"/>
        <v/>
      </c>
      <c r="D120" s="172">
        <f t="shared" ca="1" si="3"/>
        <v>0</v>
      </c>
      <c r="E120" s="172" t="s">
        <v>281</v>
      </c>
      <c r="F120" s="172"/>
      <c r="G120" s="174"/>
      <c r="H120" s="174"/>
      <c r="I120" s="172">
        <f ca="1">IFERROR(__xludf.DUMMYFUNCTION("""COMPUTED_VALUE"""),0)</f>
        <v>0</v>
      </c>
      <c r="J120" s="172"/>
      <c r="K120" s="172"/>
      <c r="L120" s="172"/>
      <c r="M120" s="172"/>
      <c r="N120" s="172"/>
      <c r="O120" s="172"/>
      <c r="P120" s="172"/>
      <c r="Q120" s="172"/>
      <c r="R120" s="172"/>
      <c r="S120" s="172"/>
      <c r="T120" s="172"/>
      <c r="U120" s="172"/>
      <c r="V120" s="172"/>
      <c r="W120" s="172"/>
      <c r="X120" s="172"/>
      <c r="Y120" s="172"/>
      <c r="Z120" s="172"/>
      <c r="AA120" s="172"/>
    </row>
    <row r="121" spans="1:27" ht="16">
      <c r="A121" s="170" t="str">
        <f t="shared" ca="1" si="0"/>
        <v/>
      </c>
      <c r="B121" s="171" t="str">
        <f t="shared" ca="1" si="1"/>
        <v/>
      </c>
      <c r="C121" s="171" t="str">
        <f t="shared" ca="1" si="2"/>
        <v/>
      </c>
      <c r="D121" s="172">
        <f t="shared" ca="1" si="3"/>
        <v>0</v>
      </c>
      <c r="E121" s="172" t="s">
        <v>281</v>
      </c>
      <c r="F121" s="172"/>
      <c r="G121" s="174"/>
      <c r="H121" s="174"/>
      <c r="I121" s="172">
        <f ca="1">IFERROR(__xludf.DUMMYFUNCTION("""COMPUTED_VALUE"""),0)</f>
        <v>0</v>
      </c>
      <c r="J121" s="172"/>
      <c r="K121" s="172"/>
      <c r="L121" s="172"/>
      <c r="M121" s="172"/>
      <c r="N121" s="172"/>
      <c r="O121" s="172"/>
      <c r="P121" s="172"/>
      <c r="Q121" s="172"/>
      <c r="R121" s="172"/>
      <c r="S121" s="172"/>
      <c r="T121" s="172"/>
      <c r="U121" s="172"/>
      <c r="V121" s="172"/>
      <c r="W121" s="172"/>
      <c r="X121" s="172"/>
      <c r="Y121" s="172"/>
      <c r="Z121" s="172"/>
      <c r="AA121" s="172"/>
    </row>
    <row r="122" spans="1:27" ht="16">
      <c r="A122" s="170" t="str">
        <f t="shared" ca="1" si="0"/>
        <v/>
      </c>
      <c r="B122" s="171" t="str">
        <f t="shared" ca="1" si="1"/>
        <v/>
      </c>
      <c r="C122" s="171" t="str">
        <f t="shared" ca="1" si="2"/>
        <v/>
      </c>
      <c r="D122" s="172">
        <f t="shared" ca="1" si="3"/>
        <v>0</v>
      </c>
      <c r="E122" s="172" t="s">
        <v>281</v>
      </c>
      <c r="F122" s="172"/>
      <c r="G122" s="174"/>
      <c r="H122" s="174"/>
      <c r="I122" s="172">
        <f ca="1">IFERROR(__xludf.DUMMYFUNCTION("""COMPUTED_VALUE"""),0)</f>
        <v>0</v>
      </c>
      <c r="J122" s="172"/>
      <c r="K122" s="172"/>
      <c r="L122" s="172"/>
      <c r="M122" s="172"/>
      <c r="N122" s="172"/>
      <c r="O122" s="172"/>
      <c r="P122" s="172"/>
      <c r="Q122" s="172"/>
      <c r="R122" s="172"/>
      <c r="S122" s="172"/>
      <c r="T122" s="172"/>
      <c r="U122" s="172"/>
      <c r="V122" s="172"/>
      <c r="W122" s="172"/>
      <c r="X122" s="172"/>
      <c r="Y122" s="172"/>
      <c r="Z122" s="172"/>
      <c r="AA122" s="172"/>
    </row>
    <row r="123" spans="1:27" ht="16">
      <c r="A123" s="170" t="str">
        <f t="shared" ca="1" si="0"/>
        <v/>
      </c>
      <c r="B123" s="171" t="str">
        <f t="shared" ca="1" si="1"/>
        <v/>
      </c>
      <c r="C123" s="171" t="str">
        <f t="shared" ca="1" si="2"/>
        <v/>
      </c>
      <c r="D123" s="172">
        <f t="shared" ca="1" si="3"/>
        <v>0</v>
      </c>
      <c r="E123" s="172" t="s">
        <v>281</v>
      </c>
      <c r="F123" s="172"/>
      <c r="G123" s="174"/>
      <c r="H123" s="174"/>
      <c r="I123" s="172">
        <f ca="1">IFERROR(__xludf.DUMMYFUNCTION("""COMPUTED_VALUE"""),0)</f>
        <v>0</v>
      </c>
      <c r="J123" s="172"/>
      <c r="K123" s="172"/>
      <c r="L123" s="172"/>
      <c r="M123" s="172"/>
      <c r="N123" s="172"/>
      <c r="O123" s="172"/>
      <c r="P123" s="172"/>
      <c r="Q123" s="172"/>
      <c r="R123" s="172"/>
      <c r="S123" s="172"/>
      <c r="T123" s="172"/>
      <c r="U123" s="172"/>
      <c r="V123" s="172"/>
      <c r="W123" s="172"/>
      <c r="X123" s="172"/>
      <c r="Y123" s="172"/>
      <c r="Z123" s="172"/>
      <c r="AA123" s="172"/>
    </row>
    <row r="124" spans="1:27" ht="16">
      <c r="A124" s="170" t="str">
        <f t="shared" ca="1" si="0"/>
        <v/>
      </c>
      <c r="B124" s="171" t="str">
        <f t="shared" ca="1" si="1"/>
        <v/>
      </c>
      <c r="C124" s="171" t="str">
        <f t="shared" ca="1" si="2"/>
        <v/>
      </c>
      <c r="D124" s="172">
        <f t="shared" ca="1" si="3"/>
        <v>0</v>
      </c>
      <c r="E124" s="172" t="s">
        <v>281</v>
      </c>
      <c r="F124" s="172"/>
      <c r="G124" s="174"/>
      <c r="H124" s="174"/>
      <c r="I124" s="172">
        <f ca="1">IFERROR(__xludf.DUMMYFUNCTION("""COMPUTED_VALUE"""),0)</f>
        <v>0</v>
      </c>
      <c r="J124" s="172"/>
      <c r="K124" s="172"/>
      <c r="L124" s="172"/>
      <c r="M124" s="172"/>
      <c r="N124" s="172"/>
      <c r="O124" s="172"/>
      <c r="P124" s="172"/>
      <c r="Q124" s="172"/>
      <c r="R124" s="172"/>
      <c r="S124" s="172"/>
      <c r="T124" s="172"/>
      <c r="U124" s="172"/>
      <c r="V124" s="172"/>
      <c r="W124" s="172"/>
      <c r="X124" s="172"/>
      <c r="Y124" s="172"/>
      <c r="Z124" s="172"/>
      <c r="AA124" s="172"/>
    </row>
    <row r="125" spans="1:27" ht="16">
      <c r="A125" s="170" t="str">
        <f t="shared" ca="1" si="0"/>
        <v/>
      </c>
      <c r="B125" s="171" t="str">
        <f t="shared" ca="1" si="1"/>
        <v/>
      </c>
      <c r="C125" s="171" t="str">
        <f t="shared" ca="1" si="2"/>
        <v/>
      </c>
      <c r="D125" s="172">
        <f t="shared" ca="1" si="3"/>
        <v>0</v>
      </c>
      <c r="E125" s="172" t="s">
        <v>281</v>
      </c>
      <c r="F125" s="172"/>
      <c r="G125" s="174"/>
      <c r="H125" s="174"/>
      <c r="I125" s="172">
        <f ca="1">IFERROR(__xludf.DUMMYFUNCTION("""COMPUTED_VALUE"""),0)</f>
        <v>0</v>
      </c>
      <c r="J125" s="172"/>
      <c r="K125" s="172"/>
      <c r="L125" s="172"/>
      <c r="M125" s="172"/>
      <c r="N125" s="172"/>
      <c r="O125" s="172"/>
      <c r="P125" s="172"/>
      <c r="Q125" s="172"/>
      <c r="R125" s="172"/>
      <c r="S125" s="172"/>
      <c r="T125" s="172"/>
      <c r="U125" s="172"/>
      <c r="V125" s="172"/>
      <c r="W125" s="172"/>
      <c r="X125" s="172"/>
      <c r="Y125" s="172"/>
      <c r="Z125" s="172"/>
      <c r="AA125" s="172"/>
    </row>
    <row r="126" spans="1:27" ht="16">
      <c r="A126" s="170" t="str">
        <f t="shared" ca="1" si="0"/>
        <v/>
      </c>
      <c r="B126" s="171" t="str">
        <f t="shared" ca="1" si="1"/>
        <v/>
      </c>
      <c r="C126" s="171" t="str">
        <f t="shared" ca="1" si="2"/>
        <v/>
      </c>
      <c r="D126" s="172">
        <f t="shared" ca="1" si="3"/>
        <v>0</v>
      </c>
      <c r="E126" s="172" t="s">
        <v>281</v>
      </c>
      <c r="F126" s="172"/>
      <c r="G126" s="174"/>
      <c r="H126" s="174"/>
      <c r="I126" s="172">
        <f ca="1">IFERROR(__xludf.DUMMYFUNCTION("""COMPUTED_VALUE"""),0)</f>
        <v>0</v>
      </c>
      <c r="J126" s="172"/>
      <c r="K126" s="172"/>
      <c r="L126" s="172"/>
      <c r="M126" s="172"/>
      <c r="N126" s="172"/>
      <c r="O126" s="172"/>
      <c r="P126" s="172"/>
      <c r="Q126" s="172"/>
      <c r="R126" s="172"/>
      <c r="S126" s="172"/>
      <c r="T126" s="172"/>
      <c r="U126" s="172"/>
      <c r="V126" s="172"/>
      <c r="W126" s="172"/>
      <c r="X126" s="172"/>
      <c r="Y126" s="172"/>
      <c r="Z126" s="172"/>
      <c r="AA126" s="172"/>
    </row>
    <row r="127" spans="1:27" ht="16">
      <c r="A127" s="170" t="str">
        <f t="shared" ca="1" si="0"/>
        <v/>
      </c>
      <c r="B127" s="171" t="str">
        <f t="shared" ca="1" si="1"/>
        <v/>
      </c>
      <c r="C127" s="171" t="str">
        <f t="shared" ca="1" si="2"/>
        <v/>
      </c>
      <c r="D127" s="172">
        <f t="shared" ca="1" si="3"/>
        <v>0</v>
      </c>
      <c r="E127" s="172" t="s">
        <v>281</v>
      </c>
      <c r="F127" s="172"/>
      <c r="G127" s="174"/>
      <c r="H127" s="174"/>
      <c r="I127" s="172">
        <f ca="1">IFERROR(__xludf.DUMMYFUNCTION("""COMPUTED_VALUE"""),0)</f>
        <v>0</v>
      </c>
      <c r="J127" s="172"/>
      <c r="K127" s="172"/>
      <c r="L127" s="172"/>
      <c r="M127" s="172"/>
      <c r="N127" s="172"/>
      <c r="O127" s="172"/>
      <c r="P127" s="172"/>
      <c r="Q127" s="172"/>
      <c r="R127" s="172"/>
      <c r="S127" s="172"/>
      <c r="T127" s="172"/>
      <c r="U127" s="172"/>
      <c r="V127" s="172"/>
      <c r="W127" s="172"/>
      <c r="X127" s="172"/>
      <c r="Y127" s="172"/>
      <c r="Z127" s="172"/>
      <c r="AA127" s="172"/>
    </row>
    <row r="128" spans="1:27" ht="16">
      <c r="A128" s="170" t="str">
        <f t="shared" ca="1" si="0"/>
        <v/>
      </c>
      <c r="B128" s="171" t="str">
        <f t="shared" ca="1" si="1"/>
        <v/>
      </c>
      <c r="C128" s="171" t="str">
        <f t="shared" ca="1" si="2"/>
        <v/>
      </c>
      <c r="D128" s="172">
        <f t="shared" ca="1" si="3"/>
        <v>0</v>
      </c>
      <c r="E128" s="172" t="s">
        <v>281</v>
      </c>
      <c r="F128" s="172"/>
      <c r="G128" s="174"/>
      <c r="H128" s="174"/>
      <c r="I128" s="172">
        <f ca="1">IFERROR(__xludf.DUMMYFUNCTION("""COMPUTED_VALUE"""),0)</f>
        <v>0</v>
      </c>
      <c r="J128" s="172"/>
      <c r="K128" s="172"/>
      <c r="L128" s="172"/>
      <c r="M128" s="172"/>
      <c r="N128" s="172"/>
      <c r="O128" s="172"/>
      <c r="P128" s="172"/>
      <c r="Q128" s="172"/>
      <c r="R128" s="172"/>
      <c r="S128" s="172"/>
      <c r="T128" s="172"/>
      <c r="U128" s="172"/>
      <c r="V128" s="172"/>
      <c r="W128" s="172"/>
      <c r="X128" s="172"/>
      <c r="Y128" s="172"/>
      <c r="Z128" s="172"/>
      <c r="AA128" s="172"/>
    </row>
    <row r="129" spans="1:27" ht="16">
      <c r="A129" s="170" t="str">
        <f t="shared" ca="1" si="0"/>
        <v/>
      </c>
      <c r="B129" s="171" t="str">
        <f t="shared" ca="1" si="1"/>
        <v/>
      </c>
      <c r="C129" s="171" t="str">
        <f t="shared" ca="1" si="2"/>
        <v/>
      </c>
      <c r="D129" s="172">
        <f t="shared" ca="1" si="3"/>
        <v>0</v>
      </c>
      <c r="E129" s="172" t="s">
        <v>281</v>
      </c>
      <c r="F129" s="172"/>
      <c r="G129" s="174"/>
      <c r="H129" s="174"/>
      <c r="I129" s="172">
        <f ca="1">IFERROR(__xludf.DUMMYFUNCTION("""COMPUTED_VALUE"""),0)</f>
        <v>0</v>
      </c>
      <c r="J129" s="172"/>
      <c r="K129" s="172"/>
      <c r="L129" s="172"/>
      <c r="M129" s="172"/>
      <c r="N129" s="172"/>
      <c r="O129" s="172"/>
      <c r="P129" s="172"/>
      <c r="Q129" s="172"/>
      <c r="R129" s="172"/>
      <c r="S129" s="172"/>
      <c r="T129" s="172"/>
      <c r="U129" s="172"/>
      <c r="V129" s="172"/>
      <c r="W129" s="172"/>
      <c r="X129" s="172"/>
      <c r="Y129" s="172"/>
      <c r="Z129" s="172"/>
      <c r="AA129" s="172"/>
    </row>
    <row r="130" spans="1:27" ht="16">
      <c r="A130" s="170" t="str">
        <f t="shared" ca="1" si="0"/>
        <v/>
      </c>
      <c r="B130" s="171" t="str">
        <f t="shared" ca="1" si="1"/>
        <v/>
      </c>
      <c r="C130" s="171" t="str">
        <f t="shared" ca="1" si="2"/>
        <v/>
      </c>
      <c r="D130" s="172">
        <f t="shared" ca="1" si="3"/>
        <v>0</v>
      </c>
      <c r="E130" s="172" t="s">
        <v>281</v>
      </c>
      <c r="F130" s="172"/>
      <c r="G130" s="174"/>
      <c r="H130" s="174"/>
      <c r="I130" s="172">
        <f ca="1">IFERROR(__xludf.DUMMYFUNCTION("""COMPUTED_VALUE"""),0)</f>
        <v>0</v>
      </c>
      <c r="J130" s="172"/>
      <c r="K130" s="172"/>
      <c r="L130" s="172"/>
      <c r="M130" s="172"/>
      <c r="N130" s="172"/>
      <c r="O130" s="172"/>
      <c r="P130" s="172"/>
      <c r="Q130" s="172"/>
      <c r="R130" s="172"/>
      <c r="S130" s="172"/>
      <c r="T130" s="172"/>
      <c r="U130" s="172"/>
      <c r="V130" s="172"/>
      <c r="W130" s="172"/>
      <c r="X130" s="172"/>
      <c r="Y130" s="172"/>
      <c r="Z130" s="172"/>
      <c r="AA130" s="172"/>
    </row>
    <row r="131" spans="1:27" ht="16">
      <c r="A131" s="170" t="str">
        <f t="shared" ca="1" si="0"/>
        <v/>
      </c>
      <c r="B131" s="171" t="str">
        <f t="shared" ca="1" si="1"/>
        <v/>
      </c>
      <c r="C131" s="171" t="str">
        <f t="shared" ca="1" si="2"/>
        <v/>
      </c>
      <c r="D131" s="172">
        <f t="shared" ca="1" si="3"/>
        <v>0</v>
      </c>
      <c r="E131" s="172" t="s">
        <v>281</v>
      </c>
      <c r="F131" s="172"/>
      <c r="G131" s="174"/>
      <c r="H131" s="174"/>
      <c r="I131" s="172">
        <f ca="1">IFERROR(__xludf.DUMMYFUNCTION("""COMPUTED_VALUE"""),0)</f>
        <v>0</v>
      </c>
      <c r="J131" s="172"/>
      <c r="K131" s="172"/>
      <c r="L131" s="172"/>
      <c r="M131" s="172"/>
      <c r="N131" s="172"/>
      <c r="O131" s="172"/>
      <c r="P131" s="172"/>
      <c r="Q131" s="172"/>
      <c r="R131" s="172"/>
      <c r="S131" s="172"/>
      <c r="T131" s="172"/>
      <c r="U131" s="172"/>
      <c r="V131" s="172"/>
      <c r="W131" s="172"/>
      <c r="X131" s="172"/>
      <c r="Y131" s="172"/>
      <c r="Z131" s="172"/>
      <c r="AA131" s="172"/>
    </row>
    <row r="132" spans="1:27" ht="16">
      <c r="A132" s="170" t="str">
        <f t="shared" ca="1" si="0"/>
        <v/>
      </c>
      <c r="B132" s="171" t="str">
        <f t="shared" ca="1" si="1"/>
        <v/>
      </c>
      <c r="C132" s="171" t="str">
        <f t="shared" ca="1" si="2"/>
        <v/>
      </c>
      <c r="D132" s="172">
        <f t="shared" ca="1" si="3"/>
        <v>0</v>
      </c>
      <c r="E132" s="172" t="s">
        <v>281</v>
      </c>
      <c r="F132" s="172"/>
      <c r="G132" s="174"/>
      <c r="H132" s="174"/>
      <c r="I132" s="172">
        <f ca="1">IFERROR(__xludf.DUMMYFUNCTION("""COMPUTED_VALUE"""),0)</f>
        <v>0</v>
      </c>
      <c r="J132" s="172"/>
      <c r="K132" s="172"/>
      <c r="L132" s="172"/>
      <c r="M132" s="172"/>
      <c r="N132" s="172"/>
      <c r="O132" s="172"/>
      <c r="P132" s="172"/>
      <c r="Q132" s="172"/>
      <c r="R132" s="172"/>
      <c r="S132" s="172"/>
      <c r="T132" s="172"/>
      <c r="U132" s="172"/>
      <c r="V132" s="172"/>
      <c r="W132" s="172"/>
      <c r="X132" s="172"/>
      <c r="Y132" s="172"/>
      <c r="Z132" s="172"/>
      <c r="AA132" s="172"/>
    </row>
    <row r="133" spans="1:27" ht="16">
      <c r="A133" s="170" t="str">
        <f t="shared" ca="1" si="0"/>
        <v/>
      </c>
      <c r="B133" s="171" t="str">
        <f t="shared" ca="1" si="1"/>
        <v/>
      </c>
      <c r="C133" s="171" t="str">
        <f t="shared" ca="1" si="2"/>
        <v/>
      </c>
      <c r="D133" s="172">
        <f t="shared" ca="1" si="3"/>
        <v>0</v>
      </c>
      <c r="E133" s="172" t="s">
        <v>281</v>
      </c>
      <c r="F133" s="172"/>
      <c r="G133" s="174"/>
      <c r="H133" s="174"/>
      <c r="I133" s="172">
        <f ca="1">IFERROR(__xludf.DUMMYFUNCTION("""COMPUTED_VALUE"""),0)</f>
        <v>0</v>
      </c>
      <c r="J133" s="172"/>
      <c r="K133" s="172"/>
      <c r="L133" s="172"/>
      <c r="M133" s="172"/>
      <c r="N133" s="172"/>
      <c r="O133" s="172"/>
      <c r="P133" s="172"/>
      <c r="Q133" s="172"/>
      <c r="R133" s="172"/>
      <c r="S133" s="172"/>
      <c r="T133" s="172"/>
      <c r="U133" s="172"/>
      <c r="V133" s="172"/>
      <c r="W133" s="172"/>
      <c r="X133" s="172"/>
      <c r="Y133" s="172"/>
      <c r="Z133" s="172"/>
      <c r="AA133" s="172"/>
    </row>
    <row r="134" spans="1:27" ht="16">
      <c r="A134" s="170" t="str">
        <f t="shared" ca="1" si="0"/>
        <v/>
      </c>
      <c r="B134" s="171" t="str">
        <f t="shared" ca="1" si="1"/>
        <v/>
      </c>
      <c r="C134" s="171" t="str">
        <f t="shared" ca="1" si="2"/>
        <v/>
      </c>
      <c r="D134" s="172">
        <f t="shared" ca="1" si="3"/>
        <v>0</v>
      </c>
      <c r="E134" s="172" t="s">
        <v>281</v>
      </c>
      <c r="F134" s="172"/>
      <c r="G134" s="174"/>
      <c r="H134" s="174"/>
      <c r="I134" s="172">
        <f ca="1">IFERROR(__xludf.DUMMYFUNCTION("""COMPUTED_VALUE"""),0)</f>
        <v>0</v>
      </c>
      <c r="J134" s="172"/>
      <c r="K134" s="172"/>
      <c r="L134" s="172"/>
      <c r="M134" s="172"/>
      <c r="N134" s="172"/>
      <c r="O134" s="172"/>
      <c r="P134" s="172"/>
      <c r="Q134" s="172"/>
      <c r="R134" s="172"/>
      <c r="S134" s="172"/>
      <c r="T134" s="172"/>
      <c r="U134" s="172"/>
      <c r="V134" s="172"/>
      <c r="W134" s="172"/>
      <c r="X134" s="172"/>
      <c r="Y134" s="172"/>
      <c r="Z134" s="172"/>
      <c r="AA134" s="172"/>
    </row>
    <row r="135" spans="1:27" ht="16">
      <c r="A135" s="170" t="str">
        <f t="shared" ca="1" si="0"/>
        <v/>
      </c>
      <c r="B135" s="171" t="str">
        <f t="shared" ca="1" si="1"/>
        <v/>
      </c>
      <c r="C135" s="171" t="str">
        <f t="shared" ca="1" si="2"/>
        <v/>
      </c>
      <c r="D135" s="172">
        <f t="shared" ca="1" si="3"/>
        <v>0</v>
      </c>
      <c r="E135" s="172" t="s">
        <v>281</v>
      </c>
      <c r="F135" s="172"/>
      <c r="G135" s="174"/>
      <c r="H135" s="174"/>
      <c r="I135" s="172">
        <f ca="1">IFERROR(__xludf.DUMMYFUNCTION("""COMPUTED_VALUE"""),0)</f>
        <v>0</v>
      </c>
      <c r="J135" s="172"/>
      <c r="K135" s="172"/>
      <c r="L135" s="172"/>
      <c r="M135" s="172"/>
      <c r="N135" s="172"/>
      <c r="O135" s="172"/>
      <c r="P135" s="172"/>
      <c r="Q135" s="172"/>
      <c r="R135" s="172"/>
      <c r="S135" s="172"/>
      <c r="T135" s="172"/>
      <c r="U135" s="172"/>
      <c r="V135" s="172"/>
      <c r="W135" s="172"/>
      <c r="X135" s="172"/>
      <c r="Y135" s="172"/>
      <c r="Z135" s="172"/>
      <c r="AA135" s="172"/>
    </row>
    <row r="136" spans="1:27" ht="16">
      <c r="A136" s="170" t="str">
        <f t="shared" ca="1" si="0"/>
        <v/>
      </c>
      <c r="B136" s="171" t="str">
        <f t="shared" ca="1" si="1"/>
        <v/>
      </c>
      <c r="C136" s="171" t="str">
        <f t="shared" ca="1" si="2"/>
        <v/>
      </c>
      <c r="D136" s="172">
        <f t="shared" ca="1" si="3"/>
        <v>0</v>
      </c>
      <c r="E136" s="172" t="s">
        <v>281</v>
      </c>
      <c r="F136" s="172"/>
      <c r="G136" s="174"/>
      <c r="H136" s="174"/>
      <c r="I136" s="172">
        <f ca="1">IFERROR(__xludf.DUMMYFUNCTION("""COMPUTED_VALUE"""),0)</f>
        <v>0</v>
      </c>
      <c r="J136" s="172"/>
      <c r="K136" s="172"/>
      <c r="L136" s="172"/>
      <c r="M136" s="172"/>
      <c r="N136" s="172"/>
      <c r="O136" s="172"/>
      <c r="P136" s="172"/>
      <c r="Q136" s="172"/>
      <c r="R136" s="172"/>
      <c r="S136" s="172"/>
      <c r="T136" s="172"/>
      <c r="U136" s="172"/>
      <c r="V136" s="172"/>
      <c r="W136" s="172"/>
      <c r="X136" s="172"/>
      <c r="Y136" s="172"/>
      <c r="Z136" s="172"/>
      <c r="AA136" s="172"/>
    </row>
    <row r="137" spans="1:27" ht="16">
      <c r="A137" s="170" t="str">
        <f t="shared" ca="1" si="0"/>
        <v/>
      </c>
      <c r="B137" s="171" t="str">
        <f t="shared" ca="1" si="1"/>
        <v/>
      </c>
      <c r="C137" s="171" t="str">
        <f t="shared" ca="1" si="2"/>
        <v/>
      </c>
      <c r="D137" s="172">
        <f t="shared" ca="1" si="3"/>
        <v>0</v>
      </c>
      <c r="E137" s="172" t="s">
        <v>281</v>
      </c>
      <c r="F137" s="172"/>
      <c r="G137" s="174"/>
      <c r="H137" s="174"/>
      <c r="I137" s="172">
        <f ca="1">IFERROR(__xludf.DUMMYFUNCTION("""COMPUTED_VALUE"""),0)</f>
        <v>0</v>
      </c>
      <c r="J137" s="172"/>
      <c r="K137" s="172"/>
      <c r="L137" s="172"/>
      <c r="M137" s="172"/>
      <c r="N137" s="172"/>
      <c r="O137" s="172"/>
      <c r="P137" s="172"/>
      <c r="Q137" s="172"/>
      <c r="R137" s="172"/>
      <c r="S137" s="172"/>
      <c r="T137" s="172"/>
      <c r="U137" s="172"/>
      <c r="V137" s="172"/>
      <c r="W137" s="172"/>
      <c r="X137" s="172"/>
      <c r="Y137" s="172"/>
      <c r="Z137" s="172"/>
      <c r="AA137" s="172"/>
    </row>
    <row r="138" spans="1:27" ht="16">
      <c r="A138" s="170" t="str">
        <f t="shared" ca="1" si="0"/>
        <v/>
      </c>
      <c r="B138" s="171" t="str">
        <f t="shared" ca="1" si="1"/>
        <v/>
      </c>
      <c r="C138" s="171" t="str">
        <f t="shared" ca="1" si="2"/>
        <v/>
      </c>
      <c r="D138" s="172">
        <f t="shared" ca="1" si="3"/>
        <v>0</v>
      </c>
      <c r="E138" s="172" t="s">
        <v>281</v>
      </c>
      <c r="F138" s="172"/>
      <c r="G138" s="174"/>
      <c r="H138" s="174"/>
      <c r="I138" s="172">
        <f ca="1">IFERROR(__xludf.DUMMYFUNCTION("""COMPUTED_VALUE"""),0)</f>
        <v>0</v>
      </c>
      <c r="J138" s="172"/>
      <c r="K138" s="172"/>
      <c r="L138" s="172"/>
      <c r="M138" s="172"/>
      <c r="N138" s="172"/>
      <c r="O138" s="172"/>
      <c r="P138" s="172"/>
      <c r="Q138" s="172"/>
      <c r="R138" s="172"/>
      <c r="S138" s="172"/>
      <c r="T138" s="172"/>
      <c r="U138" s="172"/>
      <c r="V138" s="172"/>
      <c r="W138" s="172"/>
      <c r="X138" s="172"/>
      <c r="Y138" s="172"/>
      <c r="Z138" s="172"/>
      <c r="AA138" s="172"/>
    </row>
    <row r="139" spans="1:27" ht="16">
      <c r="A139" s="170" t="str">
        <f t="shared" ca="1" si="0"/>
        <v/>
      </c>
      <c r="B139" s="171" t="str">
        <f t="shared" ca="1" si="1"/>
        <v/>
      </c>
      <c r="C139" s="171" t="str">
        <f t="shared" ca="1" si="2"/>
        <v/>
      </c>
      <c r="D139" s="172">
        <f t="shared" ca="1" si="3"/>
        <v>0</v>
      </c>
      <c r="E139" s="172" t="s">
        <v>281</v>
      </c>
      <c r="F139" s="172"/>
      <c r="G139" s="174"/>
      <c r="H139" s="174"/>
      <c r="I139" s="172">
        <f ca="1">IFERROR(__xludf.DUMMYFUNCTION("""COMPUTED_VALUE"""),0)</f>
        <v>0</v>
      </c>
      <c r="J139" s="172"/>
      <c r="K139" s="172"/>
      <c r="L139" s="172"/>
      <c r="M139" s="172"/>
      <c r="N139" s="172"/>
      <c r="O139" s="172"/>
      <c r="P139" s="172"/>
      <c r="Q139" s="172"/>
      <c r="R139" s="172"/>
      <c r="S139" s="172"/>
      <c r="T139" s="172"/>
      <c r="U139" s="172"/>
      <c r="V139" s="172"/>
      <c r="W139" s="172"/>
      <c r="X139" s="172"/>
      <c r="Y139" s="172"/>
      <c r="Z139" s="172"/>
      <c r="AA139" s="172"/>
    </row>
    <row r="140" spans="1:27" ht="16">
      <c r="A140" s="170" t="str">
        <f t="shared" ca="1" si="0"/>
        <v/>
      </c>
      <c r="B140" s="171" t="str">
        <f t="shared" ca="1" si="1"/>
        <v/>
      </c>
      <c r="C140" s="171" t="str">
        <f t="shared" ca="1" si="2"/>
        <v/>
      </c>
      <c r="D140" s="172">
        <f t="shared" ca="1" si="3"/>
        <v>0</v>
      </c>
      <c r="E140" s="172" t="s">
        <v>281</v>
      </c>
      <c r="F140" s="172"/>
      <c r="G140" s="174"/>
      <c r="H140" s="174"/>
      <c r="I140" s="172">
        <f ca="1">IFERROR(__xludf.DUMMYFUNCTION("""COMPUTED_VALUE"""),0)</f>
        <v>0</v>
      </c>
      <c r="J140" s="172"/>
      <c r="K140" s="172"/>
      <c r="L140" s="172"/>
      <c r="M140" s="172"/>
      <c r="N140" s="172"/>
      <c r="O140" s="172"/>
      <c r="P140" s="172"/>
      <c r="Q140" s="172"/>
      <c r="R140" s="172"/>
      <c r="S140" s="172"/>
      <c r="T140" s="172"/>
      <c r="U140" s="172"/>
      <c r="V140" s="172"/>
      <c r="W140" s="172"/>
      <c r="X140" s="172"/>
      <c r="Y140" s="172"/>
      <c r="Z140" s="172"/>
      <c r="AA140" s="172"/>
    </row>
    <row r="141" spans="1:27" ht="16">
      <c r="A141" s="170" t="str">
        <f t="shared" ca="1" si="0"/>
        <v/>
      </c>
      <c r="B141" s="171" t="str">
        <f t="shared" ca="1" si="1"/>
        <v/>
      </c>
      <c r="C141" s="171" t="str">
        <f t="shared" ca="1" si="2"/>
        <v/>
      </c>
      <c r="D141" s="172">
        <f t="shared" ca="1" si="3"/>
        <v>0</v>
      </c>
      <c r="E141" s="172" t="s">
        <v>281</v>
      </c>
      <c r="F141" s="172"/>
      <c r="G141" s="174"/>
      <c r="H141" s="174"/>
      <c r="I141" s="172">
        <f ca="1">IFERROR(__xludf.DUMMYFUNCTION("""COMPUTED_VALUE"""),0)</f>
        <v>0</v>
      </c>
      <c r="J141" s="172"/>
      <c r="K141" s="172"/>
      <c r="L141" s="172"/>
      <c r="M141" s="172"/>
      <c r="N141" s="172"/>
      <c r="O141" s="172"/>
      <c r="P141" s="172"/>
      <c r="Q141" s="172"/>
      <c r="R141" s="172"/>
      <c r="S141" s="172"/>
      <c r="T141" s="172"/>
      <c r="U141" s="172"/>
      <c r="V141" s="172"/>
      <c r="W141" s="172"/>
      <c r="X141" s="172"/>
      <c r="Y141" s="172"/>
      <c r="Z141" s="172"/>
      <c r="AA141" s="172"/>
    </row>
    <row r="142" spans="1:27" ht="16">
      <c r="A142" s="170" t="str">
        <f t="shared" ca="1" si="0"/>
        <v/>
      </c>
      <c r="B142" s="171" t="str">
        <f t="shared" ca="1" si="1"/>
        <v/>
      </c>
      <c r="C142" s="171" t="str">
        <f t="shared" ca="1" si="2"/>
        <v/>
      </c>
      <c r="D142" s="172">
        <f t="shared" ca="1" si="3"/>
        <v>0</v>
      </c>
      <c r="E142" s="172" t="s">
        <v>281</v>
      </c>
      <c r="F142" s="172"/>
      <c r="G142" s="174"/>
      <c r="H142" s="174"/>
      <c r="I142" s="172">
        <f ca="1">IFERROR(__xludf.DUMMYFUNCTION("""COMPUTED_VALUE"""),0)</f>
        <v>0</v>
      </c>
      <c r="J142" s="172"/>
      <c r="K142" s="172"/>
      <c r="L142" s="172"/>
      <c r="M142" s="172"/>
      <c r="N142" s="172"/>
      <c r="O142" s="172"/>
      <c r="P142" s="172"/>
      <c r="Q142" s="172"/>
      <c r="R142" s="172"/>
      <c r="S142" s="172"/>
      <c r="T142" s="172"/>
      <c r="U142" s="172"/>
      <c r="V142" s="172"/>
      <c r="W142" s="172"/>
      <c r="X142" s="172"/>
      <c r="Y142" s="172"/>
      <c r="Z142" s="172"/>
      <c r="AA142" s="172"/>
    </row>
    <row r="143" spans="1:27" ht="16">
      <c r="A143" s="170" t="str">
        <f t="shared" ca="1" si="0"/>
        <v/>
      </c>
      <c r="B143" s="171" t="str">
        <f t="shared" ca="1" si="1"/>
        <v/>
      </c>
      <c r="C143" s="171" t="str">
        <f t="shared" ca="1" si="2"/>
        <v/>
      </c>
      <c r="D143" s="172">
        <f t="shared" ca="1" si="3"/>
        <v>0</v>
      </c>
      <c r="E143" s="172" t="s">
        <v>281</v>
      </c>
      <c r="F143" s="172"/>
      <c r="G143" s="174"/>
      <c r="H143" s="174"/>
      <c r="I143" s="172">
        <f ca="1">IFERROR(__xludf.DUMMYFUNCTION("""COMPUTED_VALUE"""),0)</f>
        <v>0</v>
      </c>
      <c r="J143" s="172"/>
      <c r="K143" s="172"/>
      <c r="L143" s="172"/>
      <c r="M143" s="172"/>
      <c r="N143" s="172"/>
      <c r="O143" s="172"/>
      <c r="P143" s="172"/>
      <c r="Q143" s="172"/>
      <c r="R143" s="172"/>
      <c r="S143" s="172"/>
      <c r="T143" s="172"/>
      <c r="U143" s="172"/>
      <c r="V143" s="172"/>
      <c r="W143" s="172"/>
      <c r="X143" s="172"/>
      <c r="Y143" s="172"/>
      <c r="Z143" s="172"/>
      <c r="AA143" s="172"/>
    </row>
    <row r="144" spans="1:27" ht="16">
      <c r="A144" s="170" t="str">
        <f t="shared" ca="1" si="0"/>
        <v/>
      </c>
      <c r="B144" s="171" t="str">
        <f t="shared" ca="1" si="1"/>
        <v/>
      </c>
      <c r="C144" s="171" t="str">
        <f t="shared" ca="1" si="2"/>
        <v/>
      </c>
      <c r="D144" s="172">
        <f t="shared" ca="1" si="3"/>
        <v>0</v>
      </c>
      <c r="E144" s="172" t="s">
        <v>281</v>
      </c>
      <c r="F144" s="172"/>
      <c r="G144" s="174"/>
      <c r="H144" s="174"/>
      <c r="I144" s="172">
        <f ca="1">IFERROR(__xludf.DUMMYFUNCTION("""COMPUTED_VALUE"""),0)</f>
        <v>0</v>
      </c>
      <c r="J144" s="172"/>
      <c r="K144" s="172"/>
      <c r="L144" s="172"/>
      <c r="M144" s="172"/>
      <c r="N144" s="172"/>
      <c r="O144" s="172"/>
      <c r="P144" s="172"/>
      <c r="Q144" s="172"/>
      <c r="R144" s="172"/>
      <c r="S144" s="172"/>
      <c r="T144" s="172"/>
      <c r="U144" s="172"/>
      <c r="V144" s="172"/>
      <c r="W144" s="172"/>
      <c r="X144" s="172"/>
      <c r="Y144" s="172"/>
      <c r="Z144" s="172"/>
      <c r="AA144" s="172"/>
    </row>
    <row r="145" spans="1:27" ht="16">
      <c r="A145" s="170" t="str">
        <f t="shared" ca="1" si="0"/>
        <v/>
      </c>
      <c r="B145" s="171" t="str">
        <f t="shared" ca="1" si="1"/>
        <v/>
      </c>
      <c r="C145" s="171" t="str">
        <f t="shared" ca="1" si="2"/>
        <v/>
      </c>
      <c r="D145" s="172">
        <f t="shared" ca="1" si="3"/>
        <v>0</v>
      </c>
      <c r="E145" s="172" t="s">
        <v>281</v>
      </c>
      <c r="F145" s="172"/>
      <c r="G145" s="174"/>
      <c r="H145" s="174"/>
      <c r="I145" s="172">
        <f ca="1">IFERROR(__xludf.DUMMYFUNCTION("""COMPUTED_VALUE"""),0)</f>
        <v>0</v>
      </c>
      <c r="J145" s="172"/>
      <c r="K145" s="172"/>
      <c r="L145" s="172"/>
      <c r="M145" s="172"/>
      <c r="N145" s="172"/>
      <c r="O145" s="172"/>
      <c r="P145" s="172"/>
      <c r="Q145" s="172"/>
      <c r="R145" s="172"/>
      <c r="S145" s="172"/>
      <c r="T145" s="172"/>
      <c r="U145" s="172"/>
      <c r="V145" s="172"/>
      <c r="W145" s="172"/>
      <c r="X145" s="172"/>
      <c r="Y145" s="172"/>
      <c r="Z145" s="172"/>
      <c r="AA145" s="172"/>
    </row>
    <row r="146" spans="1:27" ht="16">
      <c r="A146" s="170" t="str">
        <f t="shared" ca="1" si="0"/>
        <v/>
      </c>
      <c r="B146" s="171" t="str">
        <f t="shared" ca="1" si="1"/>
        <v/>
      </c>
      <c r="C146" s="171" t="str">
        <f t="shared" ca="1" si="2"/>
        <v/>
      </c>
      <c r="D146" s="172">
        <f t="shared" ca="1" si="3"/>
        <v>0</v>
      </c>
      <c r="E146" s="172" t="s">
        <v>281</v>
      </c>
      <c r="F146" s="172"/>
      <c r="G146" s="174"/>
      <c r="H146" s="174"/>
      <c r="I146" s="172">
        <f ca="1">IFERROR(__xludf.DUMMYFUNCTION("""COMPUTED_VALUE"""),0)</f>
        <v>0</v>
      </c>
      <c r="J146" s="172"/>
      <c r="K146" s="172"/>
      <c r="L146" s="172"/>
      <c r="M146" s="172"/>
      <c r="N146" s="172"/>
      <c r="O146" s="172"/>
      <c r="P146" s="172"/>
      <c r="Q146" s="172"/>
      <c r="R146" s="172"/>
      <c r="S146" s="172"/>
      <c r="T146" s="172"/>
      <c r="U146" s="172"/>
      <c r="V146" s="172"/>
      <c r="W146" s="172"/>
      <c r="X146" s="172"/>
      <c r="Y146" s="172"/>
      <c r="Z146" s="172"/>
      <c r="AA146" s="172"/>
    </row>
    <row r="147" spans="1:27" ht="16">
      <c r="A147" s="170" t="str">
        <f t="shared" ca="1" si="0"/>
        <v/>
      </c>
      <c r="B147" s="171" t="str">
        <f t="shared" ca="1" si="1"/>
        <v/>
      </c>
      <c r="C147" s="171" t="str">
        <f t="shared" ca="1" si="2"/>
        <v/>
      </c>
      <c r="D147" s="172">
        <f t="shared" ca="1" si="3"/>
        <v>0</v>
      </c>
      <c r="E147" s="172" t="s">
        <v>281</v>
      </c>
      <c r="F147" s="172"/>
      <c r="G147" s="174"/>
      <c r="H147" s="174"/>
      <c r="I147" s="172">
        <f ca="1">IFERROR(__xludf.DUMMYFUNCTION("""COMPUTED_VALUE"""),0)</f>
        <v>0</v>
      </c>
      <c r="J147" s="172"/>
      <c r="K147" s="172"/>
      <c r="L147" s="172"/>
      <c r="M147" s="172"/>
      <c r="N147" s="172"/>
      <c r="O147" s="172"/>
      <c r="P147" s="172"/>
      <c r="Q147" s="172"/>
      <c r="R147" s="172"/>
      <c r="S147" s="172"/>
      <c r="T147" s="172"/>
      <c r="U147" s="172"/>
      <c r="V147" s="172"/>
      <c r="W147" s="172"/>
      <c r="X147" s="172"/>
      <c r="Y147" s="172"/>
      <c r="Z147" s="172"/>
      <c r="AA147" s="172"/>
    </row>
    <row r="148" spans="1:27" ht="16">
      <c r="A148" s="170" t="str">
        <f t="shared" ca="1" si="0"/>
        <v/>
      </c>
      <c r="B148" s="171" t="str">
        <f t="shared" ca="1" si="1"/>
        <v/>
      </c>
      <c r="C148" s="171" t="str">
        <f t="shared" ca="1" si="2"/>
        <v/>
      </c>
      <c r="D148" s="172">
        <f t="shared" ca="1" si="3"/>
        <v>0</v>
      </c>
      <c r="E148" s="172" t="s">
        <v>281</v>
      </c>
      <c r="F148" s="172"/>
      <c r="G148" s="174"/>
      <c r="H148" s="174"/>
      <c r="I148" s="172">
        <f ca="1">IFERROR(__xludf.DUMMYFUNCTION("""COMPUTED_VALUE"""),0)</f>
        <v>0</v>
      </c>
      <c r="J148" s="172"/>
      <c r="K148" s="172"/>
      <c r="L148" s="172"/>
      <c r="M148" s="172"/>
      <c r="N148" s="172"/>
      <c r="O148" s="172"/>
      <c r="P148" s="172"/>
      <c r="Q148" s="172"/>
      <c r="R148" s="172"/>
      <c r="S148" s="172"/>
      <c r="T148" s="172"/>
      <c r="U148" s="172"/>
      <c r="V148" s="172"/>
      <c r="W148" s="172"/>
      <c r="X148" s="172"/>
      <c r="Y148" s="172"/>
      <c r="Z148" s="172"/>
      <c r="AA148" s="172"/>
    </row>
    <row r="149" spans="1:27" ht="16">
      <c r="A149" s="170" t="str">
        <f t="shared" ca="1" si="0"/>
        <v/>
      </c>
      <c r="B149" s="171" t="str">
        <f t="shared" ca="1" si="1"/>
        <v/>
      </c>
      <c r="C149" s="171" t="str">
        <f t="shared" ca="1" si="2"/>
        <v/>
      </c>
      <c r="D149" s="172">
        <f t="shared" ca="1" si="3"/>
        <v>0</v>
      </c>
      <c r="E149" s="172" t="s">
        <v>281</v>
      </c>
      <c r="F149" s="172"/>
      <c r="G149" s="174"/>
      <c r="H149" s="174"/>
      <c r="I149" s="172">
        <f ca="1">IFERROR(__xludf.DUMMYFUNCTION("""COMPUTED_VALUE"""),0)</f>
        <v>0</v>
      </c>
      <c r="J149" s="172"/>
      <c r="K149" s="172"/>
      <c r="L149" s="172"/>
      <c r="M149" s="172"/>
      <c r="N149" s="172"/>
      <c r="O149" s="172"/>
      <c r="P149" s="172"/>
      <c r="Q149" s="172"/>
      <c r="R149" s="172"/>
      <c r="S149" s="172"/>
      <c r="T149" s="172"/>
      <c r="U149" s="172"/>
      <c r="V149" s="172"/>
      <c r="W149" s="172"/>
      <c r="X149" s="172"/>
      <c r="Y149" s="172"/>
      <c r="Z149" s="172"/>
      <c r="AA149" s="172"/>
    </row>
    <row r="150" spans="1:27" ht="16">
      <c r="A150" s="170" t="str">
        <f t="shared" ca="1" si="0"/>
        <v/>
      </c>
      <c r="B150" s="171" t="str">
        <f t="shared" ca="1" si="1"/>
        <v/>
      </c>
      <c r="C150" s="171" t="str">
        <f t="shared" ca="1" si="2"/>
        <v/>
      </c>
      <c r="D150" s="172">
        <f t="shared" ca="1" si="3"/>
        <v>0</v>
      </c>
      <c r="E150" s="172" t="s">
        <v>281</v>
      </c>
      <c r="F150" s="172"/>
      <c r="G150" s="174"/>
      <c r="H150" s="174"/>
      <c r="I150" s="172">
        <f ca="1">IFERROR(__xludf.DUMMYFUNCTION("""COMPUTED_VALUE"""),0)</f>
        <v>0</v>
      </c>
      <c r="J150" s="172"/>
      <c r="K150" s="172"/>
      <c r="L150" s="172"/>
      <c r="M150" s="172"/>
      <c r="N150" s="172"/>
      <c r="O150" s="172"/>
      <c r="P150" s="172"/>
      <c r="Q150" s="172"/>
      <c r="R150" s="172"/>
      <c r="S150" s="172"/>
      <c r="T150" s="172"/>
      <c r="U150" s="172"/>
      <c r="V150" s="172"/>
      <c r="W150" s="172"/>
      <c r="X150" s="172"/>
      <c r="Y150" s="172"/>
      <c r="Z150" s="172"/>
      <c r="AA150" s="172"/>
    </row>
    <row r="151" spans="1:27" ht="16">
      <c r="A151" s="170" t="str">
        <f t="shared" ca="1" si="0"/>
        <v/>
      </c>
      <c r="B151" s="171" t="str">
        <f t="shared" ca="1" si="1"/>
        <v/>
      </c>
      <c r="C151" s="171" t="str">
        <f t="shared" ca="1" si="2"/>
        <v/>
      </c>
      <c r="D151" s="172">
        <f t="shared" ca="1" si="3"/>
        <v>0</v>
      </c>
      <c r="E151" s="172" t="s">
        <v>281</v>
      </c>
      <c r="F151" s="172"/>
      <c r="G151" s="174"/>
      <c r="H151" s="174"/>
      <c r="I151" s="172">
        <f ca="1">IFERROR(__xludf.DUMMYFUNCTION("""COMPUTED_VALUE"""),0)</f>
        <v>0</v>
      </c>
      <c r="J151" s="172"/>
      <c r="K151" s="172"/>
      <c r="L151" s="172"/>
      <c r="M151" s="172"/>
      <c r="N151" s="172"/>
      <c r="O151" s="172"/>
      <c r="P151" s="172"/>
      <c r="Q151" s="172"/>
      <c r="R151" s="172"/>
      <c r="S151" s="172"/>
      <c r="T151" s="172"/>
      <c r="U151" s="172"/>
      <c r="V151" s="172"/>
      <c r="W151" s="172"/>
      <c r="X151" s="172"/>
      <c r="Y151" s="172"/>
      <c r="Z151" s="172"/>
      <c r="AA151" s="172"/>
    </row>
    <row r="152" spans="1:27" ht="16">
      <c r="A152" s="170" t="str">
        <f t="shared" ca="1" si="0"/>
        <v/>
      </c>
      <c r="B152" s="171" t="str">
        <f t="shared" ca="1" si="1"/>
        <v/>
      </c>
      <c r="C152" s="171" t="str">
        <f t="shared" ca="1" si="2"/>
        <v/>
      </c>
      <c r="D152" s="172">
        <f t="shared" ca="1" si="3"/>
        <v>0</v>
      </c>
      <c r="E152" s="172" t="s">
        <v>281</v>
      </c>
      <c r="F152" s="172"/>
      <c r="G152" s="174"/>
      <c r="H152" s="174"/>
      <c r="I152" s="172">
        <f ca="1">IFERROR(__xludf.DUMMYFUNCTION("""COMPUTED_VALUE"""),0)</f>
        <v>0</v>
      </c>
      <c r="J152" s="172"/>
      <c r="K152" s="172"/>
      <c r="L152" s="172"/>
      <c r="M152" s="172"/>
      <c r="N152" s="172"/>
      <c r="O152" s="172"/>
      <c r="P152" s="172"/>
      <c r="Q152" s="172"/>
      <c r="R152" s="172"/>
      <c r="S152" s="172"/>
      <c r="T152" s="172"/>
      <c r="U152" s="172"/>
      <c r="V152" s="172"/>
      <c r="W152" s="172"/>
      <c r="X152" s="172"/>
      <c r="Y152" s="172"/>
      <c r="Z152" s="172"/>
      <c r="AA152" s="172"/>
    </row>
    <row r="153" spans="1:27" ht="16">
      <c r="A153" s="170" t="str">
        <f t="shared" ca="1" si="0"/>
        <v/>
      </c>
      <c r="B153" s="171" t="str">
        <f t="shared" ca="1" si="1"/>
        <v/>
      </c>
      <c r="C153" s="171" t="str">
        <f t="shared" ca="1" si="2"/>
        <v/>
      </c>
      <c r="D153" s="172">
        <f t="shared" ca="1" si="3"/>
        <v>0</v>
      </c>
      <c r="E153" s="172" t="s">
        <v>281</v>
      </c>
      <c r="F153" s="172"/>
      <c r="G153" s="174"/>
      <c r="H153" s="174"/>
      <c r="I153" s="172">
        <f ca="1">IFERROR(__xludf.DUMMYFUNCTION("""COMPUTED_VALUE"""),0)</f>
        <v>0</v>
      </c>
      <c r="J153" s="172"/>
      <c r="K153" s="172"/>
      <c r="L153" s="172"/>
      <c r="M153" s="172"/>
      <c r="N153" s="172"/>
      <c r="O153" s="172"/>
      <c r="P153" s="172"/>
      <c r="Q153" s="172"/>
      <c r="R153" s="172"/>
      <c r="S153" s="172"/>
      <c r="T153" s="172"/>
      <c r="U153" s="172"/>
      <c r="V153" s="172"/>
      <c r="W153" s="172"/>
      <c r="X153" s="172"/>
      <c r="Y153" s="172"/>
      <c r="Z153" s="172"/>
      <c r="AA153" s="172"/>
    </row>
    <row r="154" spans="1:27" ht="16">
      <c r="A154" s="170" t="str">
        <f t="shared" ca="1" si="0"/>
        <v/>
      </c>
      <c r="B154" s="171" t="str">
        <f t="shared" ca="1" si="1"/>
        <v/>
      </c>
      <c r="C154" s="171" t="str">
        <f t="shared" ca="1" si="2"/>
        <v/>
      </c>
      <c r="D154" s="172">
        <f t="shared" ca="1" si="3"/>
        <v>0</v>
      </c>
      <c r="E154" s="172" t="s">
        <v>281</v>
      </c>
      <c r="F154" s="172"/>
      <c r="G154" s="174"/>
      <c r="H154" s="174"/>
      <c r="I154" s="172">
        <f ca="1">IFERROR(__xludf.DUMMYFUNCTION("""COMPUTED_VALUE"""),0)</f>
        <v>0</v>
      </c>
      <c r="J154" s="172"/>
      <c r="K154" s="172"/>
      <c r="L154" s="172"/>
      <c r="M154" s="172"/>
      <c r="N154" s="172"/>
      <c r="O154" s="172"/>
      <c r="P154" s="172"/>
      <c r="Q154" s="172"/>
      <c r="R154" s="172"/>
      <c r="S154" s="172"/>
      <c r="T154" s="172"/>
      <c r="U154" s="172"/>
      <c r="V154" s="172"/>
      <c r="W154" s="172"/>
      <c r="X154" s="172"/>
      <c r="Y154" s="172"/>
      <c r="Z154" s="172"/>
      <c r="AA154" s="172"/>
    </row>
    <row r="155" spans="1:27" ht="16">
      <c r="A155" s="170" t="str">
        <f t="shared" ca="1" si="0"/>
        <v/>
      </c>
      <c r="B155" s="171" t="str">
        <f t="shared" ca="1" si="1"/>
        <v/>
      </c>
      <c r="C155" s="171" t="str">
        <f t="shared" ca="1" si="2"/>
        <v/>
      </c>
      <c r="D155" s="172">
        <f t="shared" ca="1" si="3"/>
        <v>0</v>
      </c>
      <c r="E155" s="172" t="s">
        <v>281</v>
      </c>
      <c r="F155" s="172"/>
      <c r="G155" s="174"/>
      <c r="H155" s="174"/>
      <c r="I155" s="172">
        <f ca="1">IFERROR(__xludf.DUMMYFUNCTION("""COMPUTED_VALUE"""),0)</f>
        <v>0</v>
      </c>
      <c r="J155" s="172"/>
      <c r="K155" s="172"/>
      <c r="L155" s="172"/>
      <c r="M155" s="172"/>
      <c r="N155" s="172"/>
      <c r="O155" s="172"/>
      <c r="P155" s="172"/>
      <c r="Q155" s="172"/>
      <c r="R155" s="172"/>
      <c r="S155" s="172"/>
      <c r="T155" s="172"/>
      <c r="U155" s="172"/>
      <c r="V155" s="172"/>
      <c r="W155" s="172"/>
      <c r="X155" s="172"/>
      <c r="Y155" s="172"/>
      <c r="Z155" s="172"/>
      <c r="AA155" s="172"/>
    </row>
    <row r="156" spans="1:27" ht="16">
      <c r="A156" s="170" t="str">
        <f t="shared" ca="1" si="0"/>
        <v/>
      </c>
      <c r="B156" s="171" t="str">
        <f t="shared" ca="1" si="1"/>
        <v/>
      </c>
      <c r="C156" s="171" t="str">
        <f t="shared" ca="1" si="2"/>
        <v/>
      </c>
      <c r="D156" s="172">
        <f t="shared" ca="1" si="3"/>
        <v>0</v>
      </c>
      <c r="E156" s="172" t="s">
        <v>281</v>
      </c>
      <c r="F156" s="172"/>
      <c r="G156" s="174"/>
      <c r="H156" s="174"/>
      <c r="I156" s="172">
        <f ca="1">IFERROR(__xludf.DUMMYFUNCTION("""COMPUTED_VALUE"""),0)</f>
        <v>0</v>
      </c>
      <c r="J156" s="172"/>
      <c r="K156" s="172"/>
      <c r="L156" s="172"/>
      <c r="M156" s="172"/>
      <c r="N156" s="172"/>
      <c r="O156" s="172"/>
      <c r="P156" s="172"/>
      <c r="Q156" s="172"/>
      <c r="R156" s="172"/>
      <c r="S156" s="172"/>
      <c r="T156" s="172"/>
      <c r="U156" s="172"/>
      <c r="V156" s="172"/>
      <c r="W156" s="172"/>
      <c r="X156" s="172"/>
      <c r="Y156" s="172"/>
      <c r="Z156" s="172"/>
      <c r="AA156" s="172"/>
    </row>
    <row r="157" spans="1:27" ht="16">
      <c r="A157" s="170" t="str">
        <f t="shared" ca="1" si="0"/>
        <v/>
      </c>
      <c r="B157" s="171" t="str">
        <f t="shared" ca="1" si="1"/>
        <v/>
      </c>
      <c r="C157" s="171" t="str">
        <f t="shared" ca="1" si="2"/>
        <v/>
      </c>
      <c r="D157" s="172">
        <f t="shared" ca="1" si="3"/>
        <v>0</v>
      </c>
      <c r="E157" s="172" t="s">
        <v>281</v>
      </c>
      <c r="F157" s="172"/>
      <c r="G157" s="174"/>
      <c r="H157" s="174"/>
      <c r="I157" s="172">
        <f ca="1">IFERROR(__xludf.DUMMYFUNCTION("""COMPUTED_VALUE"""),0)</f>
        <v>0</v>
      </c>
      <c r="J157" s="172"/>
      <c r="K157" s="172"/>
      <c r="L157" s="172"/>
      <c r="M157" s="172"/>
      <c r="N157" s="172"/>
      <c r="O157" s="172"/>
      <c r="P157" s="172"/>
      <c r="Q157" s="172"/>
      <c r="R157" s="172"/>
      <c r="S157" s="172"/>
      <c r="T157" s="172"/>
      <c r="U157" s="172"/>
      <c r="V157" s="172"/>
      <c r="W157" s="172"/>
      <c r="X157" s="172"/>
      <c r="Y157" s="172"/>
      <c r="Z157" s="172"/>
      <c r="AA157" s="172"/>
    </row>
    <row r="158" spans="1:27" ht="16">
      <c r="A158" s="170" t="str">
        <f t="shared" ca="1" si="0"/>
        <v/>
      </c>
      <c r="B158" s="171" t="str">
        <f t="shared" ca="1" si="1"/>
        <v/>
      </c>
      <c r="C158" s="171" t="str">
        <f t="shared" ca="1" si="2"/>
        <v/>
      </c>
      <c r="D158" s="172">
        <f t="shared" ca="1" si="3"/>
        <v>0</v>
      </c>
      <c r="E158" s="172" t="s">
        <v>281</v>
      </c>
      <c r="F158" s="172"/>
      <c r="G158" s="174"/>
      <c r="H158" s="174"/>
      <c r="I158" s="172">
        <f ca="1">IFERROR(__xludf.DUMMYFUNCTION("""COMPUTED_VALUE"""),0)</f>
        <v>0</v>
      </c>
      <c r="J158" s="172"/>
      <c r="K158" s="172"/>
      <c r="L158" s="172"/>
      <c r="M158" s="172"/>
      <c r="N158" s="172"/>
      <c r="O158" s="172"/>
      <c r="P158" s="172"/>
      <c r="Q158" s="172"/>
      <c r="R158" s="172"/>
      <c r="S158" s="172"/>
      <c r="T158" s="172"/>
      <c r="U158" s="172"/>
      <c r="V158" s="172"/>
      <c r="W158" s="172"/>
      <c r="X158" s="172"/>
      <c r="Y158" s="172"/>
      <c r="Z158" s="172"/>
      <c r="AA158" s="172"/>
    </row>
    <row r="159" spans="1:27" ht="16">
      <c r="A159" s="170" t="str">
        <f t="shared" ca="1" si="0"/>
        <v/>
      </c>
      <c r="B159" s="171" t="str">
        <f t="shared" ca="1" si="1"/>
        <v/>
      </c>
      <c r="C159" s="171" t="str">
        <f t="shared" ca="1" si="2"/>
        <v/>
      </c>
      <c r="D159" s="172">
        <f t="shared" ca="1" si="3"/>
        <v>0</v>
      </c>
      <c r="E159" s="172" t="s">
        <v>281</v>
      </c>
      <c r="F159" s="172"/>
      <c r="G159" s="174"/>
      <c r="H159" s="174"/>
      <c r="I159" s="172">
        <f ca="1">IFERROR(__xludf.DUMMYFUNCTION("""COMPUTED_VALUE"""),0)</f>
        <v>0</v>
      </c>
      <c r="J159" s="172"/>
      <c r="K159" s="172"/>
      <c r="L159" s="172"/>
      <c r="M159" s="172"/>
      <c r="N159" s="172"/>
      <c r="O159" s="172"/>
      <c r="P159" s="172"/>
      <c r="Q159" s="172"/>
      <c r="R159" s="172"/>
      <c r="S159" s="172"/>
      <c r="T159" s="172"/>
      <c r="U159" s="172"/>
      <c r="V159" s="172"/>
      <c r="W159" s="172"/>
      <c r="X159" s="172"/>
      <c r="Y159" s="172"/>
      <c r="Z159" s="172"/>
      <c r="AA159" s="172"/>
    </row>
    <row r="160" spans="1:27" ht="16">
      <c r="A160" s="170" t="str">
        <f t="shared" ca="1" si="0"/>
        <v/>
      </c>
      <c r="B160" s="171" t="str">
        <f t="shared" ca="1" si="1"/>
        <v/>
      </c>
      <c r="C160" s="171" t="str">
        <f t="shared" ca="1" si="2"/>
        <v/>
      </c>
      <c r="D160" s="172">
        <f t="shared" ca="1" si="3"/>
        <v>0</v>
      </c>
      <c r="E160" s="172" t="s">
        <v>281</v>
      </c>
      <c r="F160" s="172"/>
      <c r="G160" s="174"/>
      <c r="H160" s="174"/>
      <c r="I160" s="172">
        <f ca="1">IFERROR(__xludf.DUMMYFUNCTION("""COMPUTED_VALUE"""),0)</f>
        <v>0</v>
      </c>
      <c r="J160" s="172"/>
      <c r="K160" s="172"/>
      <c r="L160" s="172"/>
      <c r="M160" s="172"/>
      <c r="N160" s="172"/>
      <c r="O160" s="172"/>
      <c r="P160" s="172"/>
      <c r="Q160" s="172"/>
      <c r="R160" s="172"/>
      <c r="S160" s="172"/>
      <c r="T160" s="172"/>
      <c r="U160" s="172"/>
      <c r="V160" s="172"/>
      <c r="W160" s="172"/>
      <c r="X160" s="172"/>
      <c r="Y160" s="172"/>
      <c r="Z160" s="172"/>
      <c r="AA160" s="172"/>
    </row>
    <row r="161" spans="1:27" ht="16">
      <c r="A161" s="170" t="str">
        <f t="shared" ca="1" si="0"/>
        <v/>
      </c>
      <c r="B161" s="171" t="str">
        <f t="shared" ca="1" si="1"/>
        <v/>
      </c>
      <c r="C161" s="171" t="str">
        <f t="shared" ca="1" si="2"/>
        <v/>
      </c>
      <c r="D161" s="172">
        <f t="shared" ca="1" si="3"/>
        <v>0</v>
      </c>
      <c r="E161" s="172" t="s">
        <v>281</v>
      </c>
      <c r="F161" s="172"/>
      <c r="G161" s="174"/>
      <c r="H161" s="174"/>
      <c r="I161" s="172">
        <f ca="1">IFERROR(__xludf.DUMMYFUNCTION("""COMPUTED_VALUE"""),0)</f>
        <v>0</v>
      </c>
      <c r="J161" s="172"/>
      <c r="K161" s="172"/>
      <c r="L161" s="172"/>
      <c r="M161" s="172"/>
      <c r="N161" s="172"/>
      <c r="O161" s="172"/>
      <c r="P161" s="172"/>
      <c r="Q161" s="172"/>
      <c r="R161" s="172"/>
      <c r="S161" s="172"/>
      <c r="T161" s="172"/>
      <c r="U161" s="172"/>
      <c r="V161" s="172"/>
      <c r="W161" s="172"/>
      <c r="X161" s="172"/>
      <c r="Y161" s="172"/>
      <c r="Z161" s="172"/>
      <c r="AA161" s="172"/>
    </row>
    <row r="162" spans="1:27" ht="16">
      <c r="A162" s="170" t="str">
        <f t="shared" ca="1" si="0"/>
        <v/>
      </c>
      <c r="B162" s="171" t="str">
        <f t="shared" ca="1" si="1"/>
        <v/>
      </c>
      <c r="C162" s="171" t="str">
        <f t="shared" ca="1" si="2"/>
        <v/>
      </c>
      <c r="D162" s="172">
        <f t="shared" ca="1" si="3"/>
        <v>0</v>
      </c>
      <c r="E162" s="172" t="s">
        <v>281</v>
      </c>
      <c r="F162" s="172"/>
      <c r="G162" s="174"/>
      <c r="H162" s="174"/>
      <c r="I162" s="172">
        <f ca="1">IFERROR(__xludf.DUMMYFUNCTION("""COMPUTED_VALUE"""),0)</f>
        <v>0</v>
      </c>
      <c r="J162" s="172"/>
      <c r="K162" s="172"/>
      <c r="L162" s="172"/>
      <c r="M162" s="172"/>
      <c r="N162" s="172"/>
      <c r="O162" s="172"/>
      <c r="P162" s="172"/>
      <c r="Q162" s="172"/>
      <c r="R162" s="172"/>
      <c r="S162" s="172"/>
      <c r="T162" s="172"/>
      <c r="U162" s="172"/>
      <c r="V162" s="172"/>
      <c r="W162" s="172"/>
      <c r="X162" s="172"/>
      <c r="Y162" s="172"/>
      <c r="Z162" s="172"/>
      <c r="AA162" s="172"/>
    </row>
    <row r="163" spans="1:27" ht="16">
      <c r="A163" s="170" t="str">
        <f t="shared" ca="1" si="0"/>
        <v/>
      </c>
      <c r="B163" s="171" t="str">
        <f t="shared" ca="1" si="1"/>
        <v/>
      </c>
      <c r="C163" s="171" t="str">
        <f t="shared" ca="1" si="2"/>
        <v/>
      </c>
      <c r="D163" s="172">
        <f t="shared" ca="1" si="3"/>
        <v>0</v>
      </c>
      <c r="E163" s="172" t="s">
        <v>281</v>
      </c>
      <c r="F163" s="172"/>
      <c r="G163" s="174"/>
      <c r="H163" s="174"/>
      <c r="I163" s="172">
        <f ca="1">IFERROR(__xludf.DUMMYFUNCTION("""COMPUTED_VALUE"""),0)</f>
        <v>0</v>
      </c>
      <c r="J163" s="172"/>
      <c r="K163" s="172"/>
      <c r="L163" s="172"/>
      <c r="M163" s="172"/>
      <c r="N163" s="172"/>
      <c r="O163" s="172"/>
      <c r="P163" s="172"/>
      <c r="Q163" s="172"/>
      <c r="R163" s="172"/>
      <c r="S163" s="172"/>
      <c r="T163" s="172"/>
      <c r="U163" s="172"/>
      <c r="V163" s="172"/>
      <c r="W163" s="172"/>
      <c r="X163" s="172"/>
      <c r="Y163" s="172"/>
      <c r="Z163" s="172"/>
      <c r="AA163" s="172"/>
    </row>
    <row r="164" spans="1:27" ht="16">
      <c r="A164" s="170" t="str">
        <f t="shared" ca="1" si="0"/>
        <v/>
      </c>
      <c r="B164" s="171" t="str">
        <f t="shared" ca="1" si="1"/>
        <v/>
      </c>
      <c r="C164" s="171" t="str">
        <f t="shared" ca="1" si="2"/>
        <v/>
      </c>
      <c r="D164" s="172">
        <f t="shared" ca="1" si="3"/>
        <v>0</v>
      </c>
      <c r="E164" s="172" t="s">
        <v>281</v>
      </c>
      <c r="F164" s="172"/>
      <c r="G164" s="174"/>
      <c r="H164" s="174"/>
      <c r="I164" s="172">
        <f ca="1">IFERROR(__xludf.DUMMYFUNCTION("""COMPUTED_VALUE"""),0)</f>
        <v>0</v>
      </c>
      <c r="J164" s="172"/>
      <c r="K164" s="172"/>
      <c r="L164" s="172"/>
      <c r="M164" s="172"/>
      <c r="N164" s="172"/>
      <c r="O164" s="172"/>
      <c r="P164" s="172"/>
      <c r="Q164" s="172"/>
      <c r="R164" s="172"/>
      <c r="S164" s="172"/>
      <c r="T164" s="172"/>
      <c r="U164" s="172"/>
      <c r="V164" s="172"/>
      <c r="W164" s="172"/>
      <c r="X164" s="172"/>
      <c r="Y164" s="172"/>
      <c r="Z164" s="172"/>
      <c r="AA164" s="172"/>
    </row>
    <row r="165" spans="1:27" ht="16">
      <c r="A165" s="170" t="str">
        <f t="shared" ca="1" si="0"/>
        <v/>
      </c>
      <c r="B165" s="171" t="str">
        <f t="shared" ca="1" si="1"/>
        <v/>
      </c>
      <c r="C165" s="171" t="str">
        <f t="shared" ca="1" si="2"/>
        <v/>
      </c>
      <c r="D165" s="172">
        <f t="shared" ca="1" si="3"/>
        <v>0</v>
      </c>
      <c r="E165" s="172" t="s">
        <v>281</v>
      </c>
      <c r="F165" s="172"/>
      <c r="G165" s="174"/>
      <c r="H165" s="174"/>
      <c r="I165" s="172">
        <f ca="1">IFERROR(__xludf.DUMMYFUNCTION("""COMPUTED_VALUE"""),0)</f>
        <v>0</v>
      </c>
      <c r="J165" s="172"/>
      <c r="K165" s="172"/>
      <c r="L165" s="172"/>
      <c r="M165" s="172"/>
      <c r="N165" s="172"/>
      <c r="O165" s="172"/>
      <c r="P165" s="172"/>
      <c r="Q165" s="172"/>
      <c r="R165" s="172"/>
      <c r="S165" s="172"/>
      <c r="T165" s="172"/>
      <c r="U165" s="172"/>
      <c r="V165" s="172"/>
      <c r="W165" s="172"/>
      <c r="X165" s="172"/>
      <c r="Y165" s="172"/>
      <c r="Z165" s="172"/>
      <c r="AA165" s="172"/>
    </row>
    <row r="166" spans="1:27" ht="16">
      <c r="A166" s="170" t="str">
        <f t="shared" ca="1" si="0"/>
        <v/>
      </c>
      <c r="B166" s="171" t="str">
        <f t="shared" ca="1" si="1"/>
        <v/>
      </c>
      <c r="C166" s="171" t="str">
        <f t="shared" ca="1" si="2"/>
        <v/>
      </c>
      <c r="D166" s="172">
        <f t="shared" ca="1" si="3"/>
        <v>0</v>
      </c>
      <c r="E166" s="172" t="s">
        <v>281</v>
      </c>
      <c r="F166" s="172"/>
      <c r="G166" s="174"/>
      <c r="H166" s="174"/>
      <c r="I166" s="172">
        <f ca="1">IFERROR(__xludf.DUMMYFUNCTION("""COMPUTED_VALUE"""),0)</f>
        <v>0</v>
      </c>
      <c r="J166" s="172"/>
      <c r="K166" s="172"/>
      <c r="L166" s="172"/>
      <c r="M166" s="172"/>
      <c r="N166" s="172"/>
      <c r="O166" s="172"/>
      <c r="P166" s="172"/>
      <c r="Q166" s="172"/>
      <c r="R166" s="172"/>
      <c r="S166" s="172"/>
      <c r="T166" s="172"/>
      <c r="U166" s="172"/>
      <c r="V166" s="172"/>
      <c r="W166" s="172"/>
      <c r="X166" s="172"/>
      <c r="Y166" s="172"/>
      <c r="Z166" s="172"/>
      <c r="AA166" s="172"/>
    </row>
    <row r="167" spans="1:27" ht="16">
      <c r="A167" s="170" t="str">
        <f t="shared" ca="1" si="0"/>
        <v/>
      </c>
      <c r="B167" s="171" t="str">
        <f t="shared" ca="1" si="1"/>
        <v/>
      </c>
      <c r="C167" s="171" t="str">
        <f t="shared" ca="1" si="2"/>
        <v/>
      </c>
      <c r="D167" s="172">
        <f t="shared" ca="1" si="3"/>
        <v>0</v>
      </c>
      <c r="E167" s="172" t="s">
        <v>281</v>
      </c>
      <c r="F167" s="172"/>
      <c r="G167" s="174"/>
      <c r="H167" s="174"/>
      <c r="I167" s="172">
        <f ca="1">IFERROR(__xludf.DUMMYFUNCTION("""COMPUTED_VALUE"""),0)</f>
        <v>0</v>
      </c>
      <c r="J167" s="172"/>
      <c r="K167" s="172"/>
      <c r="L167" s="172"/>
      <c r="M167" s="172"/>
      <c r="N167" s="172"/>
      <c r="O167" s="172"/>
      <c r="P167" s="172"/>
      <c r="Q167" s="172"/>
      <c r="R167" s="172"/>
      <c r="S167" s="172"/>
      <c r="T167" s="172"/>
      <c r="U167" s="172"/>
      <c r="V167" s="172"/>
      <c r="W167" s="172"/>
      <c r="X167" s="172"/>
      <c r="Y167" s="172"/>
      <c r="Z167" s="172"/>
      <c r="AA167" s="172"/>
    </row>
    <row r="168" spans="1:27" ht="16">
      <c r="A168" s="170" t="str">
        <f t="shared" ca="1" si="0"/>
        <v/>
      </c>
      <c r="B168" s="171" t="str">
        <f t="shared" ca="1" si="1"/>
        <v/>
      </c>
      <c r="C168" s="171" t="str">
        <f t="shared" ca="1" si="2"/>
        <v/>
      </c>
      <c r="D168" s="172">
        <f t="shared" ca="1" si="3"/>
        <v>0</v>
      </c>
      <c r="E168" s="172" t="s">
        <v>281</v>
      </c>
      <c r="F168" s="172"/>
      <c r="G168" s="174"/>
      <c r="H168" s="174"/>
      <c r="I168" s="172">
        <f ca="1">IFERROR(__xludf.DUMMYFUNCTION("""COMPUTED_VALUE"""),0)</f>
        <v>0</v>
      </c>
      <c r="J168" s="172"/>
      <c r="K168" s="172"/>
      <c r="L168" s="172"/>
      <c r="M168" s="172"/>
      <c r="N168" s="172"/>
      <c r="O168" s="172"/>
      <c r="P168" s="172"/>
      <c r="Q168" s="172"/>
      <c r="R168" s="172"/>
      <c r="S168" s="172"/>
      <c r="T168" s="172"/>
      <c r="U168" s="172"/>
      <c r="V168" s="172"/>
      <c r="W168" s="172"/>
      <c r="X168" s="172"/>
      <c r="Y168" s="172"/>
      <c r="Z168" s="172"/>
      <c r="AA168" s="172"/>
    </row>
    <row r="169" spans="1:27" ht="16">
      <c r="A169" s="170" t="str">
        <f t="shared" ca="1" si="0"/>
        <v/>
      </c>
      <c r="B169" s="171" t="str">
        <f t="shared" ca="1" si="1"/>
        <v/>
      </c>
      <c r="C169" s="171" t="str">
        <f t="shared" ca="1" si="2"/>
        <v/>
      </c>
      <c r="D169" s="172">
        <f t="shared" ca="1" si="3"/>
        <v>0</v>
      </c>
      <c r="E169" s="172" t="s">
        <v>281</v>
      </c>
      <c r="F169" s="172"/>
      <c r="G169" s="174"/>
      <c r="H169" s="174"/>
      <c r="I169" s="172">
        <f ca="1">IFERROR(__xludf.DUMMYFUNCTION("""COMPUTED_VALUE"""),0)</f>
        <v>0</v>
      </c>
      <c r="J169" s="172"/>
      <c r="K169" s="172"/>
      <c r="L169" s="172"/>
      <c r="M169" s="172"/>
      <c r="N169" s="172"/>
      <c r="O169" s="172"/>
      <c r="P169" s="172"/>
      <c r="Q169" s="172"/>
      <c r="R169" s="172"/>
      <c r="S169" s="172"/>
      <c r="T169" s="172"/>
      <c r="U169" s="172"/>
      <c r="V169" s="172"/>
      <c r="W169" s="172"/>
      <c r="X169" s="172"/>
      <c r="Y169" s="172"/>
      <c r="Z169" s="172"/>
      <c r="AA169" s="172"/>
    </row>
    <row r="170" spans="1:27" ht="16">
      <c r="A170" s="170" t="str">
        <f t="shared" ca="1" si="0"/>
        <v/>
      </c>
      <c r="B170" s="171" t="str">
        <f t="shared" ca="1" si="1"/>
        <v/>
      </c>
      <c r="C170" s="171" t="str">
        <f t="shared" ca="1" si="2"/>
        <v/>
      </c>
      <c r="D170" s="172">
        <f t="shared" ca="1" si="3"/>
        <v>0</v>
      </c>
      <c r="E170" s="172" t="s">
        <v>281</v>
      </c>
      <c r="F170" s="172"/>
      <c r="G170" s="174"/>
      <c r="H170" s="174"/>
      <c r="I170" s="172">
        <f ca="1">IFERROR(__xludf.DUMMYFUNCTION("""COMPUTED_VALUE"""),0)</f>
        <v>0</v>
      </c>
      <c r="J170" s="172"/>
      <c r="K170" s="172"/>
      <c r="L170" s="172"/>
      <c r="M170" s="172"/>
      <c r="N170" s="172"/>
      <c r="O170" s="172"/>
      <c r="P170" s="172"/>
      <c r="Q170" s="172"/>
      <c r="R170" s="172"/>
      <c r="S170" s="172"/>
      <c r="T170" s="172"/>
      <c r="U170" s="172"/>
      <c r="V170" s="172"/>
      <c r="W170" s="172"/>
      <c r="X170" s="172"/>
      <c r="Y170" s="172"/>
      <c r="Z170" s="172"/>
      <c r="AA170" s="172"/>
    </row>
    <row r="171" spans="1:27" ht="16">
      <c r="A171" s="170" t="str">
        <f t="shared" ca="1" si="0"/>
        <v/>
      </c>
      <c r="B171" s="171" t="str">
        <f t="shared" ca="1" si="1"/>
        <v/>
      </c>
      <c r="C171" s="171" t="str">
        <f t="shared" ca="1" si="2"/>
        <v/>
      </c>
      <c r="D171" s="172">
        <f t="shared" ca="1" si="3"/>
        <v>0</v>
      </c>
      <c r="E171" s="172" t="s">
        <v>281</v>
      </c>
      <c r="F171" s="172"/>
      <c r="G171" s="174"/>
      <c r="H171" s="174"/>
      <c r="I171" s="172">
        <f ca="1">IFERROR(__xludf.DUMMYFUNCTION("""COMPUTED_VALUE"""),0)</f>
        <v>0</v>
      </c>
      <c r="J171" s="172"/>
      <c r="K171" s="172"/>
      <c r="L171" s="172"/>
      <c r="M171" s="172"/>
      <c r="N171" s="172"/>
      <c r="O171" s="172"/>
      <c r="P171" s="172"/>
      <c r="Q171" s="172"/>
      <c r="R171" s="172"/>
      <c r="S171" s="172"/>
      <c r="T171" s="172"/>
      <c r="U171" s="172"/>
      <c r="V171" s="172"/>
      <c r="W171" s="172"/>
      <c r="X171" s="172"/>
      <c r="Y171" s="172"/>
      <c r="Z171" s="172"/>
      <c r="AA171" s="172"/>
    </row>
    <row r="172" spans="1:27" ht="16">
      <c r="A172" s="170" t="str">
        <f t="shared" ca="1" si="0"/>
        <v/>
      </c>
      <c r="B172" s="171" t="str">
        <f t="shared" ca="1" si="1"/>
        <v/>
      </c>
      <c r="C172" s="171" t="str">
        <f t="shared" ca="1" si="2"/>
        <v/>
      </c>
      <c r="D172" s="172">
        <f t="shared" ca="1" si="3"/>
        <v>0</v>
      </c>
      <c r="E172" s="172" t="s">
        <v>281</v>
      </c>
      <c r="F172" s="172"/>
      <c r="G172" s="174"/>
      <c r="H172" s="174"/>
      <c r="I172" s="172">
        <f ca="1">IFERROR(__xludf.DUMMYFUNCTION("""COMPUTED_VALUE"""),0)</f>
        <v>0</v>
      </c>
      <c r="J172" s="172"/>
      <c r="K172" s="172"/>
      <c r="L172" s="172"/>
      <c r="M172" s="172"/>
      <c r="N172" s="172"/>
      <c r="O172" s="172"/>
      <c r="P172" s="172"/>
      <c r="Q172" s="172"/>
      <c r="R172" s="172"/>
      <c r="S172" s="172"/>
      <c r="T172" s="172"/>
      <c r="U172" s="172"/>
      <c r="V172" s="172"/>
      <c r="W172" s="172"/>
      <c r="X172" s="172"/>
      <c r="Y172" s="172"/>
      <c r="Z172" s="172"/>
      <c r="AA172" s="172"/>
    </row>
    <row r="173" spans="1:27" ht="16">
      <c r="A173" s="170" t="str">
        <f t="shared" ca="1" si="0"/>
        <v/>
      </c>
      <c r="B173" s="171" t="str">
        <f t="shared" ca="1" si="1"/>
        <v/>
      </c>
      <c r="C173" s="171" t="str">
        <f t="shared" ca="1" si="2"/>
        <v/>
      </c>
      <c r="D173" s="172">
        <f t="shared" ca="1" si="3"/>
        <v>0</v>
      </c>
      <c r="E173" s="172" t="s">
        <v>281</v>
      </c>
      <c r="F173" s="172"/>
      <c r="G173" s="174"/>
      <c r="H173" s="174"/>
      <c r="I173" s="172">
        <f ca="1">IFERROR(__xludf.DUMMYFUNCTION("""COMPUTED_VALUE"""),0)</f>
        <v>0</v>
      </c>
      <c r="J173" s="172"/>
      <c r="K173" s="172"/>
      <c r="L173" s="172"/>
      <c r="M173" s="172"/>
      <c r="N173" s="172"/>
      <c r="O173" s="172"/>
      <c r="P173" s="172"/>
      <c r="Q173" s="172"/>
      <c r="R173" s="172"/>
      <c r="S173" s="172"/>
      <c r="T173" s="172"/>
      <c r="U173" s="172"/>
      <c r="V173" s="172"/>
      <c r="W173" s="172"/>
      <c r="X173" s="172"/>
      <c r="Y173" s="172"/>
      <c r="Z173" s="172"/>
      <c r="AA173" s="172"/>
    </row>
    <row r="174" spans="1:27" ht="16">
      <c r="A174" s="170" t="str">
        <f t="shared" ca="1" si="0"/>
        <v/>
      </c>
      <c r="B174" s="171" t="str">
        <f t="shared" ca="1" si="1"/>
        <v/>
      </c>
      <c r="C174" s="171" t="str">
        <f t="shared" ca="1" si="2"/>
        <v/>
      </c>
      <c r="D174" s="172">
        <f t="shared" ca="1" si="3"/>
        <v>0</v>
      </c>
      <c r="E174" s="172" t="s">
        <v>281</v>
      </c>
      <c r="F174" s="172"/>
      <c r="G174" s="174"/>
      <c r="H174" s="174"/>
      <c r="I174" s="172">
        <f ca="1">IFERROR(__xludf.DUMMYFUNCTION("""COMPUTED_VALUE"""),0)</f>
        <v>0</v>
      </c>
      <c r="J174" s="172"/>
      <c r="K174" s="172"/>
      <c r="L174" s="172"/>
      <c r="M174" s="172"/>
      <c r="N174" s="172"/>
      <c r="O174" s="172"/>
      <c r="P174" s="172"/>
      <c r="Q174" s="172"/>
      <c r="R174" s="172"/>
      <c r="S174" s="172"/>
      <c r="T174" s="172"/>
      <c r="U174" s="172"/>
      <c r="V174" s="172"/>
      <c r="W174" s="172"/>
      <c r="X174" s="172"/>
      <c r="Y174" s="172"/>
      <c r="Z174" s="172"/>
      <c r="AA174" s="172"/>
    </row>
    <row r="175" spans="1:27" ht="16">
      <c r="A175" s="170" t="str">
        <f t="shared" ca="1" si="0"/>
        <v/>
      </c>
      <c r="B175" s="171" t="str">
        <f t="shared" ca="1" si="1"/>
        <v/>
      </c>
      <c r="C175" s="171" t="str">
        <f t="shared" ca="1" si="2"/>
        <v/>
      </c>
      <c r="D175" s="172">
        <f t="shared" ca="1" si="3"/>
        <v>0</v>
      </c>
      <c r="E175" s="172" t="s">
        <v>281</v>
      </c>
      <c r="F175" s="172"/>
      <c r="G175" s="174"/>
      <c r="H175" s="174"/>
      <c r="I175" s="172">
        <f ca="1">IFERROR(__xludf.DUMMYFUNCTION("""COMPUTED_VALUE"""),0)</f>
        <v>0</v>
      </c>
      <c r="J175" s="172"/>
      <c r="K175" s="172"/>
      <c r="L175" s="172"/>
      <c r="M175" s="172"/>
      <c r="N175" s="172"/>
      <c r="O175" s="172"/>
      <c r="P175" s="172"/>
      <c r="Q175" s="172"/>
      <c r="R175" s="172"/>
      <c r="S175" s="172"/>
      <c r="T175" s="172"/>
      <c r="U175" s="172"/>
      <c r="V175" s="172"/>
      <c r="W175" s="172"/>
      <c r="X175" s="172"/>
      <c r="Y175" s="172"/>
      <c r="Z175" s="172"/>
      <c r="AA175" s="172"/>
    </row>
    <row r="176" spans="1:27" ht="16">
      <c r="A176" s="170" t="str">
        <f t="shared" ca="1" si="0"/>
        <v/>
      </c>
      <c r="B176" s="171" t="str">
        <f t="shared" ca="1" si="1"/>
        <v/>
      </c>
      <c r="C176" s="171" t="str">
        <f t="shared" ca="1" si="2"/>
        <v/>
      </c>
      <c r="D176" s="172">
        <f t="shared" ca="1" si="3"/>
        <v>0</v>
      </c>
      <c r="E176" s="172" t="s">
        <v>281</v>
      </c>
      <c r="F176" s="172"/>
      <c r="G176" s="174"/>
      <c r="H176" s="174"/>
      <c r="I176" s="172">
        <f ca="1">IFERROR(__xludf.DUMMYFUNCTION("""COMPUTED_VALUE"""),0)</f>
        <v>0</v>
      </c>
      <c r="J176" s="172"/>
      <c r="K176" s="172"/>
      <c r="L176" s="172"/>
      <c r="M176" s="172"/>
      <c r="N176" s="172"/>
      <c r="O176" s="172"/>
      <c r="P176" s="172"/>
      <c r="Q176" s="172"/>
      <c r="R176" s="172"/>
      <c r="S176" s="172"/>
      <c r="T176" s="172"/>
      <c r="U176" s="172"/>
      <c r="V176" s="172"/>
      <c r="W176" s="172"/>
      <c r="X176" s="172"/>
      <c r="Y176" s="172"/>
      <c r="Z176" s="172"/>
      <c r="AA176" s="172"/>
    </row>
    <row r="177" spans="1:27" ht="16">
      <c r="A177" s="170" t="str">
        <f t="shared" ca="1" si="0"/>
        <v/>
      </c>
      <c r="B177" s="171" t="str">
        <f t="shared" ca="1" si="1"/>
        <v/>
      </c>
      <c r="C177" s="171" t="str">
        <f t="shared" ca="1" si="2"/>
        <v/>
      </c>
      <c r="D177" s="172">
        <f t="shared" ca="1" si="3"/>
        <v>0</v>
      </c>
      <c r="E177" s="172" t="s">
        <v>281</v>
      </c>
      <c r="F177" s="172"/>
      <c r="G177" s="174"/>
      <c r="H177" s="174"/>
      <c r="I177" s="172">
        <f ca="1">IFERROR(__xludf.DUMMYFUNCTION("""COMPUTED_VALUE"""),0)</f>
        <v>0</v>
      </c>
      <c r="J177" s="172"/>
      <c r="K177" s="172"/>
      <c r="L177" s="172"/>
      <c r="M177" s="172"/>
      <c r="N177" s="172"/>
      <c r="O177" s="172"/>
      <c r="P177" s="172"/>
      <c r="Q177" s="172"/>
      <c r="R177" s="172"/>
      <c r="S177" s="172"/>
      <c r="T177" s="172"/>
      <c r="U177" s="172"/>
      <c r="V177" s="172"/>
      <c r="W177" s="172"/>
      <c r="X177" s="172"/>
      <c r="Y177" s="172"/>
      <c r="Z177" s="172"/>
      <c r="AA177" s="172"/>
    </row>
    <row r="178" spans="1:27" ht="16">
      <c r="A178" s="170" t="str">
        <f t="shared" ca="1" si="0"/>
        <v/>
      </c>
      <c r="B178" s="171" t="str">
        <f t="shared" ca="1" si="1"/>
        <v/>
      </c>
      <c r="C178" s="171" t="str">
        <f t="shared" ca="1" si="2"/>
        <v/>
      </c>
      <c r="D178" s="172">
        <f t="shared" ca="1" si="3"/>
        <v>0</v>
      </c>
      <c r="E178" s="172" t="s">
        <v>281</v>
      </c>
      <c r="F178" s="172"/>
      <c r="G178" s="174"/>
      <c r="H178" s="174"/>
      <c r="I178" s="172">
        <f ca="1">IFERROR(__xludf.DUMMYFUNCTION("""COMPUTED_VALUE"""),0)</f>
        <v>0</v>
      </c>
      <c r="J178" s="172"/>
      <c r="K178" s="172"/>
      <c r="L178" s="172"/>
      <c r="M178" s="172"/>
      <c r="N178" s="172"/>
      <c r="O178" s="172"/>
      <c r="P178" s="172"/>
      <c r="Q178" s="172"/>
      <c r="R178" s="172"/>
      <c r="S178" s="172"/>
      <c r="T178" s="172"/>
      <c r="U178" s="172"/>
      <c r="V178" s="172"/>
      <c r="W178" s="172"/>
      <c r="X178" s="172"/>
      <c r="Y178" s="172"/>
      <c r="Z178" s="172"/>
      <c r="AA178" s="172"/>
    </row>
    <row r="179" spans="1:27" ht="16">
      <c r="A179" s="170" t="str">
        <f t="shared" ca="1" si="0"/>
        <v/>
      </c>
      <c r="B179" s="171" t="str">
        <f t="shared" ca="1" si="1"/>
        <v/>
      </c>
      <c r="C179" s="171" t="str">
        <f t="shared" ca="1" si="2"/>
        <v/>
      </c>
      <c r="D179" s="172">
        <f t="shared" ca="1" si="3"/>
        <v>0</v>
      </c>
      <c r="E179" s="172" t="s">
        <v>281</v>
      </c>
      <c r="F179" s="172"/>
      <c r="G179" s="174"/>
      <c r="H179" s="174"/>
      <c r="I179" s="172">
        <f ca="1">IFERROR(__xludf.DUMMYFUNCTION("""COMPUTED_VALUE"""),0)</f>
        <v>0</v>
      </c>
      <c r="J179" s="172"/>
      <c r="K179" s="172"/>
      <c r="L179" s="172"/>
      <c r="M179" s="172"/>
      <c r="N179" s="172"/>
      <c r="O179" s="172"/>
      <c r="P179" s="172"/>
      <c r="Q179" s="172"/>
      <c r="R179" s="172"/>
      <c r="S179" s="172"/>
      <c r="T179" s="172"/>
      <c r="U179" s="172"/>
      <c r="V179" s="172"/>
      <c r="W179" s="172"/>
      <c r="X179" s="172"/>
      <c r="Y179" s="172"/>
      <c r="Z179" s="172"/>
      <c r="AA179" s="172"/>
    </row>
    <row r="180" spans="1:27" ht="16">
      <c r="A180" s="170" t="str">
        <f t="shared" ca="1" si="0"/>
        <v/>
      </c>
      <c r="B180" s="171" t="str">
        <f t="shared" ca="1" si="1"/>
        <v/>
      </c>
      <c r="C180" s="171" t="str">
        <f t="shared" ca="1" si="2"/>
        <v/>
      </c>
      <c r="D180" s="172">
        <f t="shared" ca="1" si="3"/>
        <v>0</v>
      </c>
      <c r="E180" s="172" t="s">
        <v>281</v>
      </c>
      <c r="F180" s="172"/>
      <c r="G180" s="174"/>
      <c r="H180" s="174"/>
      <c r="I180" s="172">
        <f ca="1">IFERROR(__xludf.DUMMYFUNCTION("""COMPUTED_VALUE"""),0)</f>
        <v>0</v>
      </c>
      <c r="J180" s="172"/>
      <c r="K180" s="172"/>
      <c r="L180" s="172"/>
      <c r="M180" s="172"/>
      <c r="N180" s="172"/>
      <c r="O180" s="172"/>
      <c r="P180" s="172"/>
      <c r="Q180" s="172"/>
      <c r="R180" s="172"/>
      <c r="S180" s="172"/>
      <c r="T180" s="172"/>
      <c r="U180" s="172"/>
      <c r="V180" s="172"/>
      <c r="W180" s="172"/>
      <c r="X180" s="172"/>
      <c r="Y180" s="172"/>
      <c r="Z180" s="172"/>
      <c r="AA180" s="172"/>
    </row>
    <row r="181" spans="1:27" ht="16">
      <c r="A181" s="170" t="str">
        <f t="shared" ca="1" si="0"/>
        <v/>
      </c>
      <c r="B181" s="171" t="str">
        <f t="shared" ca="1" si="1"/>
        <v/>
      </c>
      <c r="C181" s="171" t="str">
        <f t="shared" ca="1" si="2"/>
        <v/>
      </c>
      <c r="D181" s="172">
        <f t="shared" ca="1" si="3"/>
        <v>0</v>
      </c>
      <c r="E181" s="172" t="s">
        <v>281</v>
      </c>
      <c r="F181" s="172"/>
      <c r="G181" s="174"/>
      <c r="H181" s="174"/>
      <c r="I181" s="172">
        <f ca="1">IFERROR(__xludf.DUMMYFUNCTION("""COMPUTED_VALUE"""),0)</f>
        <v>0</v>
      </c>
      <c r="J181" s="172"/>
      <c r="K181" s="172"/>
      <c r="L181" s="172"/>
      <c r="M181" s="172"/>
      <c r="N181" s="172"/>
      <c r="O181" s="172"/>
      <c r="P181" s="172"/>
      <c r="Q181" s="172"/>
      <c r="R181" s="172"/>
      <c r="S181" s="172"/>
      <c r="T181" s="172"/>
      <c r="U181" s="172"/>
      <c r="V181" s="172"/>
      <c r="W181" s="172"/>
      <c r="X181" s="172"/>
      <c r="Y181" s="172"/>
      <c r="Z181" s="172"/>
      <c r="AA181" s="172"/>
    </row>
    <row r="182" spans="1:27" ht="16">
      <c r="A182" s="170" t="str">
        <f t="shared" ca="1" si="0"/>
        <v/>
      </c>
      <c r="B182" s="171" t="str">
        <f t="shared" ca="1" si="1"/>
        <v/>
      </c>
      <c r="C182" s="171" t="str">
        <f t="shared" ca="1" si="2"/>
        <v/>
      </c>
      <c r="D182" s="172">
        <f t="shared" ca="1" si="3"/>
        <v>0</v>
      </c>
      <c r="E182" s="172" t="s">
        <v>281</v>
      </c>
      <c r="F182" s="172"/>
      <c r="G182" s="174"/>
      <c r="H182" s="174"/>
      <c r="I182" s="172">
        <f ca="1">IFERROR(__xludf.DUMMYFUNCTION("""COMPUTED_VALUE"""),0)</f>
        <v>0</v>
      </c>
      <c r="J182" s="172"/>
      <c r="K182" s="172"/>
      <c r="L182" s="172"/>
      <c r="M182" s="172"/>
      <c r="N182" s="172"/>
      <c r="O182" s="172"/>
      <c r="P182" s="172"/>
      <c r="Q182" s="172"/>
      <c r="R182" s="172"/>
      <c r="S182" s="172"/>
      <c r="T182" s="172"/>
      <c r="U182" s="172"/>
      <c r="V182" s="172"/>
      <c r="W182" s="172"/>
      <c r="X182" s="172"/>
      <c r="Y182" s="172"/>
      <c r="Z182" s="172"/>
      <c r="AA182" s="172"/>
    </row>
    <row r="183" spans="1:27" ht="16">
      <c r="A183" s="170" t="str">
        <f t="shared" ca="1" si="0"/>
        <v/>
      </c>
      <c r="B183" s="171" t="str">
        <f t="shared" ca="1" si="1"/>
        <v/>
      </c>
      <c r="C183" s="171" t="str">
        <f t="shared" ca="1" si="2"/>
        <v/>
      </c>
      <c r="D183" s="172">
        <f t="shared" ca="1" si="3"/>
        <v>0</v>
      </c>
      <c r="E183" s="172" t="s">
        <v>281</v>
      </c>
      <c r="F183" s="172"/>
      <c r="G183" s="174"/>
      <c r="H183" s="174"/>
      <c r="I183" s="172">
        <f ca="1">IFERROR(__xludf.DUMMYFUNCTION("""COMPUTED_VALUE"""),0)</f>
        <v>0</v>
      </c>
      <c r="J183" s="172"/>
      <c r="K183" s="172"/>
      <c r="L183" s="172"/>
      <c r="M183" s="172"/>
      <c r="N183" s="172"/>
      <c r="O183" s="172"/>
      <c r="P183" s="172"/>
      <c r="Q183" s="172"/>
      <c r="R183" s="172"/>
      <c r="S183" s="172"/>
      <c r="T183" s="172"/>
      <c r="U183" s="172"/>
      <c r="V183" s="172"/>
      <c r="W183" s="172"/>
      <c r="X183" s="172"/>
      <c r="Y183" s="172"/>
      <c r="Z183" s="172"/>
      <c r="AA183" s="172"/>
    </row>
    <row r="184" spans="1:27" ht="16">
      <c r="A184" s="170" t="str">
        <f t="shared" ca="1" si="0"/>
        <v/>
      </c>
      <c r="B184" s="171" t="str">
        <f t="shared" ca="1" si="1"/>
        <v/>
      </c>
      <c r="C184" s="171" t="str">
        <f t="shared" ref="C184:C263" ca="1" si="4">IF(ISBLANK(INDIRECT("'Outside Review Form Responses'!C" &amp; ROW())), "", INDIRECT("'Outside Review Form Responses'!J" &amp; ROW()))</f>
        <v/>
      </c>
      <c r="D184" s="172">
        <f t="shared" ca="1" si="3"/>
        <v>0</v>
      </c>
      <c r="E184" s="172" t="s">
        <v>281</v>
      </c>
      <c r="F184" s="172"/>
      <c r="G184" s="174"/>
      <c r="H184" s="174"/>
      <c r="I184" s="172">
        <f ca="1">IFERROR(__xludf.DUMMYFUNCTION("""COMPUTED_VALUE"""),0)</f>
        <v>0</v>
      </c>
      <c r="J184" s="172"/>
      <c r="K184" s="172"/>
      <c r="L184" s="172"/>
      <c r="M184" s="172"/>
      <c r="N184" s="172"/>
      <c r="O184" s="172"/>
      <c r="P184" s="172"/>
      <c r="Q184" s="172"/>
      <c r="R184" s="172"/>
      <c r="S184" s="172"/>
      <c r="T184" s="172"/>
      <c r="U184" s="172"/>
      <c r="V184" s="172"/>
      <c r="W184" s="172"/>
      <c r="X184" s="172"/>
      <c r="Y184" s="172"/>
      <c r="Z184" s="172"/>
      <c r="AA184" s="172"/>
    </row>
    <row r="185" spans="1:27" ht="16">
      <c r="A185" s="170" t="str">
        <f t="shared" ca="1" si="0"/>
        <v/>
      </c>
      <c r="B185" s="171" t="str">
        <f t="shared" ca="1" si="1"/>
        <v/>
      </c>
      <c r="C185" s="171" t="str">
        <f t="shared" ca="1" si="4"/>
        <v/>
      </c>
      <c r="D185" s="172">
        <f t="shared" ca="1" si="3"/>
        <v>0</v>
      </c>
      <c r="E185" s="172" t="s">
        <v>281</v>
      </c>
      <c r="F185" s="172"/>
      <c r="G185" s="174"/>
      <c r="H185" s="174"/>
      <c r="I185" s="172">
        <f ca="1">IFERROR(__xludf.DUMMYFUNCTION("""COMPUTED_VALUE"""),0)</f>
        <v>0</v>
      </c>
      <c r="J185" s="172"/>
      <c r="K185" s="172"/>
      <c r="L185" s="172"/>
      <c r="M185" s="172"/>
      <c r="N185" s="172"/>
      <c r="O185" s="172"/>
      <c r="P185" s="172"/>
      <c r="Q185" s="172"/>
      <c r="R185" s="172"/>
      <c r="S185" s="172"/>
      <c r="T185" s="172"/>
      <c r="U185" s="172"/>
      <c r="V185" s="172"/>
      <c r="W185" s="172"/>
      <c r="X185" s="172"/>
      <c r="Y185" s="172"/>
      <c r="Z185" s="172"/>
      <c r="AA185" s="172"/>
    </row>
    <row r="186" spans="1:27" ht="16">
      <c r="A186" s="170" t="str">
        <f t="shared" ca="1" si="0"/>
        <v/>
      </c>
      <c r="B186" s="171" t="str">
        <f t="shared" ca="1" si="1"/>
        <v/>
      </c>
      <c r="C186" s="171" t="str">
        <f t="shared" ca="1" si="4"/>
        <v/>
      </c>
      <c r="D186" s="172">
        <f t="shared" ca="1" si="3"/>
        <v>0</v>
      </c>
      <c r="E186" s="172" t="s">
        <v>281</v>
      </c>
      <c r="F186" s="172"/>
      <c r="G186" s="174"/>
      <c r="H186" s="174"/>
      <c r="I186" s="172">
        <f ca="1">IFERROR(__xludf.DUMMYFUNCTION("""COMPUTED_VALUE"""),0)</f>
        <v>0</v>
      </c>
      <c r="J186" s="172"/>
      <c r="K186" s="172"/>
      <c r="L186" s="172"/>
      <c r="M186" s="172"/>
      <c r="N186" s="172"/>
      <c r="O186" s="172"/>
      <c r="P186" s="172"/>
      <c r="Q186" s="172"/>
      <c r="R186" s="172"/>
      <c r="S186" s="172"/>
      <c r="T186" s="172"/>
      <c r="U186" s="172"/>
      <c r="V186" s="172"/>
      <c r="W186" s="172"/>
      <c r="X186" s="172"/>
      <c r="Y186" s="172"/>
      <c r="Z186" s="172"/>
      <c r="AA186" s="172"/>
    </row>
    <row r="187" spans="1:27" ht="16">
      <c r="A187" s="170" t="str">
        <f t="shared" ca="1" si="0"/>
        <v/>
      </c>
      <c r="B187" s="171" t="str">
        <f t="shared" ca="1" si="1"/>
        <v/>
      </c>
      <c r="C187" s="171" t="str">
        <f t="shared" ca="1" si="4"/>
        <v/>
      </c>
      <c r="D187" s="172">
        <f t="shared" ca="1" si="3"/>
        <v>0</v>
      </c>
      <c r="E187" s="172" t="s">
        <v>281</v>
      </c>
      <c r="F187" s="172"/>
      <c r="G187" s="174"/>
      <c r="H187" s="174"/>
      <c r="I187" s="172">
        <f ca="1">IFERROR(__xludf.DUMMYFUNCTION("""COMPUTED_VALUE"""),0)</f>
        <v>0</v>
      </c>
      <c r="J187" s="172"/>
      <c r="K187" s="172"/>
      <c r="L187" s="172"/>
      <c r="M187" s="172"/>
      <c r="N187" s="172"/>
      <c r="O187" s="172"/>
      <c r="P187" s="172"/>
      <c r="Q187" s="172"/>
      <c r="R187" s="172"/>
      <c r="S187" s="172"/>
      <c r="T187" s="172"/>
      <c r="U187" s="172"/>
      <c r="V187" s="172"/>
      <c r="W187" s="172"/>
      <c r="X187" s="172"/>
      <c r="Y187" s="172"/>
      <c r="Z187" s="172"/>
      <c r="AA187" s="172"/>
    </row>
    <row r="188" spans="1:27" ht="16">
      <c r="A188" s="170" t="str">
        <f t="shared" ca="1" si="0"/>
        <v/>
      </c>
      <c r="B188" s="171" t="str">
        <f t="shared" ca="1" si="1"/>
        <v/>
      </c>
      <c r="C188" s="171" t="str">
        <f t="shared" ca="1" si="4"/>
        <v/>
      </c>
      <c r="D188" s="172">
        <f t="shared" ca="1" si="3"/>
        <v>0</v>
      </c>
      <c r="E188" s="172" t="s">
        <v>281</v>
      </c>
      <c r="F188" s="172"/>
      <c r="G188" s="174"/>
      <c r="H188" s="174"/>
      <c r="I188" s="172">
        <f ca="1">IFERROR(__xludf.DUMMYFUNCTION("""COMPUTED_VALUE"""),0)</f>
        <v>0</v>
      </c>
      <c r="J188" s="172"/>
      <c r="K188" s="172"/>
      <c r="L188" s="172"/>
      <c r="M188" s="172"/>
      <c r="N188" s="172"/>
      <c r="O188" s="172"/>
      <c r="P188" s="172"/>
      <c r="Q188" s="172"/>
      <c r="R188" s="172"/>
      <c r="S188" s="172"/>
      <c r="T188" s="172"/>
      <c r="U188" s="172"/>
      <c r="V188" s="172"/>
      <c r="W188" s="172"/>
      <c r="X188" s="172"/>
      <c r="Y188" s="172"/>
      <c r="Z188" s="172"/>
      <c r="AA188" s="172"/>
    </row>
    <row r="189" spans="1:27" ht="16">
      <c r="A189" s="170" t="str">
        <f t="shared" ca="1" si="0"/>
        <v/>
      </c>
      <c r="B189" s="171" t="str">
        <f t="shared" ca="1" si="1"/>
        <v/>
      </c>
      <c r="C189" s="171" t="str">
        <f t="shared" ca="1" si="4"/>
        <v/>
      </c>
      <c r="D189" s="172">
        <f t="shared" ca="1" si="3"/>
        <v>0</v>
      </c>
      <c r="E189" s="172" t="s">
        <v>281</v>
      </c>
      <c r="F189" s="172"/>
      <c r="G189" s="174"/>
      <c r="H189" s="174"/>
      <c r="I189" s="172">
        <f ca="1">IFERROR(__xludf.DUMMYFUNCTION("""COMPUTED_VALUE"""),0)</f>
        <v>0</v>
      </c>
      <c r="J189" s="172"/>
      <c r="K189" s="172"/>
      <c r="L189" s="172"/>
      <c r="M189" s="172"/>
      <c r="N189" s="172"/>
      <c r="O189" s="172"/>
      <c r="P189" s="172"/>
      <c r="Q189" s="172"/>
      <c r="R189" s="172"/>
      <c r="S189" s="172"/>
      <c r="T189" s="172"/>
      <c r="U189" s="172"/>
      <c r="V189" s="172"/>
      <c r="W189" s="172"/>
      <c r="X189" s="172"/>
      <c r="Y189" s="172"/>
      <c r="Z189" s="172"/>
      <c r="AA189" s="172"/>
    </row>
    <row r="190" spans="1:27" ht="17">
      <c r="A190" s="168"/>
      <c r="B190" s="171" t="str">
        <f t="shared" ca="1" si="1"/>
        <v/>
      </c>
      <c r="C190" s="171" t="str">
        <f t="shared" ca="1" si="4"/>
        <v/>
      </c>
      <c r="D190" s="172">
        <f t="shared" ca="1" si="3"/>
        <v>0</v>
      </c>
      <c r="E190" s="172" t="s">
        <v>281</v>
      </c>
      <c r="F190" s="172"/>
      <c r="G190" s="175"/>
      <c r="H190" s="175"/>
      <c r="I190" s="172">
        <f ca="1">IFERROR(__xludf.DUMMYFUNCTION("""COMPUTED_VALUE"""),0)</f>
        <v>0</v>
      </c>
      <c r="J190" s="172"/>
      <c r="K190" s="172"/>
      <c r="L190" s="172"/>
      <c r="M190" s="172"/>
      <c r="N190" s="172"/>
      <c r="O190" s="172"/>
      <c r="P190" s="172"/>
      <c r="Q190" s="172"/>
      <c r="R190" s="172"/>
      <c r="S190" s="172"/>
      <c r="T190" s="172"/>
      <c r="U190" s="172"/>
      <c r="V190" s="172"/>
      <c r="W190" s="172"/>
      <c r="X190" s="172"/>
      <c r="Y190" s="172"/>
      <c r="Z190" s="172"/>
      <c r="AA190" s="172"/>
    </row>
    <row r="191" spans="1:27" ht="17">
      <c r="A191" s="168"/>
      <c r="B191" s="171" t="str">
        <f t="shared" ca="1" si="1"/>
        <v/>
      </c>
      <c r="C191" s="171" t="str">
        <f t="shared" ca="1" si="4"/>
        <v/>
      </c>
      <c r="D191" s="172">
        <f t="shared" ca="1" si="3"/>
        <v>0</v>
      </c>
      <c r="E191" s="172" t="s">
        <v>281</v>
      </c>
      <c r="F191" s="172"/>
      <c r="G191" s="175"/>
      <c r="H191" s="175"/>
      <c r="I191" s="172">
        <f ca="1">IFERROR(__xludf.DUMMYFUNCTION("""COMPUTED_VALUE"""),0)</f>
        <v>0</v>
      </c>
      <c r="J191" s="172"/>
      <c r="K191" s="172"/>
      <c r="L191" s="172"/>
      <c r="M191" s="172"/>
      <c r="N191" s="172"/>
      <c r="O191" s="172"/>
      <c r="P191" s="172"/>
      <c r="Q191" s="172"/>
      <c r="R191" s="172"/>
      <c r="S191" s="172"/>
      <c r="T191" s="172"/>
      <c r="U191" s="172"/>
      <c r="V191" s="172"/>
      <c r="W191" s="172"/>
      <c r="X191" s="172"/>
      <c r="Y191" s="172"/>
      <c r="Z191" s="172"/>
      <c r="AA191" s="172"/>
    </row>
    <row r="192" spans="1:27" ht="17">
      <c r="A192" s="168"/>
      <c r="B192" s="171" t="str">
        <f t="shared" ca="1" si="1"/>
        <v/>
      </c>
      <c r="C192" s="171" t="str">
        <f t="shared" ca="1" si="4"/>
        <v/>
      </c>
      <c r="D192" s="172">
        <f t="shared" ca="1" si="3"/>
        <v>0</v>
      </c>
      <c r="E192" s="172" t="s">
        <v>281</v>
      </c>
      <c r="F192" s="172"/>
      <c r="G192" s="175"/>
      <c r="H192" s="175"/>
      <c r="I192" s="172">
        <f ca="1">IFERROR(__xludf.DUMMYFUNCTION("""COMPUTED_VALUE"""),0)</f>
        <v>0</v>
      </c>
      <c r="J192" s="172"/>
      <c r="K192" s="172"/>
      <c r="L192" s="172"/>
      <c r="M192" s="172"/>
      <c r="N192" s="172"/>
      <c r="O192" s="172"/>
      <c r="P192" s="172"/>
      <c r="Q192" s="172"/>
      <c r="R192" s="172"/>
      <c r="S192" s="172"/>
      <c r="T192" s="172"/>
      <c r="U192" s="172"/>
      <c r="V192" s="172"/>
      <c r="W192" s="172"/>
      <c r="X192" s="172"/>
      <c r="Y192" s="172"/>
      <c r="Z192" s="172"/>
      <c r="AA192" s="172"/>
    </row>
    <row r="193" spans="1:27" ht="17">
      <c r="A193" s="168"/>
      <c r="B193" s="171" t="str">
        <f t="shared" ca="1" si="1"/>
        <v/>
      </c>
      <c r="C193" s="171" t="str">
        <f t="shared" ca="1" si="4"/>
        <v/>
      </c>
      <c r="D193" s="172">
        <f t="shared" ca="1" si="3"/>
        <v>0</v>
      </c>
      <c r="E193" s="172" t="s">
        <v>281</v>
      </c>
      <c r="F193" s="172"/>
      <c r="G193" s="175"/>
      <c r="H193" s="175"/>
      <c r="I193" s="172">
        <f ca="1">IFERROR(__xludf.DUMMYFUNCTION("""COMPUTED_VALUE"""),0)</f>
        <v>0</v>
      </c>
      <c r="J193" s="172"/>
      <c r="K193" s="172"/>
      <c r="L193" s="172"/>
      <c r="M193" s="172"/>
      <c r="N193" s="172"/>
      <c r="O193" s="172"/>
      <c r="P193" s="172"/>
      <c r="Q193" s="172"/>
      <c r="R193" s="172"/>
      <c r="S193" s="172"/>
      <c r="T193" s="172"/>
      <c r="U193" s="172"/>
      <c r="V193" s="172"/>
      <c r="W193" s="172"/>
      <c r="X193" s="172"/>
      <c r="Y193" s="172"/>
      <c r="Z193" s="172"/>
      <c r="AA193" s="172"/>
    </row>
    <row r="194" spans="1:27" ht="17">
      <c r="A194" s="168"/>
      <c r="B194" s="171" t="str">
        <f t="shared" ca="1" si="1"/>
        <v/>
      </c>
      <c r="C194" s="171" t="str">
        <f t="shared" ca="1" si="4"/>
        <v/>
      </c>
      <c r="D194" s="172">
        <f t="shared" ca="1" si="3"/>
        <v>0</v>
      </c>
      <c r="E194" s="172" t="s">
        <v>281</v>
      </c>
      <c r="F194" s="172"/>
      <c r="G194" s="175"/>
      <c r="H194" s="175"/>
      <c r="I194" s="172">
        <f ca="1">IFERROR(__xludf.DUMMYFUNCTION("""COMPUTED_VALUE"""),0)</f>
        <v>0</v>
      </c>
      <c r="J194" s="172"/>
      <c r="K194" s="172"/>
      <c r="L194" s="172"/>
      <c r="M194" s="172"/>
      <c r="N194" s="172"/>
      <c r="O194" s="172"/>
      <c r="P194" s="172"/>
      <c r="Q194" s="172"/>
      <c r="R194" s="172"/>
      <c r="S194" s="172"/>
      <c r="T194" s="172"/>
      <c r="U194" s="172"/>
      <c r="V194" s="172"/>
      <c r="W194" s="172"/>
      <c r="X194" s="172"/>
      <c r="Y194" s="172"/>
      <c r="Z194" s="172"/>
      <c r="AA194" s="172"/>
    </row>
    <row r="195" spans="1:27" ht="17">
      <c r="A195" s="168"/>
      <c r="B195" s="171" t="str">
        <f t="shared" ca="1" si="1"/>
        <v/>
      </c>
      <c r="C195" s="171" t="str">
        <f t="shared" ca="1" si="4"/>
        <v/>
      </c>
      <c r="D195" s="172">
        <f t="shared" ca="1" si="3"/>
        <v>0</v>
      </c>
      <c r="E195" s="172" t="s">
        <v>281</v>
      </c>
      <c r="F195" s="172"/>
      <c r="G195" s="175"/>
      <c r="H195" s="175"/>
      <c r="I195" s="172">
        <f ca="1">IFERROR(__xludf.DUMMYFUNCTION("""COMPUTED_VALUE"""),0)</f>
        <v>0</v>
      </c>
      <c r="J195" s="172"/>
      <c r="K195" s="172"/>
      <c r="L195" s="172"/>
      <c r="M195" s="172"/>
      <c r="N195" s="172"/>
      <c r="O195" s="172"/>
      <c r="P195" s="172"/>
      <c r="Q195" s="172"/>
      <c r="R195" s="172"/>
      <c r="S195" s="172"/>
      <c r="T195" s="172"/>
      <c r="U195" s="172"/>
      <c r="V195" s="172"/>
      <c r="W195" s="172"/>
      <c r="X195" s="172"/>
      <c r="Y195" s="172"/>
      <c r="Z195" s="172"/>
      <c r="AA195" s="172"/>
    </row>
    <row r="196" spans="1:27" ht="17">
      <c r="A196" s="168"/>
      <c r="B196" s="171" t="str">
        <f t="shared" ca="1" si="1"/>
        <v/>
      </c>
      <c r="C196" s="171" t="str">
        <f t="shared" ca="1" si="4"/>
        <v/>
      </c>
      <c r="D196" s="172">
        <f t="shared" ca="1" si="3"/>
        <v>0</v>
      </c>
      <c r="E196" s="172" t="s">
        <v>281</v>
      </c>
      <c r="F196" s="172"/>
      <c r="G196" s="175"/>
      <c r="H196" s="175"/>
      <c r="I196" s="172">
        <f ca="1">IFERROR(__xludf.DUMMYFUNCTION("""COMPUTED_VALUE"""),0)</f>
        <v>0</v>
      </c>
      <c r="J196" s="172"/>
      <c r="K196" s="172"/>
      <c r="L196" s="172"/>
      <c r="M196" s="172"/>
      <c r="N196" s="172"/>
      <c r="O196" s="172"/>
      <c r="P196" s="172"/>
      <c r="Q196" s="172"/>
      <c r="R196" s="172"/>
      <c r="S196" s="172"/>
      <c r="T196" s="172"/>
      <c r="U196" s="172"/>
      <c r="V196" s="172"/>
      <c r="W196" s="172"/>
      <c r="X196" s="172"/>
      <c r="Y196" s="172"/>
      <c r="Z196" s="172"/>
      <c r="AA196" s="172"/>
    </row>
    <row r="197" spans="1:27" ht="17">
      <c r="A197" s="168"/>
      <c r="B197" s="171" t="str">
        <f t="shared" ca="1" si="1"/>
        <v/>
      </c>
      <c r="C197" s="171" t="str">
        <f t="shared" ca="1" si="4"/>
        <v/>
      </c>
      <c r="D197" s="172">
        <f t="shared" ca="1" si="3"/>
        <v>0</v>
      </c>
      <c r="E197" s="172" t="s">
        <v>281</v>
      </c>
      <c r="F197" s="172"/>
      <c r="G197" s="175"/>
      <c r="H197" s="175"/>
      <c r="I197" s="172">
        <f ca="1">IFERROR(__xludf.DUMMYFUNCTION("""COMPUTED_VALUE"""),0)</f>
        <v>0</v>
      </c>
      <c r="J197" s="172"/>
      <c r="K197" s="172"/>
      <c r="L197" s="172"/>
      <c r="M197" s="172"/>
      <c r="N197" s="172"/>
      <c r="O197" s="172"/>
      <c r="P197" s="172"/>
      <c r="Q197" s="172"/>
      <c r="R197" s="172"/>
      <c r="S197" s="172"/>
      <c r="T197" s="172"/>
      <c r="U197" s="172"/>
      <c r="V197" s="172"/>
      <c r="W197" s="172"/>
      <c r="X197" s="172"/>
      <c r="Y197" s="172"/>
      <c r="Z197" s="172"/>
      <c r="AA197" s="172"/>
    </row>
    <row r="198" spans="1:27" ht="17">
      <c r="A198" s="168"/>
      <c r="B198" s="171" t="str">
        <f t="shared" ca="1" si="1"/>
        <v/>
      </c>
      <c r="C198" s="171" t="str">
        <f t="shared" ca="1" si="4"/>
        <v/>
      </c>
      <c r="D198" s="172">
        <f t="shared" ca="1" si="3"/>
        <v>0</v>
      </c>
      <c r="E198" s="172" t="s">
        <v>281</v>
      </c>
      <c r="F198" s="172"/>
      <c r="G198" s="175"/>
      <c r="H198" s="175"/>
      <c r="I198" s="172">
        <f ca="1">IFERROR(__xludf.DUMMYFUNCTION("""COMPUTED_VALUE"""),0)</f>
        <v>0</v>
      </c>
      <c r="J198" s="172"/>
      <c r="K198" s="172"/>
      <c r="L198" s="172"/>
      <c r="M198" s="172"/>
      <c r="N198" s="172"/>
      <c r="O198" s="172"/>
      <c r="P198" s="172"/>
      <c r="Q198" s="172"/>
      <c r="R198" s="172"/>
      <c r="S198" s="172"/>
      <c r="T198" s="172"/>
      <c r="U198" s="172"/>
      <c r="V198" s="172"/>
      <c r="W198" s="172"/>
      <c r="X198" s="172"/>
      <c r="Y198" s="172"/>
      <c r="Z198" s="172"/>
      <c r="AA198" s="172"/>
    </row>
    <row r="199" spans="1:27" ht="17">
      <c r="A199" s="168"/>
      <c r="B199" s="171" t="str">
        <f t="shared" ca="1" si="1"/>
        <v/>
      </c>
      <c r="C199" s="171" t="str">
        <f t="shared" ca="1" si="4"/>
        <v/>
      </c>
      <c r="D199" s="172">
        <f t="shared" ca="1" si="3"/>
        <v>0</v>
      </c>
      <c r="E199" s="172" t="s">
        <v>281</v>
      </c>
      <c r="F199" s="172"/>
      <c r="G199" s="175"/>
      <c r="H199" s="175"/>
      <c r="I199" s="172">
        <f ca="1">IFERROR(__xludf.DUMMYFUNCTION("""COMPUTED_VALUE"""),0)</f>
        <v>0</v>
      </c>
      <c r="J199" s="172"/>
      <c r="K199" s="172"/>
      <c r="L199" s="172"/>
      <c r="M199" s="172"/>
      <c r="N199" s="172"/>
      <c r="O199" s="172"/>
      <c r="P199" s="172"/>
      <c r="Q199" s="172"/>
      <c r="R199" s="172"/>
      <c r="S199" s="172"/>
      <c r="T199" s="172"/>
      <c r="U199" s="172"/>
      <c r="V199" s="172"/>
      <c r="W199" s="172"/>
      <c r="X199" s="172"/>
      <c r="Y199" s="172"/>
      <c r="Z199" s="172"/>
      <c r="AA199" s="172"/>
    </row>
    <row r="200" spans="1:27" ht="17">
      <c r="A200" s="168"/>
      <c r="B200" s="171" t="str">
        <f t="shared" ca="1" si="1"/>
        <v/>
      </c>
      <c r="C200" s="171" t="str">
        <f t="shared" ca="1" si="4"/>
        <v/>
      </c>
      <c r="D200" s="172">
        <f t="shared" ca="1" si="3"/>
        <v>0</v>
      </c>
      <c r="E200" s="172" t="s">
        <v>281</v>
      </c>
      <c r="F200" s="172"/>
      <c r="G200" s="175"/>
      <c r="H200" s="175"/>
      <c r="I200" s="172">
        <f ca="1">IFERROR(__xludf.DUMMYFUNCTION("""COMPUTED_VALUE"""),0)</f>
        <v>0</v>
      </c>
      <c r="J200" s="172"/>
      <c r="K200" s="172"/>
      <c r="L200" s="172"/>
      <c r="M200" s="172"/>
      <c r="N200" s="172"/>
      <c r="O200" s="172"/>
      <c r="P200" s="172"/>
      <c r="Q200" s="172"/>
      <c r="R200" s="172"/>
      <c r="S200" s="172"/>
      <c r="T200" s="172"/>
      <c r="U200" s="172"/>
      <c r="V200" s="172"/>
      <c r="W200" s="172"/>
      <c r="X200" s="172"/>
      <c r="Y200" s="172"/>
      <c r="Z200" s="172"/>
      <c r="AA200" s="172"/>
    </row>
    <row r="201" spans="1:27" ht="17">
      <c r="A201" s="168"/>
      <c r="B201" s="171" t="str">
        <f t="shared" ca="1" si="1"/>
        <v/>
      </c>
      <c r="C201" s="171" t="str">
        <f t="shared" ca="1" si="4"/>
        <v/>
      </c>
      <c r="D201" s="172">
        <f t="shared" ca="1" si="3"/>
        <v>0</v>
      </c>
      <c r="E201" s="172" t="s">
        <v>281</v>
      </c>
      <c r="F201" s="172"/>
      <c r="G201" s="175"/>
      <c r="H201" s="175"/>
      <c r="I201" s="172">
        <f ca="1">IFERROR(__xludf.DUMMYFUNCTION("""COMPUTED_VALUE"""),0)</f>
        <v>0</v>
      </c>
      <c r="J201" s="172"/>
      <c r="K201" s="172"/>
      <c r="L201" s="172"/>
      <c r="M201" s="172"/>
      <c r="N201" s="172"/>
      <c r="O201" s="172"/>
      <c r="P201" s="172"/>
      <c r="Q201" s="172"/>
      <c r="R201" s="172"/>
      <c r="S201" s="172"/>
      <c r="T201" s="172"/>
      <c r="U201" s="172"/>
      <c r="V201" s="172"/>
      <c r="W201" s="172"/>
      <c r="X201" s="172"/>
      <c r="Y201" s="172"/>
      <c r="Z201" s="172"/>
      <c r="AA201" s="172"/>
    </row>
    <row r="202" spans="1:27" ht="17">
      <c r="A202" s="168"/>
      <c r="B202" s="171" t="str">
        <f t="shared" ca="1" si="1"/>
        <v/>
      </c>
      <c r="C202" s="171" t="str">
        <f t="shared" ca="1" si="4"/>
        <v/>
      </c>
      <c r="D202" s="172">
        <f t="shared" ca="1" si="3"/>
        <v>0</v>
      </c>
      <c r="E202" s="172" t="s">
        <v>281</v>
      </c>
      <c r="F202" s="172"/>
      <c r="G202" s="175"/>
      <c r="H202" s="175"/>
      <c r="I202" s="172">
        <f ca="1">IFERROR(__xludf.DUMMYFUNCTION("""COMPUTED_VALUE"""),0)</f>
        <v>0</v>
      </c>
      <c r="J202" s="172"/>
      <c r="K202" s="172"/>
      <c r="L202" s="172"/>
      <c r="M202" s="172"/>
      <c r="N202" s="172"/>
      <c r="O202" s="172"/>
      <c r="P202" s="172"/>
      <c r="Q202" s="172"/>
      <c r="R202" s="172"/>
      <c r="S202" s="172"/>
      <c r="T202" s="172"/>
      <c r="U202" s="172"/>
      <c r="V202" s="172"/>
      <c r="W202" s="172"/>
      <c r="X202" s="172"/>
      <c r="Y202" s="172"/>
      <c r="Z202" s="172"/>
      <c r="AA202" s="172"/>
    </row>
    <row r="203" spans="1:27" ht="17">
      <c r="A203" s="168"/>
      <c r="B203" s="171" t="str">
        <f t="shared" ca="1" si="1"/>
        <v/>
      </c>
      <c r="C203" s="171" t="str">
        <f t="shared" ca="1" si="4"/>
        <v/>
      </c>
      <c r="D203" s="172">
        <f t="shared" ca="1" si="3"/>
        <v>0</v>
      </c>
      <c r="E203" s="172" t="s">
        <v>281</v>
      </c>
      <c r="F203" s="172"/>
      <c r="G203" s="175"/>
      <c r="H203" s="175"/>
      <c r="I203" s="172">
        <f ca="1">IFERROR(__xludf.DUMMYFUNCTION("""COMPUTED_VALUE"""),0)</f>
        <v>0</v>
      </c>
      <c r="J203" s="172"/>
      <c r="K203" s="172"/>
      <c r="L203" s="172"/>
      <c r="M203" s="172"/>
      <c r="N203" s="172"/>
      <c r="O203" s="172"/>
      <c r="P203" s="172"/>
      <c r="Q203" s="172"/>
      <c r="R203" s="172"/>
      <c r="S203" s="172"/>
      <c r="T203" s="172"/>
      <c r="U203" s="172"/>
      <c r="V203" s="172"/>
      <c r="W203" s="172"/>
      <c r="X203" s="172"/>
      <c r="Y203" s="172"/>
      <c r="Z203" s="172"/>
      <c r="AA203" s="172"/>
    </row>
    <row r="204" spans="1:27" ht="17">
      <c r="A204" s="168"/>
      <c r="B204" s="171" t="str">
        <f t="shared" ca="1" si="1"/>
        <v/>
      </c>
      <c r="C204" s="171" t="str">
        <f t="shared" ca="1" si="4"/>
        <v/>
      </c>
      <c r="D204" s="172">
        <f t="shared" ca="1" si="3"/>
        <v>0</v>
      </c>
      <c r="E204" s="172" t="s">
        <v>281</v>
      </c>
      <c r="F204" s="172"/>
      <c r="G204" s="175"/>
      <c r="H204" s="175"/>
      <c r="I204" s="172">
        <f ca="1">IFERROR(__xludf.DUMMYFUNCTION("""COMPUTED_VALUE"""),0)</f>
        <v>0</v>
      </c>
      <c r="J204" s="172"/>
      <c r="K204" s="172"/>
      <c r="L204" s="172"/>
      <c r="M204" s="172"/>
      <c r="N204" s="172"/>
      <c r="O204" s="172"/>
      <c r="P204" s="172"/>
      <c r="Q204" s="172"/>
      <c r="R204" s="172"/>
      <c r="S204" s="172"/>
      <c r="T204" s="172"/>
      <c r="U204" s="172"/>
      <c r="V204" s="172"/>
      <c r="W204" s="172"/>
      <c r="X204" s="172"/>
      <c r="Y204" s="172"/>
      <c r="Z204" s="172"/>
      <c r="AA204" s="172"/>
    </row>
    <row r="205" spans="1:27" ht="17">
      <c r="A205" s="168"/>
      <c r="B205" s="171" t="str">
        <f t="shared" ca="1" si="1"/>
        <v/>
      </c>
      <c r="C205" s="171" t="str">
        <f t="shared" ca="1" si="4"/>
        <v/>
      </c>
      <c r="D205" s="172">
        <f t="shared" ca="1" si="3"/>
        <v>0</v>
      </c>
      <c r="E205" s="172" t="s">
        <v>281</v>
      </c>
      <c r="F205" s="172"/>
      <c r="G205" s="175"/>
      <c r="H205" s="175"/>
      <c r="I205" s="172">
        <f ca="1">IFERROR(__xludf.DUMMYFUNCTION("""COMPUTED_VALUE"""),0)</f>
        <v>0</v>
      </c>
      <c r="J205" s="172"/>
      <c r="K205" s="172"/>
      <c r="L205" s="172"/>
      <c r="M205" s="172"/>
      <c r="N205" s="172"/>
      <c r="O205" s="172"/>
      <c r="P205" s="172"/>
      <c r="Q205" s="172"/>
      <c r="R205" s="172"/>
      <c r="S205" s="172"/>
      <c r="T205" s="172"/>
      <c r="U205" s="172"/>
      <c r="V205" s="172"/>
      <c r="W205" s="172"/>
      <c r="X205" s="172"/>
      <c r="Y205" s="172"/>
      <c r="Z205" s="172"/>
      <c r="AA205" s="172"/>
    </row>
    <row r="206" spans="1:27" ht="17">
      <c r="A206" s="168"/>
      <c r="B206" s="171" t="str">
        <f t="shared" ca="1" si="1"/>
        <v/>
      </c>
      <c r="C206" s="171" t="str">
        <f t="shared" ca="1" si="4"/>
        <v/>
      </c>
      <c r="D206" s="172">
        <f t="shared" ca="1" si="3"/>
        <v>0</v>
      </c>
      <c r="E206" s="172" t="s">
        <v>281</v>
      </c>
      <c r="F206" s="172"/>
      <c r="G206" s="175"/>
      <c r="H206" s="175"/>
      <c r="I206" s="172">
        <f ca="1">IFERROR(__xludf.DUMMYFUNCTION("""COMPUTED_VALUE"""),0)</f>
        <v>0</v>
      </c>
      <c r="J206" s="172"/>
      <c r="K206" s="172"/>
      <c r="L206" s="172"/>
      <c r="M206" s="172"/>
      <c r="N206" s="172"/>
      <c r="O206" s="172"/>
      <c r="P206" s="172"/>
      <c r="Q206" s="172"/>
      <c r="R206" s="172"/>
      <c r="S206" s="172"/>
      <c r="T206" s="172"/>
      <c r="U206" s="172"/>
      <c r="V206" s="172"/>
      <c r="W206" s="172"/>
      <c r="X206" s="172"/>
      <c r="Y206" s="172"/>
      <c r="Z206" s="172"/>
      <c r="AA206" s="172"/>
    </row>
    <row r="207" spans="1:27" ht="17">
      <c r="A207" s="168"/>
      <c r="B207" s="171" t="str">
        <f t="shared" ca="1" si="1"/>
        <v/>
      </c>
      <c r="C207" s="171" t="str">
        <f t="shared" ca="1" si="4"/>
        <v/>
      </c>
      <c r="D207" s="172">
        <f t="shared" ca="1" si="3"/>
        <v>0</v>
      </c>
      <c r="E207" s="172" t="s">
        <v>281</v>
      </c>
      <c r="F207" s="172"/>
      <c r="G207" s="175"/>
      <c r="H207" s="175"/>
      <c r="I207" s="172">
        <f ca="1">IFERROR(__xludf.DUMMYFUNCTION("""COMPUTED_VALUE"""),0)</f>
        <v>0</v>
      </c>
      <c r="J207" s="172"/>
      <c r="K207" s="172"/>
      <c r="L207" s="172"/>
      <c r="M207" s="172"/>
      <c r="N207" s="172"/>
      <c r="O207" s="172"/>
      <c r="P207" s="172"/>
      <c r="Q207" s="172"/>
      <c r="R207" s="172"/>
      <c r="S207" s="172"/>
      <c r="T207" s="172"/>
      <c r="U207" s="172"/>
      <c r="V207" s="172"/>
      <c r="W207" s="172"/>
      <c r="X207" s="172"/>
      <c r="Y207" s="172"/>
      <c r="Z207" s="172"/>
      <c r="AA207" s="172"/>
    </row>
    <row r="208" spans="1:27" ht="17">
      <c r="A208" s="168"/>
      <c r="B208" s="171" t="str">
        <f t="shared" ca="1" si="1"/>
        <v/>
      </c>
      <c r="C208" s="171" t="str">
        <f t="shared" ca="1" si="4"/>
        <v/>
      </c>
      <c r="D208" s="172">
        <f t="shared" ca="1" si="3"/>
        <v>0</v>
      </c>
      <c r="E208" s="172" t="s">
        <v>281</v>
      </c>
      <c r="F208" s="172"/>
      <c r="G208" s="175"/>
      <c r="H208" s="175"/>
      <c r="I208" s="172">
        <f ca="1">IFERROR(__xludf.DUMMYFUNCTION("""COMPUTED_VALUE"""),0)</f>
        <v>0</v>
      </c>
      <c r="J208" s="172"/>
      <c r="K208" s="172"/>
      <c r="L208" s="172"/>
      <c r="M208" s="172"/>
      <c r="N208" s="172"/>
      <c r="O208" s="172"/>
      <c r="P208" s="172"/>
      <c r="Q208" s="172"/>
      <c r="R208" s="172"/>
      <c r="S208" s="172"/>
      <c r="T208" s="172"/>
      <c r="U208" s="172"/>
      <c r="V208" s="172"/>
      <c r="W208" s="172"/>
      <c r="X208" s="172"/>
      <c r="Y208" s="172"/>
      <c r="Z208" s="172"/>
      <c r="AA208" s="172"/>
    </row>
    <row r="209" spans="1:27" ht="17">
      <c r="A209" s="168"/>
      <c r="B209" s="171" t="str">
        <f t="shared" ca="1" si="1"/>
        <v/>
      </c>
      <c r="C209" s="171" t="str">
        <f t="shared" ca="1" si="4"/>
        <v/>
      </c>
      <c r="D209" s="172">
        <f t="shared" ca="1" si="3"/>
        <v>0</v>
      </c>
      <c r="E209" s="172" t="s">
        <v>281</v>
      </c>
      <c r="F209" s="172"/>
      <c r="G209" s="175"/>
      <c r="H209" s="175"/>
      <c r="I209" s="172">
        <f ca="1">IFERROR(__xludf.DUMMYFUNCTION("""COMPUTED_VALUE"""),0)</f>
        <v>0</v>
      </c>
      <c r="J209" s="172"/>
      <c r="K209" s="172"/>
      <c r="L209" s="172"/>
      <c r="M209" s="172"/>
      <c r="N209" s="172"/>
      <c r="O209" s="172"/>
      <c r="P209" s="172"/>
      <c r="Q209" s="172"/>
      <c r="R209" s="172"/>
      <c r="S209" s="172"/>
      <c r="T209" s="172"/>
      <c r="U209" s="172"/>
      <c r="V209" s="172"/>
      <c r="W209" s="172"/>
      <c r="X209" s="172"/>
      <c r="Y209" s="172"/>
      <c r="Z209" s="172"/>
      <c r="AA209" s="172"/>
    </row>
    <row r="210" spans="1:27" ht="17">
      <c r="A210" s="168"/>
      <c r="B210" s="171" t="str">
        <f t="shared" ca="1" si="1"/>
        <v/>
      </c>
      <c r="C210" s="171" t="str">
        <f t="shared" ca="1" si="4"/>
        <v/>
      </c>
      <c r="D210" s="172">
        <f t="shared" ca="1" si="3"/>
        <v>0</v>
      </c>
      <c r="E210" s="172" t="s">
        <v>281</v>
      </c>
      <c r="F210" s="172"/>
      <c r="G210" s="175"/>
      <c r="H210" s="175"/>
      <c r="I210" s="172">
        <f ca="1">IFERROR(__xludf.DUMMYFUNCTION("""COMPUTED_VALUE"""),0)</f>
        <v>0</v>
      </c>
      <c r="J210" s="172"/>
      <c r="K210" s="172"/>
      <c r="L210" s="172"/>
      <c r="M210" s="172"/>
      <c r="N210" s="172"/>
      <c r="O210" s="172"/>
      <c r="P210" s="172"/>
      <c r="Q210" s="172"/>
      <c r="R210" s="172"/>
      <c r="S210" s="172"/>
      <c r="T210" s="172"/>
      <c r="U210" s="172"/>
      <c r="V210" s="172"/>
      <c r="W210" s="172"/>
      <c r="X210" s="172"/>
      <c r="Y210" s="172"/>
      <c r="Z210" s="172"/>
      <c r="AA210" s="172"/>
    </row>
    <row r="211" spans="1:27" ht="17">
      <c r="A211" s="168"/>
      <c r="B211" s="171" t="str">
        <f t="shared" ca="1" si="1"/>
        <v/>
      </c>
      <c r="C211" s="171" t="str">
        <f t="shared" ca="1" si="4"/>
        <v/>
      </c>
      <c r="D211" s="172">
        <f t="shared" ca="1" si="3"/>
        <v>0</v>
      </c>
      <c r="E211" s="172" t="s">
        <v>281</v>
      </c>
      <c r="F211" s="172"/>
      <c r="G211" s="175"/>
      <c r="H211" s="175"/>
      <c r="I211" s="172">
        <f ca="1">IFERROR(__xludf.DUMMYFUNCTION("""COMPUTED_VALUE"""),0)</f>
        <v>0</v>
      </c>
      <c r="J211" s="172"/>
      <c r="K211" s="172"/>
      <c r="L211" s="172"/>
      <c r="M211" s="172"/>
      <c r="N211" s="172"/>
      <c r="O211" s="172"/>
      <c r="P211" s="172"/>
      <c r="Q211" s="172"/>
      <c r="R211" s="172"/>
      <c r="S211" s="172"/>
      <c r="T211" s="172"/>
      <c r="U211" s="172"/>
      <c r="V211" s="172"/>
      <c r="W211" s="172"/>
      <c r="X211" s="172"/>
      <c r="Y211" s="172"/>
      <c r="Z211" s="172"/>
      <c r="AA211" s="172"/>
    </row>
    <row r="212" spans="1:27" ht="17">
      <c r="A212" s="168"/>
      <c r="B212" s="171" t="str">
        <f t="shared" ca="1" si="1"/>
        <v/>
      </c>
      <c r="C212" s="171" t="str">
        <f t="shared" ca="1" si="4"/>
        <v/>
      </c>
      <c r="D212" s="172">
        <f t="shared" ca="1" si="3"/>
        <v>0</v>
      </c>
      <c r="E212" s="172" t="s">
        <v>281</v>
      </c>
      <c r="F212" s="172"/>
      <c r="G212" s="175"/>
      <c r="H212" s="175"/>
      <c r="I212" s="172">
        <f ca="1">IFERROR(__xludf.DUMMYFUNCTION("""COMPUTED_VALUE"""),0)</f>
        <v>0</v>
      </c>
      <c r="J212" s="172"/>
      <c r="K212" s="172"/>
      <c r="L212" s="172"/>
      <c r="M212" s="172"/>
      <c r="N212" s="172"/>
      <c r="O212" s="172"/>
      <c r="P212" s="172"/>
      <c r="Q212" s="172"/>
      <c r="R212" s="172"/>
      <c r="S212" s="172"/>
      <c r="T212" s="172"/>
      <c r="U212" s="172"/>
      <c r="V212" s="172"/>
      <c r="W212" s="172"/>
      <c r="X212" s="172"/>
      <c r="Y212" s="172"/>
      <c r="Z212" s="172"/>
      <c r="AA212" s="172"/>
    </row>
    <row r="213" spans="1:27" ht="17">
      <c r="A213" s="168"/>
      <c r="B213" s="171" t="str">
        <f t="shared" ca="1" si="1"/>
        <v/>
      </c>
      <c r="C213" s="171" t="str">
        <f t="shared" ca="1" si="4"/>
        <v/>
      </c>
      <c r="D213" s="172">
        <f t="shared" ca="1" si="3"/>
        <v>0</v>
      </c>
      <c r="E213" s="172" t="s">
        <v>281</v>
      </c>
      <c r="F213" s="172"/>
      <c r="G213" s="175"/>
      <c r="H213" s="175"/>
      <c r="I213" s="172">
        <f ca="1">IFERROR(__xludf.DUMMYFUNCTION("""COMPUTED_VALUE"""),0)</f>
        <v>0</v>
      </c>
      <c r="J213" s="172"/>
      <c r="K213" s="172"/>
      <c r="L213" s="172"/>
      <c r="M213" s="172"/>
      <c r="N213" s="172"/>
      <c r="O213" s="172"/>
      <c r="P213" s="172"/>
      <c r="Q213" s="172"/>
      <c r="R213" s="172"/>
      <c r="S213" s="172"/>
      <c r="T213" s="172"/>
      <c r="U213" s="172"/>
      <c r="V213" s="172"/>
      <c r="W213" s="172"/>
      <c r="X213" s="172"/>
      <c r="Y213" s="172"/>
      <c r="Z213" s="172"/>
      <c r="AA213" s="172"/>
    </row>
    <row r="214" spans="1:27" ht="17">
      <c r="A214" s="168"/>
      <c r="B214" s="171" t="str">
        <f t="shared" ca="1" si="1"/>
        <v/>
      </c>
      <c r="C214" s="171" t="str">
        <f t="shared" ca="1" si="4"/>
        <v/>
      </c>
      <c r="D214" s="172">
        <f t="shared" ca="1" si="3"/>
        <v>0</v>
      </c>
      <c r="E214" s="172" t="s">
        <v>281</v>
      </c>
      <c r="F214" s="172"/>
      <c r="G214" s="175"/>
      <c r="H214" s="175"/>
      <c r="I214" s="172">
        <f ca="1">IFERROR(__xludf.DUMMYFUNCTION("""COMPUTED_VALUE"""),0)</f>
        <v>0</v>
      </c>
      <c r="J214" s="172"/>
      <c r="K214" s="172"/>
      <c r="L214" s="172"/>
      <c r="M214" s="172"/>
      <c r="N214" s="172"/>
      <c r="O214" s="172"/>
      <c r="P214" s="172"/>
      <c r="Q214" s="172"/>
      <c r="R214" s="172"/>
      <c r="S214" s="172"/>
      <c r="T214" s="172"/>
      <c r="U214" s="172"/>
      <c r="V214" s="172"/>
      <c r="W214" s="172"/>
      <c r="X214" s="172"/>
      <c r="Y214" s="172"/>
      <c r="Z214" s="172"/>
      <c r="AA214" s="172"/>
    </row>
    <row r="215" spans="1:27" ht="17">
      <c r="A215" s="168"/>
      <c r="B215" s="171" t="str">
        <f t="shared" ca="1" si="1"/>
        <v/>
      </c>
      <c r="C215" s="171" t="str">
        <f t="shared" ca="1" si="4"/>
        <v/>
      </c>
      <c r="D215" s="172">
        <f t="shared" ca="1" si="3"/>
        <v>0</v>
      </c>
      <c r="E215" s="172" t="s">
        <v>281</v>
      </c>
      <c r="F215" s="172"/>
      <c r="G215" s="175"/>
      <c r="H215" s="175"/>
      <c r="I215" s="172">
        <f ca="1">IFERROR(__xludf.DUMMYFUNCTION("""COMPUTED_VALUE"""),0)</f>
        <v>0</v>
      </c>
      <c r="J215" s="172"/>
      <c r="K215" s="172"/>
      <c r="L215" s="172"/>
      <c r="M215" s="172"/>
      <c r="N215" s="172"/>
      <c r="O215" s="172"/>
      <c r="P215" s="172"/>
      <c r="Q215" s="172"/>
      <c r="R215" s="172"/>
      <c r="S215" s="172"/>
      <c r="T215" s="172"/>
      <c r="U215" s="172"/>
      <c r="V215" s="172"/>
      <c r="W215" s="172"/>
      <c r="X215" s="172"/>
      <c r="Y215" s="172"/>
      <c r="Z215" s="172"/>
      <c r="AA215" s="172"/>
    </row>
    <row r="216" spans="1:27" ht="17">
      <c r="A216" s="168"/>
      <c r="B216" s="171" t="str">
        <f t="shared" ca="1" si="1"/>
        <v/>
      </c>
      <c r="C216" s="171" t="str">
        <f t="shared" ca="1" si="4"/>
        <v/>
      </c>
      <c r="D216" s="172">
        <f t="shared" ca="1" si="3"/>
        <v>0</v>
      </c>
      <c r="E216" s="172" t="s">
        <v>281</v>
      </c>
      <c r="F216" s="172"/>
      <c r="G216" s="175"/>
      <c r="H216" s="175"/>
      <c r="I216" s="172">
        <f ca="1">IFERROR(__xludf.DUMMYFUNCTION("""COMPUTED_VALUE"""),0)</f>
        <v>0</v>
      </c>
      <c r="J216" s="172"/>
      <c r="K216" s="172"/>
      <c r="L216" s="172"/>
      <c r="M216" s="172"/>
      <c r="N216" s="172"/>
      <c r="O216" s="172"/>
      <c r="P216" s="172"/>
      <c r="Q216" s="172"/>
      <c r="R216" s="172"/>
      <c r="S216" s="172"/>
      <c r="T216" s="172"/>
      <c r="U216" s="172"/>
      <c r="V216" s="172"/>
      <c r="W216" s="172"/>
      <c r="X216" s="172"/>
      <c r="Y216" s="172"/>
      <c r="Z216" s="172"/>
      <c r="AA216" s="172"/>
    </row>
    <row r="217" spans="1:27" ht="17">
      <c r="A217" s="168"/>
      <c r="B217" s="171" t="str">
        <f t="shared" ca="1" si="1"/>
        <v/>
      </c>
      <c r="C217" s="171" t="str">
        <f t="shared" ca="1" si="4"/>
        <v/>
      </c>
      <c r="D217" s="172">
        <f t="shared" ca="1" si="3"/>
        <v>0</v>
      </c>
      <c r="E217" s="172" t="s">
        <v>281</v>
      </c>
      <c r="F217" s="172"/>
      <c r="G217" s="175"/>
      <c r="H217" s="175"/>
      <c r="I217" s="172">
        <f ca="1">IFERROR(__xludf.DUMMYFUNCTION("""COMPUTED_VALUE"""),0)</f>
        <v>0</v>
      </c>
      <c r="J217" s="172"/>
      <c r="K217" s="172"/>
      <c r="L217" s="172"/>
      <c r="M217" s="172"/>
      <c r="N217" s="172"/>
      <c r="O217" s="172"/>
      <c r="P217" s="172"/>
      <c r="Q217" s="172"/>
      <c r="R217" s="172"/>
      <c r="S217" s="172"/>
      <c r="T217" s="172"/>
      <c r="U217" s="172"/>
      <c r="V217" s="172"/>
      <c r="W217" s="172"/>
      <c r="X217" s="172"/>
      <c r="Y217" s="172"/>
      <c r="Z217" s="172"/>
      <c r="AA217" s="172"/>
    </row>
    <row r="218" spans="1:27" ht="17">
      <c r="A218" s="168"/>
      <c r="B218" s="171" t="str">
        <f t="shared" ca="1" si="1"/>
        <v/>
      </c>
      <c r="C218" s="171" t="str">
        <f t="shared" ca="1" si="4"/>
        <v/>
      </c>
      <c r="D218" s="172">
        <f t="shared" ca="1" si="3"/>
        <v>0</v>
      </c>
      <c r="E218" s="172" t="s">
        <v>281</v>
      </c>
      <c r="F218" s="172"/>
      <c r="G218" s="175"/>
      <c r="H218" s="175"/>
      <c r="I218" s="172">
        <f ca="1">IFERROR(__xludf.DUMMYFUNCTION("""COMPUTED_VALUE"""),0)</f>
        <v>0</v>
      </c>
      <c r="J218" s="172"/>
      <c r="K218" s="172"/>
      <c r="L218" s="172"/>
      <c r="M218" s="172"/>
      <c r="N218" s="172"/>
      <c r="O218" s="172"/>
      <c r="P218" s="172"/>
      <c r="Q218" s="172"/>
      <c r="R218" s="172"/>
      <c r="S218" s="172"/>
      <c r="T218" s="172"/>
      <c r="U218" s="172"/>
      <c r="V218" s="172"/>
      <c r="W218" s="172"/>
      <c r="X218" s="172"/>
      <c r="Y218" s="172"/>
      <c r="Z218" s="172"/>
      <c r="AA218" s="172"/>
    </row>
    <row r="219" spans="1:27" ht="36">
      <c r="A219" s="168"/>
      <c r="B219" s="171" t="str">
        <f t="shared" ca="1" si="1"/>
        <v/>
      </c>
      <c r="C219" s="171" t="str">
        <f t="shared" ca="1" si="4"/>
        <v/>
      </c>
      <c r="D219" s="172">
        <f t="shared" ca="1" si="3"/>
        <v>0</v>
      </c>
      <c r="E219" s="172" t="s">
        <v>281</v>
      </c>
      <c r="G219" s="175" t="str">
        <f ca="1">IFERROR(__xludf.DUMMYFUNCTION("""COMPUTED_VALUE"""),"EMEA 5021 - Product Cost &amp; Investment Cash Flow Analysis")</f>
        <v>EMEA 5021 - Product Cost &amp; Investment Cash Flow Analysis</v>
      </c>
      <c r="H219" s="175"/>
      <c r="I219" s="168">
        <f ca="1">IFERROR(__xludf.DUMMYFUNCTION("""COMPUTED_VALUE"""),0)</f>
        <v>0</v>
      </c>
      <c r="J219" s="168">
        <f ca="1">IFERROR(__xludf.DUMMYFUNCTION("""COMPUTED_VALUE"""),3)</f>
        <v>3</v>
      </c>
    </row>
    <row r="220" spans="1:27" ht="36">
      <c r="A220" s="168"/>
      <c r="B220" s="171" t="str">
        <f t="shared" ca="1" si="1"/>
        <v/>
      </c>
      <c r="C220" s="171" t="str">
        <f t="shared" ca="1" si="4"/>
        <v/>
      </c>
      <c r="D220" s="172">
        <f t="shared" ca="1" si="3"/>
        <v>0</v>
      </c>
      <c r="G220" s="175" t="str">
        <f ca="1">IFERROR(__xludf.DUMMYFUNCTION("""COMPUTED_VALUE"""),"EMEA 5021 - Product Cost &amp; Investment Cash Flow Analysis")</f>
        <v>EMEA 5021 - Product Cost &amp; Investment Cash Flow Analysis</v>
      </c>
      <c r="H220" s="175"/>
      <c r="I220" s="168">
        <f ca="1">IFERROR(__xludf.DUMMYFUNCTION("""COMPUTED_VALUE"""),0)</f>
        <v>0</v>
      </c>
      <c r="J220" s="168">
        <f ca="1">IFERROR(__xludf.DUMMYFUNCTION("""COMPUTED_VALUE"""),3)</f>
        <v>3</v>
      </c>
    </row>
    <row r="221" spans="1:27" ht="36">
      <c r="A221" s="168"/>
      <c r="B221" s="171" t="str">
        <f t="shared" ca="1" si="1"/>
        <v/>
      </c>
      <c r="C221" s="171" t="str">
        <f t="shared" ca="1" si="4"/>
        <v/>
      </c>
      <c r="D221" s="172">
        <f t="shared" ca="1" si="3"/>
        <v>0</v>
      </c>
      <c r="G221" s="175" t="str">
        <f ca="1">IFERROR(__xludf.DUMMYFUNCTION("""COMPUTED_VALUE"""),"EMEA 5022 - Project Valuation and the Capital Budgeting Process")</f>
        <v>EMEA 5022 - Project Valuation and the Capital Budgeting Process</v>
      </c>
      <c r="H221" s="175"/>
      <c r="I221" s="168">
        <f ca="1">IFERROR(__xludf.DUMMYFUNCTION("""COMPUTED_VALUE"""),0)</f>
        <v>0</v>
      </c>
      <c r="J221" s="168">
        <f ca="1">IFERROR(__xludf.DUMMYFUNCTION("""COMPUTED_VALUE"""),4)</f>
        <v>4</v>
      </c>
    </row>
    <row r="222" spans="1:27" ht="36">
      <c r="A222" s="168"/>
      <c r="B222" s="171" t="str">
        <f t="shared" ca="1" si="1"/>
        <v/>
      </c>
      <c r="C222" s="171" t="str">
        <f t="shared" ca="1" si="4"/>
        <v/>
      </c>
      <c r="D222" s="172">
        <f t="shared" ca="1" si="3"/>
        <v>0</v>
      </c>
      <c r="G222" s="175" t="str">
        <f ca="1">IFERROR(__xludf.DUMMYFUNCTION("""COMPUTED_VALUE"""),"EMEA 5023 - Financial Forecasting and Reporting")</f>
        <v>EMEA 5023 - Financial Forecasting and Reporting</v>
      </c>
      <c r="H222" s="175"/>
      <c r="I222" s="168">
        <f ca="1">IFERROR(__xludf.DUMMYFUNCTION("""COMPUTED_VALUE"""),0)</f>
        <v>0</v>
      </c>
      <c r="J222" s="168">
        <f ca="1">IFERROR(__xludf.DUMMYFUNCTION("""COMPUTED_VALUE"""),5)</f>
        <v>5</v>
      </c>
    </row>
    <row r="223" spans="1:27" ht="36">
      <c r="A223" s="168"/>
      <c r="B223" s="171" t="str">
        <f t="shared" ca="1" si="1"/>
        <v/>
      </c>
      <c r="C223" s="171" t="str">
        <f t="shared" ca="1" si="4"/>
        <v/>
      </c>
      <c r="D223" s="172">
        <f t="shared" ca="1" si="3"/>
        <v>0</v>
      </c>
      <c r="G223" s="175" t="str">
        <f ca="1">IFERROR(__xludf.DUMMYFUNCTION("""COMPUTED_VALUE"""),"EMEA 5031 - Project Management: Foundations and Initiation")</f>
        <v>EMEA 5031 - Project Management: Foundations and Initiation</v>
      </c>
      <c r="H223" s="175"/>
      <c r="I223" s="168">
        <f ca="1">IFERROR(__xludf.DUMMYFUNCTION("""COMPUTED_VALUE"""),0)</f>
        <v>0</v>
      </c>
      <c r="J223" s="168">
        <f ca="1">IFERROR(__xludf.DUMMYFUNCTION("""COMPUTED_VALUE"""),6)</f>
        <v>6</v>
      </c>
    </row>
    <row r="224" spans="1:27" ht="36">
      <c r="A224" s="168"/>
      <c r="B224" s="171" t="str">
        <f t="shared" ca="1" si="1"/>
        <v/>
      </c>
      <c r="C224" s="171" t="str">
        <f t="shared" ca="1" si="4"/>
        <v/>
      </c>
      <c r="D224" s="172">
        <f t="shared" ca="1" si="3"/>
        <v>0</v>
      </c>
      <c r="G224" s="175" t="str">
        <f ca="1">IFERROR(__xludf.DUMMYFUNCTION("""COMPUTED_VALUE"""),"EMEA 5032 - Project Management: Project Planning and Execution")</f>
        <v>EMEA 5032 - Project Management: Project Planning and Execution</v>
      </c>
      <c r="H224" s="175"/>
      <c r="I224" s="168">
        <f ca="1">IFERROR(__xludf.DUMMYFUNCTION("""COMPUTED_VALUE"""),0)</f>
        <v>0</v>
      </c>
      <c r="J224" s="168">
        <f ca="1">IFERROR(__xludf.DUMMYFUNCTION("""COMPUTED_VALUE"""),7)</f>
        <v>7</v>
      </c>
    </row>
    <row r="225" spans="1:10" ht="36">
      <c r="A225" s="168"/>
      <c r="B225" s="171" t="str">
        <f t="shared" ca="1" si="1"/>
        <v/>
      </c>
      <c r="C225" s="171" t="str">
        <f t="shared" ca="1" si="4"/>
        <v/>
      </c>
      <c r="D225" s="172">
        <f t="shared" ca="1" si="3"/>
        <v>0</v>
      </c>
      <c r="G225" s="175" t="str">
        <f ca="1">IFERROR(__xludf.DUMMYFUNCTION("""COMPUTED_VALUE"""),"EMEA 5033 - Project Management: Agile Project Management")</f>
        <v>EMEA 5033 - Project Management: Agile Project Management</v>
      </c>
      <c r="H225" s="175"/>
      <c r="I225" s="168">
        <f ca="1">IFERROR(__xludf.DUMMYFUNCTION("""COMPUTED_VALUE"""),0)</f>
        <v>0</v>
      </c>
      <c r="J225" s="168">
        <f ca="1">IFERROR(__xludf.DUMMYFUNCTION("""COMPUTED_VALUE"""),8)</f>
        <v>8</v>
      </c>
    </row>
    <row r="226" spans="1:10" ht="36">
      <c r="A226" s="168"/>
      <c r="B226" s="171" t="str">
        <f t="shared" ca="1" si="1"/>
        <v/>
      </c>
      <c r="C226" s="171" t="str">
        <f t="shared" ca="1" si="4"/>
        <v/>
      </c>
      <c r="D226" s="172">
        <f t="shared" ca="1" si="3"/>
        <v>0</v>
      </c>
      <c r="G226" s="175" t="str">
        <f ca="1">IFERROR(__xludf.DUMMYFUNCTION("""COMPUTED_VALUE"""),"EMEA 5033 - Project Management: Agile Project Management")</f>
        <v>EMEA 5033 - Project Management: Agile Project Management</v>
      </c>
      <c r="H226" s="175"/>
      <c r="I226" s="168">
        <f ca="1">IFERROR(__xludf.DUMMYFUNCTION("""COMPUTED_VALUE"""),0)</f>
        <v>0</v>
      </c>
      <c r="J226" s="168">
        <f ca="1">IFERROR(__xludf.DUMMYFUNCTION("""COMPUTED_VALUE"""),8)</f>
        <v>8</v>
      </c>
    </row>
    <row r="227" spans="1:10" ht="36">
      <c r="A227" s="168"/>
      <c r="B227" s="171" t="str">
        <f t="shared" ca="1" si="1"/>
        <v/>
      </c>
      <c r="C227" s="171" t="str">
        <f t="shared" ca="1" si="4"/>
        <v/>
      </c>
      <c r="D227" s="172">
        <f t="shared" ca="1" si="3"/>
        <v>0</v>
      </c>
      <c r="G227" s="175" t="str">
        <f ca="1">IFERROR(__xludf.DUMMYFUNCTION("""COMPUTED_VALUE"""),"EMEA 5401 - Strategic Product Development")</f>
        <v>EMEA 5401 - Strategic Product Development</v>
      </c>
      <c r="H227" s="175"/>
      <c r="I227" s="168">
        <f ca="1">IFERROR(__xludf.DUMMYFUNCTION("""COMPUTED_VALUE"""),0)</f>
        <v>0</v>
      </c>
      <c r="J227" s="168">
        <f ca="1">IFERROR(__xludf.DUMMYFUNCTION("""COMPUTED_VALUE"""),18)</f>
        <v>18</v>
      </c>
    </row>
    <row r="228" spans="1:10" ht="36">
      <c r="A228" s="168"/>
      <c r="B228" s="171" t="str">
        <f t="shared" ca="1" si="1"/>
        <v/>
      </c>
      <c r="C228" s="171" t="str">
        <f t="shared" ca="1" si="4"/>
        <v/>
      </c>
      <c r="D228" s="172">
        <f t="shared" ca="1" si="3"/>
        <v>0</v>
      </c>
      <c r="G228" s="175" t="str">
        <f ca="1">IFERROR(__xludf.DUMMYFUNCTION("""COMPUTED_VALUE"""),"EMEA 5081 - A Theoretical Origin of Ethics in Business and Tech Industry")</f>
        <v>EMEA 5081 - A Theoretical Origin of Ethics in Business and Tech Industry</v>
      </c>
      <c r="H228" s="175"/>
      <c r="I228" s="168">
        <f ca="1">IFERROR(__xludf.DUMMYFUNCTION("""COMPUTED_VALUE"""),0)</f>
        <v>0</v>
      </c>
      <c r="J228" s="168">
        <f ca="1">IFERROR(__xludf.DUMMYFUNCTION("""COMPUTED_VALUE"""),24)</f>
        <v>24</v>
      </c>
    </row>
    <row r="229" spans="1:10" ht="36">
      <c r="A229" s="168"/>
      <c r="B229" s="171" t="str">
        <f t="shared" ca="1" si="1"/>
        <v/>
      </c>
      <c r="C229" s="171" t="str">
        <f t="shared" ca="1" si="4"/>
        <v/>
      </c>
      <c r="D229" s="172">
        <f t="shared" ca="1" si="3"/>
        <v>0</v>
      </c>
      <c r="G229" s="175" t="str">
        <f ca="1">IFERROR(__xludf.DUMMYFUNCTION("""COMPUTED_VALUE"""),"EMEA 5094 - Market Research and Analysis for Tech Industries")</f>
        <v>EMEA 5094 - Market Research and Analysis for Tech Industries</v>
      </c>
      <c r="H229" s="175"/>
      <c r="I229" s="168">
        <f ca="1">IFERROR(__xludf.DUMMYFUNCTION("""COMPUTED_VALUE"""),0)</f>
        <v>0</v>
      </c>
      <c r="J229" s="168">
        <f ca="1">IFERROR(__xludf.DUMMYFUNCTION("""COMPUTED_VALUE"""),39)</f>
        <v>39</v>
      </c>
    </row>
    <row r="230" spans="1:10" ht="17">
      <c r="A230" s="168"/>
      <c r="B230" s="171" t="str">
        <f t="shared" ca="1" si="1"/>
        <v/>
      </c>
      <c r="C230" s="171" t="str">
        <f t="shared" ca="1" si="4"/>
        <v/>
      </c>
      <c r="G230" s="175"/>
      <c r="H230" s="175"/>
      <c r="I230" s="168"/>
      <c r="J230" s="168"/>
    </row>
    <row r="231" spans="1:10" ht="17">
      <c r="A231" s="168"/>
      <c r="B231" s="171" t="str">
        <f t="shared" ca="1" si="1"/>
        <v/>
      </c>
      <c r="C231" s="171" t="str">
        <f t="shared" ca="1" si="4"/>
        <v/>
      </c>
      <c r="G231" s="175"/>
      <c r="H231" s="175"/>
      <c r="I231" s="168"/>
      <c r="J231" s="168"/>
    </row>
    <row r="232" spans="1:10" ht="17">
      <c r="A232" s="168"/>
      <c r="B232" s="171" t="str">
        <f t="shared" ca="1" si="1"/>
        <v/>
      </c>
      <c r="C232" s="171" t="str">
        <f t="shared" ca="1" si="4"/>
        <v/>
      </c>
      <c r="G232" s="175"/>
      <c r="H232" s="175"/>
      <c r="I232" s="168"/>
      <c r="J232" s="168"/>
    </row>
    <row r="233" spans="1:10" ht="17">
      <c r="A233" s="168"/>
      <c r="B233" s="171" t="str">
        <f t="shared" ca="1" si="1"/>
        <v/>
      </c>
      <c r="C233" s="171" t="str">
        <f t="shared" ca="1" si="4"/>
        <v/>
      </c>
      <c r="G233" s="175"/>
      <c r="H233" s="175"/>
      <c r="I233" s="168"/>
      <c r="J233" s="168"/>
    </row>
    <row r="234" spans="1:10" ht="17">
      <c r="A234" s="168"/>
      <c r="B234" s="171" t="str">
        <f t="shared" ca="1" si="1"/>
        <v/>
      </c>
      <c r="C234" s="171" t="str">
        <f t="shared" ca="1" si="4"/>
        <v/>
      </c>
      <c r="G234" s="175"/>
      <c r="H234" s="175"/>
      <c r="I234" s="168"/>
      <c r="J234" s="168"/>
    </row>
    <row r="235" spans="1:10" ht="17">
      <c r="A235" s="168"/>
      <c r="B235" s="171" t="str">
        <f t="shared" ca="1" si="1"/>
        <v/>
      </c>
      <c r="C235" s="171" t="str">
        <f t="shared" ca="1" si="4"/>
        <v/>
      </c>
      <c r="G235" s="175"/>
      <c r="H235" s="175"/>
      <c r="I235" s="168"/>
      <c r="J235" s="168"/>
    </row>
    <row r="236" spans="1:10" ht="17">
      <c r="A236" s="168"/>
      <c r="B236" s="171" t="str">
        <f t="shared" ca="1" si="1"/>
        <v/>
      </c>
      <c r="C236" s="171" t="str">
        <f t="shared" ca="1" si="4"/>
        <v/>
      </c>
      <c r="G236" s="175"/>
      <c r="H236" s="175"/>
      <c r="I236" s="168"/>
      <c r="J236" s="168"/>
    </row>
    <row r="237" spans="1:10" ht="17">
      <c r="A237" s="168"/>
      <c r="B237" s="171" t="str">
        <f t="shared" ca="1" si="1"/>
        <v/>
      </c>
      <c r="C237" s="171" t="str">
        <f t="shared" ca="1" si="4"/>
        <v/>
      </c>
      <c r="G237" s="175"/>
      <c r="H237" s="175"/>
      <c r="I237" s="168"/>
      <c r="J237" s="168"/>
    </row>
    <row r="238" spans="1:10" ht="17">
      <c r="A238" s="168"/>
      <c r="B238" s="171" t="str">
        <f t="shared" ca="1" si="1"/>
        <v/>
      </c>
      <c r="C238" s="171" t="str">
        <f t="shared" ca="1" si="4"/>
        <v/>
      </c>
      <c r="G238" s="175"/>
      <c r="H238" s="175"/>
      <c r="I238" s="168"/>
      <c r="J238" s="168"/>
    </row>
    <row r="239" spans="1:10" ht="17">
      <c r="A239" s="168"/>
      <c r="B239" s="171" t="str">
        <f t="shared" ca="1" si="1"/>
        <v/>
      </c>
      <c r="C239" s="171" t="str">
        <f t="shared" ca="1" si="4"/>
        <v/>
      </c>
      <c r="G239" s="175"/>
      <c r="H239" s="175"/>
      <c r="I239" s="168"/>
      <c r="J239" s="168"/>
    </row>
    <row r="240" spans="1:10" ht="17">
      <c r="A240" s="168"/>
      <c r="B240" s="171" t="str">
        <f t="shared" ca="1" si="1"/>
        <v/>
      </c>
      <c r="C240" s="171" t="str">
        <f t="shared" ca="1" si="4"/>
        <v/>
      </c>
      <c r="G240" s="175"/>
      <c r="H240" s="175"/>
      <c r="I240" s="168"/>
      <c r="J240" s="168"/>
    </row>
    <row r="241" spans="1:10" ht="17">
      <c r="A241" s="168"/>
      <c r="B241" s="171" t="str">
        <f t="shared" ca="1" si="1"/>
        <v/>
      </c>
      <c r="C241" s="171" t="str">
        <f t="shared" ca="1" si="4"/>
        <v/>
      </c>
      <c r="G241" s="175"/>
      <c r="H241" s="175"/>
      <c r="I241" s="168"/>
      <c r="J241" s="168"/>
    </row>
    <row r="242" spans="1:10" ht="17">
      <c r="A242" s="168"/>
      <c r="B242" s="171" t="str">
        <f t="shared" ca="1" si="1"/>
        <v/>
      </c>
      <c r="C242" s="171" t="str">
        <f t="shared" ca="1" si="4"/>
        <v/>
      </c>
      <c r="G242" s="175"/>
      <c r="H242" s="175"/>
      <c r="I242" s="168"/>
      <c r="J242" s="168"/>
    </row>
    <row r="243" spans="1:10" ht="17">
      <c r="A243" s="168"/>
      <c r="B243" s="171" t="str">
        <f t="shared" ca="1" si="1"/>
        <v/>
      </c>
      <c r="C243" s="171" t="str">
        <f t="shared" ca="1" si="4"/>
        <v/>
      </c>
      <c r="G243" s="175"/>
      <c r="H243" s="175"/>
      <c r="I243" s="168"/>
      <c r="J243" s="168"/>
    </row>
    <row r="244" spans="1:10" ht="17">
      <c r="A244" s="168"/>
      <c r="B244" s="171" t="str">
        <f t="shared" ca="1" si="1"/>
        <v/>
      </c>
      <c r="C244" s="171" t="str">
        <f t="shared" ca="1" si="4"/>
        <v/>
      </c>
      <c r="G244" s="175"/>
      <c r="H244" s="175"/>
      <c r="I244" s="168"/>
      <c r="J244" s="168"/>
    </row>
    <row r="245" spans="1:10" ht="17">
      <c r="A245" s="168"/>
      <c r="B245" s="171" t="str">
        <f t="shared" ca="1" si="1"/>
        <v/>
      </c>
      <c r="C245" s="171" t="str">
        <f t="shared" ca="1" si="4"/>
        <v/>
      </c>
      <c r="G245" s="175"/>
      <c r="H245" s="175"/>
      <c r="I245" s="168"/>
      <c r="J245" s="168"/>
    </row>
    <row r="246" spans="1:10" ht="17">
      <c r="A246" s="168"/>
      <c r="B246" s="171" t="str">
        <f t="shared" ca="1" si="1"/>
        <v/>
      </c>
      <c r="C246" s="171" t="str">
        <f t="shared" ca="1" si="4"/>
        <v/>
      </c>
      <c r="G246" s="175"/>
      <c r="H246" s="175"/>
      <c r="I246" s="168"/>
      <c r="J246" s="168"/>
    </row>
    <row r="247" spans="1:10" ht="17">
      <c r="A247" s="168"/>
      <c r="B247" s="171" t="str">
        <f t="shared" ca="1" si="1"/>
        <v/>
      </c>
      <c r="C247" s="171" t="str">
        <f t="shared" ca="1" si="4"/>
        <v/>
      </c>
      <c r="G247" s="175"/>
      <c r="H247" s="175"/>
      <c r="I247" s="168"/>
      <c r="J247" s="168"/>
    </row>
    <row r="248" spans="1:10" ht="17">
      <c r="A248" s="168"/>
      <c r="B248" s="171" t="str">
        <f t="shared" ca="1" si="1"/>
        <v/>
      </c>
      <c r="C248" s="171" t="str">
        <f t="shared" ca="1" si="4"/>
        <v/>
      </c>
      <c r="G248" s="175"/>
      <c r="H248" s="175"/>
      <c r="I248" s="168"/>
      <c r="J248" s="168"/>
    </row>
    <row r="249" spans="1:10" ht="17">
      <c r="A249" s="168"/>
      <c r="B249" s="171" t="str">
        <f t="shared" ca="1" si="1"/>
        <v/>
      </c>
      <c r="C249" s="171" t="str">
        <f t="shared" ca="1" si="4"/>
        <v/>
      </c>
      <c r="G249" s="175"/>
      <c r="H249" s="175"/>
      <c r="I249" s="168"/>
      <c r="J249" s="168"/>
    </row>
    <row r="250" spans="1:10" ht="17">
      <c r="A250" s="168"/>
      <c r="B250" s="171" t="str">
        <f t="shared" ca="1" si="1"/>
        <v/>
      </c>
      <c r="C250" s="171" t="str">
        <f t="shared" ca="1" si="4"/>
        <v/>
      </c>
      <c r="G250" s="175"/>
      <c r="H250" s="175"/>
      <c r="I250" s="168"/>
      <c r="J250" s="168"/>
    </row>
    <row r="251" spans="1:10" ht="17">
      <c r="A251" s="168"/>
      <c r="B251" s="171" t="str">
        <f t="shared" ca="1" si="1"/>
        <v/>
      </c>
      <c r="C251" s="171" t="str">
        <f t="shared" ca="1" si="4"/>
        <v/>
      </c>
      <c r="G251" s="175"/>
      <c r="H251" s="175"/>
      <c r="I251" s="168"/>
      <c r="J251" s="168"/>
    </row>
    <row r="252" spans="1:10" ht="17">
      <c r="A252" s="168"/>
      <c r="B252" s="171" t="str">
        <f t="shared" ca="1" si="1"/>
        <v/>
      </c>
      <c r="C252" s="171" t="str">
        <f t="shared" ca="1" si="4"/>
        <v/>
      </c>
      <c r="G252" s="175"/>
      <c r="H252" s="175"/>
      <c r="I252" s="168"/>
      <c r="J252" s="168"/>
    </row>
    <row r="253" spans="1:10" ht="17">
      <c r="A253" s="168"/>
      <c r="B253" s="171" t="str">
        <f t="shared" ca="1" si="1"/>
        <v/>
      </c>
      <c r="C253" s="171" t="str">
        <f t="shared" ca="1" si="4"/>
        <v/>
      </c>
      <c r="G253" s="175"/>
      <c r="H253" s="175"/>
      <c r="I253" s="168"/>
      <c r="J253" s="168"/>
    </row>
    <row r="254" spans="1:10" ht="17">
      <c r="A254" s="168"/>
      <c r="B254" s="171" t="str">
        <f t="shared" ca="1" si="1"/>
        <v/>
      </c>
      <c r="C254" s="171" t="str">
        <f t="shared" ca="1" si="4"/>
        <v/>
      </c>
      <c r="G254" s="175"/>
      <c r="H254" s="175"/>
      <c r="I254" s="168"/>
      <c r="J254" s="168"/>
    </row>
    <row r="255" spans="1:10" ht="17">
      <c r="A255" s="168"/>
      <c r="B255" s="171" t="str">
        <f t="shared" ca="1" si="1"/>
        <v/>
      </c>
      <c r="C255" s="171" t="str">
        <f t="shared" ca="1" si="4"/>
        <v/>
      </c>
      <c r="G255" s="175"/>
      <c r="H255" s="175"/>
      <c r="I255" s="168"/>
      <c r="J255" s="168"/>
    </row>
    <row r="256" spans="1:10" ht="17">
      <c r="A256" s="168"/>
      <c r="B256" s="171" t="str">
        <f t="shared" ca="1" si="1"/>
        <v/>
      </c>
      <c r="C256" s="171" t="str">
        <f t="shared" ca="1" si="4"/>
        <v/>
      </c>
      <c r="G256" s="175"/>
      <c r="H256" s="175"/>
      <c r="I256" s="168"/>
      <c r="J256" s="168"/>
    </row>
    <row r="257" spans="1:10" ht="17">
      <c r="A257" s="168"/>
      <c r="B257" s="171" t="str">
        <f t="shared" ref="B257:B327" ca="1" si="5">IFERROR(_xludf.IFS(
  NOT(ISBLANK(INDIRECT("'Outside Review Form Responses'!D" &amp; ROW()))), INDIRECT("'Outside Review Form Responses'!D" &amp; ROW())
),"")</f>
        <v/>
      </c>
      <c r="C257" s="171" t="str">
        <f t="shared" ca="1" si="4"/>
        <v/>
      </c>
      <c r="G257" s="175"/>
      <c r="H257" s="175"/>
      <c r="I257" s="168"/>
      <c r="J257" s="168"/>
    </row>
    <row r="258" spans="1:10" ht="17">
      <c r="A258" s="168"/>
      <c r="B258" s="171" t="str">
        <f t="shared" ca="1" si="5"/>
        <v/>
      </c>
      <c r="C258" s="171" t="str">
        <f t="shared" ca="1" si="4"/>
        <v/>
      </c>
      <c r="G258" s="175"/>
      <c r="H258" s="175"/>
      <c r="I258" s="168"/>
      <c r="J258" s="168"/>
    </row>
    <row r="259" spans="1:10" ht="17">
      <c r="A259" s="168"/>
      <c r="B259" s="171" t="str">
        <f t="shared" ca="1" si="5"/>
        <v/>
      </c>
      <c r="C259" s="171" t="str">
        <f t="shared" ca="1" si="4"/>
        <v/>
      </c>
      <c r="G259" s="175"/>
      <c r="H259" s="175"/>
      <c r="I259" s="168"/>
      <c r="J259" s="168"/>
    </row>
    <row r="260" spans="1:10" ht="17">
      <c r="A260" s="168"/>
      <c r="B260" s="171" t="str">
        <f t="shared" ca="1" si="5"/>
        <v/>
      </c>
      <c r="C260" s="171" t="str">
        <f t="shared" ca="1" si="4"/>
        <v/>
      </c>
      <c r="G260" s="175"/>
      <c r="H260" s="175"/>
      <c r="I260" s="168"/>
      <c r="J260" s="168"/>
    </row>
    <row r="261" spans="1:10" ht="17">
      <c r="A261" s="168"/>
      <c r="B261" s="171" t="str">
        <f t="shared" ca="1" si="5"/>
        <v/>
      </c>
      <c r="C261" s="171" t="str">
        <f t="shared" ca="1" si="4"/>
        <v/>
      </c>
      <c r="G261" s="175"/>
      <c r="H261" s="175"/>
      <c r="I261" s="168"/>
      <c r="J261" s="168"/>
    </row>
    <row r="262" spans="1:10" ht="17">
      <c r="A262" s="168"/>
      <c r="B262" s="171" t="str">
        <f t="shared" ca="1" si="5"/>
        <v/>
      </c>
      <c r="C262" s="171" t="str">
        <f t="shared" ca="1" si="4"/>
        <v/>
      </c>
      <c r="G262" s="175"/>
      <c r="H262" s="175"/>
      <c r="I262" s="168"/>
      <c r="J262" s="168"/>
    </row>
    <row r="263" spans="1:10" ht="17">
      <c r="A263" s="168"/>
      <c r="B263" s="171" t="str">
        <f t="shared" ca="1" si="5"/>
        <v/>
      </c>
      <c r="C263" s="171" t="str">
        <f t="shared" ca="1" si="4"/>
        <v/>
      </c>
      <c r="G263" s="175"/>
      <c r="H263" s="175"/>
      <c r="I263" s="168"/>
      <c r="J263" s="168"/>
    </row>
    <row r="264" spans="1:10" ht="17">
      <c r="A264" s="168"/>
      <c r="B264" s="171" t="str">
        <f t="shared" ca="1" si="5"/>
        <v/>
      </c>
      <c r="C264" s="171">
        <f t="shared" ref="C264:C281" ca="1" si="6">INDIRECT("'Outside Review Form Responses'!J" &amp; ROW())</f>
        <v>0</v>
      </c>
      <c r="G264" s="175"/>
      <c r="H264" s="175"/>
      <c r="I264" s="168"/>
      <c r="J264" s="168"/>
    </row>
    <row r="265" spans="1:10" ht="17">
      <c r="A265" s="168"/>
      <c r="B265" s="171" t="str">
        <f t="shared" ca="1" si="5"/>
        <v/>
      </c>
      <c r="C265" s="171">
        <f t="shared" ca="1" si="6"/>
        <v>0</v>
      </c>
      <c r="G265" s="175"/>
      <c r="H265" s="175"/>
      <c r="I265" s="168"/>
      <c r="J265" s="168"/>
    </row>
    <row r="266" spans="1:10" ht="17">
      <c r="A266" s="168"/>
      <c r="B266" s="171" t="str">
        <f t="shared" ca="1" si="5"/>
        <v/>
      </c>
      <c r="C266" s="171">
        <f t="shared" ca="1" si="6"/>
        <v>0</v>
      </c>
      <c r="G266" s="175"/>
      <c r="H266" s="175"/>
      <c r="I266" s="168"/>
      <c r="J266" s="168"/>
    </row>
    <row r="267" spans="1:10" ht="17">
      <c r="A267" s="168"/>
      <c r="B267" s="171" t="str">
        <f t="shared" ca="1" si="5"/>
        <v/>
      </c>
      <c r="C267" s="171">
        <f t="shared" ca="1" si="6"/>
        <v>0</v>
      </c>
      <c r="G267" s="175"/>
      <c r="H267" s="175"/>
      <c r="I267" s="168"/>
      <c r="J267" s="168"/>
    </row>
    <row r="268" spans="1:10" ht="17">
      <c r="A268" s="168"/>
      <c r="B268" s="171" t="str">
        <f t="shared" ca="1" si="5"/>
        <v/>
      </c>
      <c r="C268" s="171">
        <f t="shared" ca="1" si="6"/>
        <v>0</v>
      </c>
      <c r="G268" s="175"/>
      <c r="H268" s="175"/>
      <c r="I268" s="168"/>
      <c r="J268" s="168"/>
    </row>
    <row r="269" spans="1:10" ht="17">
      <c r="A269" s="168"/>
      <c r="B269" s="171" t="str">
        <f t="shared" ca="1" si="5"/>
        <v/>
      </c>
      <c r="C269" s="171">
        <f t="shared" ca="1" si="6"/>
        <v>0</v>
      </c>
      <c r="G269" s="175"/>
      <c r="H269" s="175"/>
      <c r="I269" s="168"/>
      <c r="J269" s="168"/>
    </row>
    <row r="270" spans="1:10" ht="17">
      <c r="A270" s="168"/>
      <c r="B270" s="171" t="str">
        <f t="shared" ca="1" si="5"/>
        <v/>
      </c>
      <c r="C270" s="171">
        <f t="shared" ca="1" si="6"/>
        <v>0</v>
      </c>
      <c r="G270" s="175"/>
      <c r="H270" s="175"/>
      <c r="I270" s="168"/>
      <c r="J270" s="168"/>
    </row>
    <row r="271" spans="1:10" ht="17">
      <c r="A271" s="168"/>
      <c r="B271" s="171" t="str">
        <f t="shared" ca="1" si="5"/>
        <v/>
      </c>
      <c r="C271" s="171">
        <f t="shared" ca="1" si="6"/>
        <v>0</v>
      </c>
      <c r="G271" s="175"/>
      <c r="H271" s="175"/>
      <c r="I271" s="168"/>
      <c r="J271" s="168"/>
    </row>
    <row r="272" spans="1:10" ht="17">
      <c r="A272" s="168"/>
      <c r="B272" s="171" t="str">
        <f t="shared" ca="1" si="5"/>
        <v/>
      </c>
      <c r="C272" s="171">
        <f t="shared" ca="1" si="6"/>
        <v>0</v>
      </c>
      <c r="G272" s="175"/>
      <c r="H272" s="175"/>
      <c r="I272" s="168"/>
      <c r="J272" s="168"/>
    </row>
    <row r="273" spans="1:10" ht="17">
      <c r="A273" s="168"/>
      <c r="B273" s="171" t="str">
        <f t="shared" ca="1" si="5"/>
        <v/>
      </c>
      <c r="C273" s="171">
        <f t="shared" ca="1" si="6"/>
        <v>0</v>
      </c>
      <c r="G273" s="175"/>
      <c r="H273" s="175"/>
      <c r="I273" s="168"/>
      <c r="J273" s="168"/>
    </row>
    <row r="274" spans="1:10" ht="17">
      <c r="A274" s="168"/>
      <c r="B274" s="171" t="str">
        <f t="shared" ca="1" si="5"/>
        <v/>
      </c>
      <c r="C274" s="171">
        <f t="shared" ca="1" si="6"/>
        <v>0</v>
      </c>
      <c r="G274" s="175"/>
      <c r="H274" s="175"/>
      <c r="I274" s="168"/>
      <c r="J274" s="168"/>
    </row>
    <row r="275" spans="1:10" ht="17">
      <c r="A275" s="168"/>
      <c r="B275" s="171" t="str">
        <f t="shared" ca="1" si="5"/>
        <v/>
      </c>
      <c r="C275" s="171">
        <f t="shared" ca="1" si="6"/>
        <v>0</v>
      </c>
      <c r="G275" s="175"/>
      <c r="H275" s="175"/>
      <c r="I275" s="168"/>
      <c r="J275" s="168"/>
    </row>
    <row r="276" spans="1:10" ht="17">
      <c r="A276" s="168"/>
      <c r="B276" s="171" t="str">
        <f t="shared" ca="1" si="5"/>
        <v/>
      </c>
      <c r="C276" s="171">
        <f t="shared" ca="1" si="6"/>
        <v>0</v>
      </c>
      <c r="G276" s="175"/>
      <c r="H276" s="175"/>
      <c r="I276" s="168"/>
      <c r="J276" s="168"/>
    </row>
    <row r="277" spans="1:10" ht="17">
      <c r="A277" s="168"/>
      <c r="B277" s="171" t="str">
        <f t="shared" ca="1" si="5"/>
        <v/>
      </c>
      <c r="C277" s="171">
        <f t="shared" ca="1" si="6"/>
        <v>0</v>
      </c>
      <c r="G277" s="175"/>
      <c r="H277" s="175"/>
      <c r="I277" s="168"/>
      <c r="J277" s="168"/>
    </row>
    <row r="278" spans="1:10" ht="17">
      <c r="A278" s="168"/>
      <c r="B278" s="171" t="str">
        <f t="shared" ca="1" si="5"/>
        <v/>
      </c>
      <c r="C278" s="171">
        <f t="shared" ca="1" si="6"/>
        <v>0</v>
      </c>
      <c r="G278" s="175"/>
      <c r="H278" s="175"/>
      <c r="I278" s="168"/>
      <c r="J278" s="168"/>
    </row>
    <row r="279" spans="1:10" ht="17">
      <c r="A279" s="168"/>
      <c r="B279" s="171" t="str">
        <f t="shared" ca="1" si="5"/>
        <v/>
      </c>
      <c r="C279" s="171">
        <f t="shared" ca="1" si="6"/>
        <v>0</v>
      </c>
      <c r="G279" s="175"/>
      <c r="H279" s="175"/>
      <c r="I279" s="168"/>
      <c r="J279" s="168"/>
    </row>
    <row r="280" spans="1:10" ht="17">
      <c r="A280" s="168"/>
      <c r="B280" s="171" t="str">
        <f t="shared" ca="1" si="5"/>
        <v/>
      </c>
      <c r="C280" s="171">
        <f t="shared" ca="1" si="6"/>
        <v>0</v>
      </c>
      <c r="G280" s="175"/>
      <c r="H280" s="175"/>
      <c r="I280" s="168"/>
      <c r="J280" s="168"/>
    </row>
    <row r="281" spans="1:10" ht="17">
      <c r="A281" s="168"/>
      <c r="B281" s="171" t="str">
        <f t="shared" ca="1" si="5"/>
        <v/>
      </c>
      <c r="C281" s="171">
        <f t="shared" ca="1" si="6"/>
        <v>0</v>
      </c>
      <c r="G281" s="175"/>
      <c r="H281" s="175"/>
      <c r="I281" s="168"/>
      <c r="J281" s="168"/>
    </row>
    <row r="282" spans="1:10" ht="17">
      <c r="A282" s="168"/>
      <c r="B282" s="171" t="str">
        <f t="shared" ca="1" si="5"/>
        <v/>
      </c>
      <c r="C282" s="168"/>
      <c r="G282" s="175"/>
      <c r="H282" s="175"/>
      <c r="I282" s="168"/>
      <c r="J282" s="168"/>
    </row>
    <row r="283" spans="1:10" ht="17">
      <c r="A283" s="168"/>
      <c r="B283" s="171" t="str">
        <f t="shared" ca="1" si="5"/>
        <v/>
      </c>
      <c r="C283" s="168"/>
      <c r="G283" s="175"/>
      <c r="H283" s="175"/>
      <c r="I283" s="168"/>
      <c r="J283" s="168"/>
    </row>
    <row r="284" spans="1:10" ht="17">
      <c r="A284" s="168"/>
      <c r="B284" s="171" t="str">
        <f t="shared" ca="1" si="5"/>
        <v/>
      </c>
      <c r="C284" s="168"/>
      <c r="G284" s="175"/>
      <c r="H284" s="175"/>
      <c r="I284" s="168"/>
      <c r="J284" s="168"/>
    </row>
    <row r="285" spans="1:10" ht="17">
      <c r="A285" s="168"/>
      <c r="B285" s="171" t="str">
        <f t="shared" ca="1" si="5"/>
        <v/>
      </c>
      <c r="C285" s="168"/>
      <c r="G285" s="175"/>
      <c r="H285" s="175"/>
      <c r="I285" s="168"/>
      <c r="J285" s="168"/>
    </row>
    <row r="286" spans="1:10" ht="17">
      <c r="A286" s="168"/>
      <c r="B286" s="171" t="str">
        <f t="shared" ca="1" si="5"/>
        <v/>
      </c>
      <c r="C286" s="168"/>
      <c r="G286" s="175"/>
      <c r="H286" s="175"/>
      <c r="I286" s="168"/>
      <c r="J286" s="168"/>
    </row>
    <row r="287" spans="1:10" ht="17">
      <c r="A287" s="168"/>
      <c r="B287" s="171" t="str">
        <f t="shared" ca="1" si="5"/>
        <v/>
      </c>
      <c r="C287" s="168"/>
      <c r="G287" s="175"/>
      <c r="H287" s="175"/>
      <c r="I287" s="168"/>
      <c r="J287" s="168"/>
    </row>
    <row r="288" spans="1:10" ht="17">
      <c r="A288" s="168"/>
      <c r="B288" s="171" t="str">
        <f t="shared" ca="1" si="5"/>
        <v/>
      </c>
      <c r="C288" s="168"/>
      <c r="G288" s="175"/>
      <c r="H288" s="175"/>
      <c r="I288" s="168"/>
      <c r="J288" s="168"/>
    </row>
    <row r="289" spans="1:10" ht="17">
      <c r="A289" s="168"/>
      <c r="B289" s="171" t="str">
        <f t="shared" ca="1" si="5"/>
        <v/>
      </c>
      <c r="C289" s="168"/>
      <c r="G289" s="175"/>
      <c r="H289" s="175"/>
      <c r="I289" s="168"/>
      <c r="J289" s="168"/>
    </row>
    <row r="290" spans="1:10" ht="17">
      <c r="A290" s="168"/>
      <c r="B290" s="171" t="str">
        <f t="shared" ca="1" si="5"/>
        <v/>
      </c>
      <c r="C290" s="168"/>
      <c r="G290" s="175"/>
      <c r="H290" s="175"/>
      <c r="I290" s="168"/>
      <c r="J290" s="168"/>
    </row>
    <row r="291" spans="1:10" ht="17">
      <c r="A291" s="168"/>
      <c r="B291" s="171" t="str">
        <f t="shared" ca="1" si="5"/>
        <v/>
      </c>
      <c r="C291" s="168"/>
      <c r="G291" s="175"/>
      <c r="H291" s="175"/>
      <c r="I291" s="168"/>
      <c r="J291" s="168"/>
    </row>
    <row r="292" spans="1:10" ht="17">
      <c r="A292" s="168"/>
      <c r="B292" s="171" t="str">
        <f t="shared" ca="1" si="5"/>
        <v/>
      </c>
      <c r="C292" s="168"/>
      <c r="G292" s="175"/>
      <c r="H292" s="175"/>
      <c r="I292" s="168"/>
      <c r="J292" s="168"/>
    </row>
    <row r="293" spans="1:10" ht="17">
      <c r="A293" s="168"/>
      <c r="B293" s="171" t="str">
        <f t="shared" ca="1" si="5"/>
        <v/>
      </c>
      <c r="C293" s="168"/>
      <c r="G293" s="175"/>
      <c r="H293" s="175"/>
      <c r="I293" s="168"/>
      <c r="J293" s="168"/>
    </row>
    <row r="294" spans="1:10" ht="17">
      <c r="A294" s="168"/>
      <c r="B294" s="171" t="str">
        <f t="shared" ca="1" si="5"/>
        <v/>
      </c>
      <c r="C294" s="168"/>
      <c r="G294" s="175"/>
      <c r="H294" s="175"/>
      <c r="I294" s="168"/>
      <c r="J294" s="168"/>
    </row>
    <row r="295" spans="1:10" ht="17">
      <c r="A295" s="168"/>
      <c r="B295" s="171" t="str">
        <f t="shared" ca="1" si="5"/>
        <v/>
      </c>
      <c r="C295" s="168"/>
      <c r="G295" s="175"/>
      <c r="H295" s="175"/>
      <c r="I295" s="168"/>
      <c r="J295" s="168"/>
    </row>
    <row r="296" spans="1:10" ht="17">
      <c r="A296" s="168"/>
      <c r="B296" s="171" t="str">
        <f t="shared" ca="1" si="5"/>
        <v/>
      </c>
      <c r="C296" s="168"/>
      <c r="G296" s="175"/>
      <c r="H296" s="175"/>
      <c r="I296" s="168"/>
      <c r="J296" s="168"/>
    </row>
    <row r="297" spans="1:10" ht="17">
      <c r="A297" s="168"/>
      <c r="B297" s="171" t="str">
        <f t="shared" ca="1" si="5"/>
        <v/>
      </c>
      <c r="C297" s="168"/>
      <c r="G297" s="175"/>
      <c r="H297" s="175"/>
      <c r="I297" s="168"/>
      <c r="J297" s="168"/>
    </row>
    <row r="298" spans="1:10" ht="17">
      <c r="A298" s="168"/>
      <c r="B298" s="171" t="str">
        <f t="shared" ca="1" si="5"/>
        <v/>
      </c>
      <c r="C298" s="168"/>
      <c r="G298" s="175"/>
      <c r="H298" s="175"/>
      <c r="I298" s="168"/>
      <c r="J298" s="168"/>
    </row>
    <row r="299" spans="1:10" ht="17">
      <c r="A299" s="168"/>
      <c r="B299" s="171" t="str">
        <f t="shared" ca="1" si="5"/>
        <v/>
      </c>
      <c r="C299" s="168"/>
      <c r="G299" s="175"/>
      <c r="H299" s="175"/>
      <c r="I299" s="168"/>
      <c r="J299" s="168"/>
    </row>
    <row r="300" spans="1:10" ht="17">
      <c r="A300" s="168"/>
      <c r="B300" s="171" t="str">
        <f t="shared" ca="1" si="5"/>
        <v/>
      </c>
      <c r="C300" s="168"/>
      <c r="G300" s="175"/>
      <c r="H300" s="175"/>
      <c r="I300" s="168"/>
      <c r="J300" s="168"/>
    </row>
    <row r="301" spans="1:10" ht="17">
      <c r="A301" s="168"/>
      <c r="B301" s="171" t="str">
        <f t="shared" ca="1" si="5"/>
        <v/>
      </c>
      <c r="C301" s="168"/>
      <c r="G301" s="175"/>
      <c r="H301" s="175"/>
      <c r="I301" s="168"/>
      <c r="J301" s="168"/>
    </row>
    <row r="302" spans="1:10" ht="17">
      <c r="A302" s="168"/>
      <c r="B302" s="171" t="str">
        <f t="shared" ca="1" si="5"/>
        <v/>
      </c>
      <c r="C302" s="168"/>
      <c r="G302" s="175"/>
      <c r="H302" s="175"/>
      <c r="I302" s="168"/>
      <c r="J302" s="168"/>
    </row>
    <row r="303" spans="1:10" ht="17">
      <c r="A303" s="168"/>
      <c r="B303" s="171" t="str">
        <f t="shared" ca="1" si="5"/>
        <v/>
      </c>
      <c r="C303" s="168"/>
      <c r="G303" s="175"/>
      <c r="H303" s="175"/>
      <c r="I303" s="168"/>
      <c r="J303" s="168"/>
    </row>
    <row r="304" spans="1:10" ht="17">
      <c r="A304" s="168"/>
      <c r="B304" s="171" t="str">
        <f t="shared" ca="1" si="5"/>
        <v/>
      </c>
      <c r="C304" s="168"/>
      <c r="G304" s="175"/>
      <c r="H304" s="175"/>
      <c r="I304" s="168"/>
      <c r="J304" s="168"/>
    </row>
    <row r="305" spans="1:10" ht="17">
      <c r="A305" s="168"/>
      <c r="B305" s="171" t="str">
        <f t="shared" ca="1" si="5"/>
        <v/>
      </c>
      <c r="C305" s="168"/>
      <c r="G305" s="175"/>
      <c r="H305" s="175"/>
      <c r="I305" s="168"/>
      <c r="J305" s="168"/>
    </row>
    <row r="306" spans="1:10" ht="17">
      <c r="A306" s="168"/>
      <c r="B306" s="171" t="str">
        <f t="shared" ca="1" si="5"/>
        <v/>
      </c>
      <c r="C306" s="168"/>
      <c r="G306" s="175"/>
      <c r="H306" s="175"/>
      <c r="I306" s="168"/>
      <c r="J306" s="168"/>
    </row>
    <row r="307" spans="1:10" ht="17">
      <c r="A307" s="168"/>
      <c r="B307" s="171" t="str">
        <f t="shared" ca="1" si="5"/>
        <v/>
      </c>
      <c r="C307" s="168"/>
      <c r="G307" s="175"/>
      <c r="H307" s="175"/>
      <c r="I307" s="168"/>
      <c r="J307" s="168"/>
    </row>
    <row r="308" spans="1:10" ht="17">
      <c r="A308" s="168"/>
      <c r="B308" s="171" t="str">
        <f t="shared" ca="1" si="5"/>
        <v/>
      </c>
      <c r="C308" s="168"/>
      <c r="G308" s="175"/>
      <c r="H308" s="175"/>
      <c r="I308" s="168"/>
      <c r="J308" s="168"/>
    </row>
    <row r="309" spans="1:10" ht="17">
      <c r="A309" s="168"/>
      <c r="B309" s="171" t="str">
        <f t="shared" ca="1" si="5"/>
        <v/>
      </c>
      <c r="C309" s="168"/>
      <c r="G309" s="175"/>
      <c r="H309" s="175"/>
      <c r="I309" s="168"/>
      <c r="J309" s="168"/>
    </row>
    <row r="310" spans="1:10" ht="17">
      <c r="A310" s="168"/>
      <c r="B310" s="171" t="str">
        <f t="shared" ca="1" si="5"/>
        <v/>
      </c>
      <c r="C310" s="168"/>
      <c r="G310" s="175"/>
      <c r="H310" s="175"/>
      <c r="I310" s="168"/>
      <c r="J310" s="168"/>
    </row>
    <row r="311" spans="1:10" ht="17">
      <c r="A311" s="168"/>
      <c r="B311" s="171" t="str">
        <f t="shared" ca="1" si="5"/>
        <v/>
      </c>
      <c r="C311" s="168"/>
      <c r="G311" s="175"/>
      <c r="H311" s="175"/>
      <c r="I311" s="168"/>
      <c r="J311" s="168"/>
    </row>
    <row r="312" spans="1:10" ht="17">
      <c r="A312" s="168"/>
      <c r="B312" s="171" t="str">
        <f t="shared" ca="1" si="5"/>
        <v/>
      </c>
      <c r="C312" s="168"/>
      <c r="G312" s="175"/>
      <c r="H312" s="175"/>
      <c r="I312" s="168"/>
      <c r="J312" s="168"/>
    </row>
    <row r="313" spans="1:10" ht="17">
      <c r="A313" s="168"/>
      <c r="B313" s="171" t="str">
        <f t="shared" ca="1" si="5"/>
        <v/>
      </c>
      <c r="C313" s="168"/>
      <c r="G313" s="175"/>
      <c r="H313" s="175"/>
      <c r="I313" s="168"/>
      <c r="J313" s="168"/>
    </row>
    <row r="314" spans="1:10" ht="17">
      <c r="A314" s="168"/>
      <c r="B314" s="171" t="str">
        <f t="shared" ca="1" si="5"/>
        <v/>
      </c>
      <c r="C314" s="168"/>
      <c r="G314" s="175"/>
      <c r="H314" s="175"/>
      <c r="I314" s="168"/>
      <c r="J314" s="168"/>
    </row>
    <row r="315" spans="1:10" ht="17">
      <c r="A315" s="168"/>
      <c r="B315" s="171" t="str">
        <f t="shared" ca="1" si="5"/>
        <v/>
      </c>
      <c r="C315" s="168"/>
      <c r="G315" s="175"/>
      <c r="H315" s="175"/>
      <c r="I315" s="168"/>
      <c r="J315" s="168"/>
    </row>
    <row r="316" spans="1:10" ht="17">
      <c r="A316" s="168"/>
      <c r="B316" s="171" t="str">
        <f t="shared" ca="1" si="5"/>
        <v/>
      </c>
      <c r="C316" s="168"/>
      <c r="G316" s="175"/>
      <c r="H316" s="175"/>
      <c r="I316" s="168"/>
      <c r="J316" s="168"/>
    </row>
    <row r="317" spans="1:10" ht="17">
      <c r="A317" s="168"/>
      <c r="B317" s="171" t="str">
        <f t="shared" ca="1" si="5"/>
        <v/>
      </c>
      <c r="C317" s="168"/>
      <c r="G317" s="175"/>
      <c r="H317" s="175"/>
      <c r="I317" s="168"/>
      <c r="J317" s="168"/>
    </row>
    <row r="318" spans="1:10" ht="17">
      <c r="A318" s="168"/>
      <c r="B318" s="171" t="str">
        <f t="shared" ca="1" si="5"/>
        <v/>
      </c>
      <c r="C318" s="168"/>
      <c r="G318" s="175"/>
      <c r="H318" s="175"/>
      <c r="I318" s="168"/>
      <c r="J318" s="168"/>
    </row>
    <row r="319" spans="1:10" ht="17">
      <c r="A319" s="168"/>
      <c r="B319" s="171" t="str">
        <f t="shared" ca="1" si="5"/>
        <v/>
      </c>
      <c r="C319" s="168"/>
      <c r="G319" s="175"/>
      <c r="H319" s="175"/>
      <c r="I319" s="168"/>
      <c r="J319" s="168"/>
    </row>
    <row r="320" spans="1:10" ht="17">
      <c r="A320" s="168"/>
      <c r="B320" s="171" t="str">
        <f t="shared" ca="1" si="5"/>
        <v/>
      </c>
      <c r="C320" s="168"/>
      <c r="G320" s="175"/>
      <c r="H320" s="175"/>
      <c r="I320" s="168"/>
      <c r="J320" s="168"/>
    </row>
    <row r="321" spans="1:10" ht="17">
      <c r="A321" s="168"/>
      <c r="B321" s="171" t="str">
        <f t="shared" ca="1" si="5"/>
        <v/>
      </c>
      <c r="C321" s="168"/>
      <c r="G321" s="175"/>
      <c r="H321" s="175"/>
      <c r="I321" s="168"/>
      <c r="J321" s="168"/>
    </row>
    <row r="322" spans="1:10" ht="17">
      <c r="A322" s="168"/>
      <c r="B322" s="171" t="str">
        <f t="shared" ca="1" si="5"/>
        <v/>
      </c>
      <c r="C322" s="168"/>
      <c r="G322" s="175"/>
      <c r="H322" s="175"/>
      <c r="I322" s="168"/>
      <c r="J322" s="168"/>
    </row>
    <row r="323" spans="1:10" ht="17">
      <c r="A323" s="168"/>
      <c r="B323" s="171" t="str">
        <f t="shared" ca="1" si="5"/>
        <v/>
      </c>
      <c r="C323" s="168"/>
      <c r="G323" s="175"/>
      <c r="H323" s="175"/>
      <c r="I323" s="168"/>
      <c r="J323" s="168"/>
    </row>
    <row r="324" spans="1:10" ht="17">
      <c r="A324" s="168"/>
      <c r="B324" s="171" t="str">
        <f t="shared" ca="1" si="5"/>
        <v/>
      </c>
      <c r="C324" s="168"/>
      <c r="G324" s="175"/>
      <c r="H324" s="175"/>
      <c r="I324" s="168"/>
      <c r="J324" s="168"/>
    </row>
    <row r="325" spans="1:10" ht="17">
      <c r="A325" s="168"/>
      <c r="B325" s="171" t="str">
        <f t="shared" ca="1" si="5"/>
        <v/>
      </c>
      <c r="C325" s="168"/>
      <c r="G325" s="175"/>
      <c r="H325" s="175"/>
      <c r="I325" s="168"/>
      <c r="J325" s="168"/>
    </row>
    <row r="326" spans="1:10" ht="17">
      <c r="A326" s="168"/>
      <c r="B326" s="171" t="str">
        <f t="shared" ca="1" si="5"/>
        <v/>
      </c>
      <c r="C326" s="168"/>
      <c r="G326" s="175"/>
      <c r="H326" s="175"/>
      <c r="I326" s="168"/>
      <c r="J326" s="168"/>
    </row>
    <row r="327" spans="1:10" ht="17">
      <c r="A327" s="168"/>
      <c r="B327" s="171" t="str">
        <f t="shared" ca="1" si="5"/>
        <v/>
      </c>
      <c r="C327" s="168"/>
      <c r="G327" s="175"/>
      <c r="H327" s="175"/>
      <c r="I327" s="168"/>
      <c r="J327" s="168"/>
    </row>
    <row r="328" spans="1:10" ht="17">
      <c r="A328" s="168"/>
      <c r="B328" s="168"/>
      <c r="C328" s="168"/>
      <c r="G328" s="175"/>
      <c r="H328" s="175"/>
      <c r="I328" s="168"/>
      <c r="J328" s="168"/>
    </row>
    <row r="329" spans="1:10" ht="17">
      <c r="A329" s="168"/>
      <c r="B329" s="168"/>
      <c r="C329" s="168"/>
      <c r="G329" s="175"/>
      <c r="H329" s="175"/>
      <c r="I329" s="168"/>
      <c r="J329" s="168"/>
    </row>
    <row r="330" spans="1:10" ht="17">
      <c r="A330" s="168"/>
      <c r="B330" s="168"/>
      <c r="C330" s="168"/>
      <c r="G330" s="175"/>
      <c r="H330" s="175"/>
      <c r="I330" s="168"/>
      <c r="J330" s="168"/>
    </row>
    <row r="331" spans="1:10" ht="17">
      <c r="A331" s="168"/>
      <c r="B331" s="168"/>
      <c r="C331" s="168"/>
      <c r="G331" s="175"/>
      <c r="H331" s="175"/>
      <c r="I331" s="168"/>
      <c r="J331" s="168"/>
    </row>
    <row r="332" spans="1:10" ht="17">
      <c r="A332" s="168"/>
      <c r="B332" s="168"/>
      <c r="C332" s="168"/>
      <c r="G332" s="175"/>
      <c r="H332" s="175"/>
      <c r="I332" s="168"/>
      <c r="J332" s="168"/>
    </row>
    <row r="333" spans="1:10" ht="17">
      <c r="A333" s="168"/>
      <c r="B333" s="168"/>
      <c r="C333" s="168"/>
      <c r="G333" s="175"/>
      <c r="H333" s="175"/>
      <c r="I333" s="168"/>
      <c r="J333" s="168"/>
    </row>
    <row r="334" spans="1:10" ht="17">
      <c r="A334" s="168"/>
      <c r="B334" s="168"/>
      <c r="C334" s="168"/>
      <c r="G334" s="175"/>
      <c r="H334" s="175"/>
      <c r="I334" s="168"/>
      <c r="J334" s="168"/>
    </row>
    <row r="335" spans="1:10" ht="17">
      <c r="A335" s="168"/>
      <c r="B335" s="168"/>
      <c r="C335" s="168"/>
      <c r="G335" s="175"/>
      <c r="H335" s="175"/>
      <c r="I335" s="168"/>
      <c r="J335" s="168"/>
    </row>
    <row r="336" spans="1:10" ht="17">
      <c r="A336" s="168"/>
      <c r="B336" s="168"/>
      <c r="C336" s="168"/>
      <c r="G336" s="175"/>
      <c r="H336" s="175"/>
      <c r="I336" s="168"/>
      <c r="J336" s="168"/>
    </row>
    <row r="337" spans="1:10" ht="17">
      <c r="A337" s="168"/>
      <c r="B337" s="168"/>
      <c r="C337" s="168"/>
      <c r="G337" s="175"/>
      <c r="H337" s="175"/>
      <c r="I337" s="168"/>
      <c r="J337" s="168"/>
    </row>
    <row r="338" spans="1:10" ht="17">
      <c r="A338" s="168"/>
      <c r="B338" s="168"/>
      <c r="C338" s="168"/>
      <c r="G338" s="175"/>
      <c r="H338" s="175"/>
      <c r="I338" s="168"/>
      <c r="J338" s="168"/>
    </row>
    <row r="339" spans="1:10" ht="17">
      <c r="A339" s="168"/>
      <c r="B339" s="168"/>
      <c r="C339" s="168"/>
      <c r="G339" s="175"/>
      <c r="H339" s="175"/>
      <c r="I339" s="168"/>
      <c r="J339" s="168"/>
    </row>
    <row r="340" spans="1:10" ht="17">
      <c r="A340" s="168"/>
      <c r="B340" s="168"/>
      <c r="C340" s="168"/>
      <c r="G340" s="175"/>
      <c r="H340" s="175"/>
      <c r="I340" s="168"/>
      <c r="J340" s="168"/>
    </row>
    <row r="341" spans="1:10" ht="17">
      <c r="A341" s="168"/>
      <c r="B341" s="168"/>
      <c r="C341" s="168"/>
      <c r="G341" s="175"/>
      <c r="H341" s="175"/>
      <c r="I341" s="168"/>
      <c r="J341" s="168"/>
    </row>
    <row r="342" spans="1:10" ht="17">
      <c r="A342" s="168"/>
      <c r="B342" s="168"/>
      <c r="C342" s="168"/>
      <c r="G342" s="175"/>
      <c r="H342" s="175"/>
      <c r="I342" s="168"/>
      <c r="J342" s="168"/>
    </row>
    <row r="343" spans="1:10" ht="17">
      <c r="A343" s="168"/>
      <c r="B343" s="168"/>
      <c r="C343" s="168"/>
      <c r="G343" s="175"/>
      <c r="H343" s="175"/>
      <c r="I343" s="168"/>
      <c r="J343" s="168"/>
    </row>
    <row r="344" spans="1:10" ht="17">
      <c r="A344" s="168"/>
      <c r="B344" s="168"/>
      <c r="C344" s="168"/>
      <c r="G344" s="175"/>
      <c r="H344" s="175"/>
      <c r="I344" s="168"/>
      <c r="J344" s="168"/>
    </row>
    <row r="345" spans="1:10" ht="17">
      <c r="A345" s="168"/>
      <c r="B345" s="168"/>
      <c r="C345" s="168"/>
      <c r="G345" s="175"/>
      <c r="H345" s="175"/>
      <c r="I345" s="168"/>
      <c r="J345" s="168"/>
    </row>
    <row r="346" spans="1:10" ht="17">
      <c r="A346" s="168"/>
      <c r="B346" s="168"/>
      <c r="C346" s="168"/>
      <c r="G346" s="175"/>
      <c r="H346" s="175"/>
      <c r="I346" s="168"/>
      <c r="J346" s="168"/>
    </row>
    <row r="347" spans="1:10" ht="17">
      <c r="A347" s="168"/>
      <c r="B347" s="168"/>
      <c r="C347" s="168"/>
      <c r="G347" s="175"/>
      <c r="H347" s="175"/>
      <c r="I347" s="168"/>
      <c r="J347" s="168"/>
    </row>
    <row r="348" spans="1:10" ht="17">
      <c r="A348" s="168"/>
      <c r="B348" s="168"/>
      <c r="C348" s="168"/>
      <c r="G348" s="175"/>
      <c r="H348" s="175"/>
      <c r="I348" s="168"/>
      <c r="J348" s="168"/>
    </row>
    <row r="349" spans="1:10" ht="17">
      <c r="A349" s="168"/>
      <c r="B349" s="168"/>
      <c r="C349" s="168"/>
      <c r="G349" s="175"/>
      <c r="H349" s="175"/>
      <c r="I349" s="168"/>
      <c r="J349" s="168"/>
    </row>
    <row r="350" spans="1:10" ht="17">
      <c r="A350" s="168"/>
      <c r="B350" s="168"/>
      <c r="C350" s="168"/>
      <c r="G350" s="175"/>
      <c r="H350" s="175"/>
      <c r="I350" s="168"/>
      <c r="J350" s="168"/>
    </row>
    <row r="351" spans="1:10" ht="17">
      <c r="A351" s="168"/>
      <c r="B351" s="168"/>
      <c r="C351" s="168"/>
      <c r="G351" s="175"/>
      <c r="H351" s="175"/>
      <c r="I351" s="168"/>
      <c r="J351" s="168"/>
    </row>
    <row r="352" spans="1:10" ht="17">
      <c r="A352" s="168"/>
      <c r="B352" s="168"/>
      <c r="C352" s="168"/>
      <c r="G352" s="175"/>
      <c r="H352" s="175"/>
      <c r="I352" s="168"/>
      <c r="J352" s="168"/>
    </row>
    <row r="353" spans="1:10" ht="17">
      <c r="A353" s="168"/>
      <c r="B353" s="168"/>
      <c r="C353" s="168"/>
      <c r="G353" s="175"/>
      <c r="H353" s="175"/>
      <c r="I353" s="168"/>
      <c r="J353" s="168"/>
    </row>
    <row r="354" spans="1:10" ht="17">
      <c r="A354" s="168"/>
      <c r="B354" s="168"/>
      <c r="C354" s="168"/>
      <c r="G354" s="175"/>
      <c r="H354" s="175"/>
      <c r="I354" s="168"/>
      <c r="J354" s="168"/>
    </row>
    <row r="355" spans="1:10" ht="17">
      <c r="A355" s="168"/>
      <c r="B355" s="168"/>
      <c r="C355" s="168"/>
      <c r="G355" s="175"/>
      <c r="H355" s="175"/>
      <c r="I355" s="168"/>
      <c r="J355" s="168"/>
    </row>
    <row r="356" spans="1:10" ht="17">
      <c r="A356" s="168"/>
      <c r="B356" s="168"/>
      <c r="C356" s="168"/>
      <c r="G356" s="175"/>
      <c r="H356" s="175"/>
      <c r="I356" s="168"/>
      <c r="J356" s="168"/>
    </row>
    <row r="357" spans="1:10" ht="17">
      <c r="A357" s="168"/>
      <c r="B357" s="168"/>
      <c r="C357" s="168"/>
      <c r="G357" s="175"/>
      <c r="H357" s="175"/>
      <c r="I357" s="168"/>
      <c r="J357" s="168"/>
    </row>
    <row r="358" spans="1:10" ht="17">
      <c r="A358" s="168"/>
      <c r="B358" s="168"/>
      <c r="C358" s="168"/>
      <c r="G358" s="175"/>
      <c r="H358" s="175"/>
      <c r="I358" s="168"/>
      <c r="J358" s="168"/>
    </row>
    <row r="359" spans="1:10" ht="17">
      <c r="A359" s="168"/>
      <c r="B359" s="168"/>
      <c r="C359" s="168"/>
      <c r="G359" s="175"/>
      <c r="H359" s="175"/>
      <c r="I359" s="168"/>
      <c r="J359" s="168"/>
    </row>
    <row r="360" spans="1:10" ht="17">
      <c r="A360" s="168"/>
      <c r="B360" s="168"/>
      <c r="C360" s="168"/>
      <c r="G360" s="175"/>
      <c r="H360" s="175"/>
      <c r="I360" s="168"/>
      <c r="J360" s="168"/>
    </row>
    <row r="361" spans="1:10" ht="17">
      <c r="A361" s="168"/>
      <c r="B361" s="168"/>
      <c r="C361" s="168"/>
      <c r="G361" s="175"/>
      <c r="H361" s="175"/>
      <c r="I361" s="168"/>
      <c r="J361" s="168"/>
    </row>
    <row r="362" spans="1:10" ht="17">
      <c r="A362" s="168"/>
      <c r="B362" s="168"/>
      <c r="C362" s="168"/>
      <c r="G362" s="175"/>
      <c r="H362" s="175"/>
      <c r="I362" s="168"/>
      <c r="J362" s="168"/>
    </row>
    <row r="363" spans="1:10" ht="17">
      <c r="A363" s="168"/>
      <c r="B363" s="168"/>
      <c r="C363" s="168"/>
      <c r="G363" s="175"/>
      <c r="H363" s="175"/>
      <c r="I363" s="168"/>
      <c r="J363" s="168"/>
    </row>
    <row r="364" spans="1:10" ht="17">
      <c r="A364" s="168"/>
      <c r="B364" s="168"/>
      <c r="C364" s="168"/>
      <c r="G364" s="175"/>
      <c r="H364" s="175"/>
      <c r="I364" s="168"/>
      <c r="J364" s="168"/>
    </row>
    <row r="365" spans="1:10" ht="17">
      <c r="A365" s="168"/>
      <c r="B365" s="168"/>
      <c r="C365" s="168"/>
      <c r="G365" s="175"/>
      <c r="H365" s="175"/>
      <c r="I365" s="168"/>
      <c r="J365" s="168"/>
    </row>
    <row r="366" spans="1:10" ht="17">
      <c r="A366" s="168"/>
      <c r="B366" s="168"/>
      <c r="C366" s="168"/>
      <c r="G366" s="175"/>
      <c r="H366" s="175"/>
      <c r="I366" s="168"/>
      <c r="J366" s="168"/>
    </row>
    <row r="367" spans="1:10" ht="17">
      <c r="A367" s="168"/>
      <c r="B367" s="168"/>
      <c r="C367" s="168"/>
      <c r="G367" s="175"/>
      <c r="H367" s="175"/>
      <c r="I367" s="168"/>
      <c r="J367" s="168"/>
    </row>
    <row r="368" spans="1:10" ht="17">
      <c r="A368" s="168"/>
      <c r="B368" s="168"/>
      <c r="C368" s="168"/>
      <c r="G368" s="175"/>
      <c r="H368" s="175"/>
      <c r="I368" s="168"/>
      <c r="J368" s="168"/>
    </row>
    <row r="369" spans="1:10" ht="17">
      <c r="A369" s="168"/>
      <c r="B369" s="168"/>
      <c r="C369" s="168"/>
      <c r="G369" s="175"/>
      <c r="H369" s="175"/>
      <c r="I369" s="168"/>
      <c r="J369" s="168"/>
    </row>
    <row r="370" spans="1:10" ht="17">
      <c r="A370" s="168"/>
      <c r="B370" s="168"/>
      <c r="C370" s="168"/>
      <c r="G370" s="175"/>
      <c r="H370" s="175"/>
      <c r="I370" s="168"/>
      <c r="J370" s="168"/>
    </row>
    <row r="371" spans="1:10" ht="17">
      <c r="A371" s="168"/>
      <c r="B371" s="168"/>
      <c r="C371" s="168"/>
      <c r="G371" s="175"/>
      <c r="H371" s="175"/>
      <c r="I371" s="168"/>
      <c r="J371" s="168"/>
    </row>
    <row r="372" spans="1:10" ht="17">
      <c r="A372" s="168"/>
      <c r="B372" s="168"/>
      <c r="C372" s="168"/>
      <c r="G372" s="175"/>
      <c r="H372" s="175"/>
      <c r="I372" s="168"/>
      <c r="J372" s="168"/>
    </row>
    <row r="373" spans="1:10" ht="17">
      <c r="A373" s="168"/>
      <c r="B373" s="168"/>
      <c r="C373" s="168"/>
      <c r="G373" s="175"/>
      <c r="H373" s="175"/>
      <c r="I373" s="168"/>
      <c r="J373" s="168"/>
    </row>
    <row r="374" spans="1:10" ht="17">
      <c r="A374" s="168"/>
      <c r="B374" s="168"/>
      <c r="C374" s="168"/>
      <c r="G374" s="175"/>
      <c r="H374" s="175"/>
      <c r="I374" s="168"/>
      <c r="J374" s="168"/>
    </row>
    <row r="375" spans="1:10" ht="17">
      <c r="A375" s="168"/>
      <c r="B375" s="168"/>
      <c r="C375" s="168"/>
      <c r="G375" s="175"/>
      <c r="H375" s="175"/>
      <c r="I375" s="168"/>
      <c r="J375" s="168"/>
    </row>
    <row r="376" spans="1:10" ht="17">
      <c r="A376" s="168"/>
      <c r="B376" s="168"/>
      <c r="C376" s="168"/>
      <c r="G376" s="175"/>
      <c r="H376" s="175"/>
      <c r="I376" s="168"/>
      <c r="J376" s="168"/>
    </row>
    <row r="377" spans="1:10" ht="17">
      <c r="A377" s="168"/>
      <c r="B377" s="168"/>
      <c r="C377" s="168"/>
      <c r="G377" s="175"/>
      <c r="H377" s="175"/>
      <c r="I377" s="168"/>
      <c r="J377" s="168"/>
    </row>
    <row r="378" spans="1:10" ht="17">
      <c r="A378" s="168"/>
      <c r="B378" s="168"/>
      <c r="C378" s="168"/>
      <c r="G378" s="175"/>
      <c r="H378" s="175"/>
      <c r="I378" s="168"/>
      <c r="J378" s="168"/>
    </row>
    <row r="379" spans="1:10" ht="17">
      <c r="A379" s="168"/>
      <c r="B379" s="168"/>
      <c r="C379" s="168"/>
      <c r="G379" s="175"/>
      <c r="H379" s="175"/>
      <c r="I379" s="168"/>
      <c r="J379" s="168"/>
    </row>
    <row r="380" spans="1:10" ht="17">
      <c r="A380" s="168"/>
      <c r="B380" s="168"/>
      <c r="C380" s="168"/>
      <c r="G380" s="175"/>
      <c r="H380" s="175"/>
      <c r="I380" s="168"/>
      <c r="J380" s="168"/>
    </row>
    <row r="381" spans="1:10" ht="17">
      <c r="A381" s="168"/>
      <c r="B381" s="168"/>
      <c r="C381" s="168"/>
      <c r="G381" s="175"/>
      <c r="H381" s="175"/>
      <c r="I381" s="168"/>
      <c r="J381" s="168"/>
    </row>
    <row r="382" spans="1:10" ht="17">
      <c r="A382" s="168"/>
      <c r="B382" s="168"/>
      <c r="C382" s="168"/>
      <c r="G382" s="175"/>
      <c r="H382" s="175"/>
      <c r="I382" s="168"/>
      <c r="J382" s="168"/>
    </row>
    <row r="383" spans="1:10" ht="17">
      <c r="A383" s="168"/>
      <c r="B383" s="168"/>
      <c r="C383" s="168"/>
      <c r="G383" s="175"/>
      <c r="H383" s="175"/>
      <c r="I383" s="168"/>
      <c r="J383" s="168"/>
    </row>
    <row r="384" spans="1:10" ht="17">
      <c r="A384" s="168"/>
      <c r="B384" s="168"/>
      <c r="C384" s="168"/>
      <c r="G384" s="175"/>
      <c r="H384" s="175"/>
      <c r="I384" s="168"/>
      <c r="J384" s="168"/>
    </row>
    <row r="385" spans="1:10" ht="17">
      <c r="A385" s="168"/>
      <c r="B385" s="168"/>
      <c r="C385" s="168"/>
      <c r="G385" s="175"/>
      <c r="H385" s="175"/>
      <c r="I385" s="168"/>
      <c r="J385" s="168"/>
    </row>
    <row r="386" spans="1:10" ht="17">
      <c r="A386" s="168"/>
      <c r="B386" s="168"/>
      <c r="C386" s="168"/>
      <c r="G386" s="175"/>
      <c r="H386" s="175"/>
      <c r="I386" s="168"/>
      <c r="J386" s="168"/>
    </row>
    <row r="387" spans="1:10" ht="17">
      <c r="A387" s="168"/>
      <c r="B387" s="168"/>
      <c r="C387" s="168"/>
      <c r="G387" s="175"/>
      <c r="H387" s="175"/>
      <c r="I387" s="168"/>
      <c r="J387" s="168"/>
    </row>
    <row r="388" spans="1:10" ht="17">
      <c r="A388" s="168"/>
      <c r="B388" s="168"/>
      <c r="C388" s="168"/>
      <c r="G388" s="175"/>
      <c r="H388" s="175"/>
      <c r="I388" s="168"/>
      <c r="J388" s="168"/>
    </row>
    <row r="389" spans="1:10" ht="17">
      <c r="A389" s="168"/>
      <c r="B389" s="168"/>
      <c r="C389" s="168"/>
      <c r="G389" s="175"/>
      <c r="H389" s="175"/>
      <c r="I389" s="168"/>
      <c r="J389" s="168"/>
    </row>
    <row r="390" spans="1:10" ht="17">
      <c r="A390" s="168"/>
      <c r="B390" s="168"/>
      <c r="C390" s="168"/>
      <c r="G390" s="175"/>
      <c r="H390" s="175"/>
      <c r="I390" s="168"/>
      <c r="J390" s="168"/>
    </row>
    <row r="391" spans="1:10" ht="17">
      <c r="A391" s="168"/>
      <c r="B391" s="168"/>
      <c r="C391" s="168"/>
      <c r="G391" s="175"/>
      <c r="H391" s="175"/>
      <c r="I391" s="168"/>
      <c r="J391" s="168"/>
    </row>
    <row r="392" spans="1:10" ht="17">
      <c r="A392" s="168"/>
      <c r="B392" s="168"/>
      <c r="C392" s="168"/>
      <c r="G392" s="175"/>
      <c r="H392" s="175"/>
      <c r="I392" s="168"/>
      <c r="J392" s="168"/>
    </row>
    <row r="393" spans="1:10" ht="17">
      <c r="A393" s="168"/>
      <c r="B393" s="168"/>
      <c r="C393" s="168"/>
      <c r="G393" s="175"/>
      <c r="H393" s="175"/>
      <c r="I393" s="168"/>
      <c r="J393" s="168"/>
    </row>
    <row r="394" spans="1:10" ht="17">
      <c r="A394" s="168"/>
      <c r="B394" s="168"/>
      <c r="C394" s="168"/>
      <c r="G394" s="175"/>
      <c r="H394" s="175"/>
      <c r="I394" s="168"/>
      <c r="J394" s="168"/>
    </row>
    <row r="395" spans="1:10" ht="17">
      <c r="A395" s="168"/>
      <c r="B395" s="168"/>
      <c r="C395" s="168"/>
      <c r="G395" s="175"/>
      <c r="H395" s="175"/>
      <c r="I395" s="168"/>
      <c r="J395" s="168"/>
    </row>
    <row r="396" spans="1:10" ht="17">
      <c r="A396" s="168"/>
      <c r="B396" s="168"/>
      <c r="C396" s="168"/>
      <c r="G396" s="175"/>
      <c r="H396" s="175"/>
      <c r="I396" s="168"/>
      <c r="J396" s="168"/>
    </row>
    <row r="397" spans="1:10" ht="17">
      <c r="A397" s="168"/>
      <c r="B397" s="168"/>
      <c r="C397" s="168"/>
      <c r="G397" s="175"/>
      <c r="H397" s="175"/>
      <c r="I397" s="168"/>
      <c r="J397" s="168"/>
    </row>
    <row r="398" spans="1:10" ht="17">
      <c r="A398" s="168"/>
      <c r="B398" s="168"/>
      <c r="C398" s="168"/>
      <c r="G398" s="175"/>
      <c r="H398" s="175"/>
      <c r="I398" s="168"/>
      <c r="J398" s="168"/>
    </row>
    <row r="399" spans="1:10" ht="17">
      <c r="A399" s="168"/>
      <c r="B399" s="168"/>
      <c r="C399" s="168"/>
      <c r="G399" s="175"/>
      <c r="H399" s="175"/>
      <c r="I399" s="168"/>
      <c r="J399" s="168"/>
    </row>
    <row r="400" spans="1:10" ht="17">
      <c r="A400" s="168"/>
      <c r="B400" s="168"/>
      <c r="C400" s="168"/>
      <c r="G400" s="175"/>
      <c r="H400" s="175"/>
      <c r="I400" s="168"/>
      <c r="J400" s="168"/>
    </row>
    <row r="401" spans="1:10" ht="17">
      <c r="A401" s="168"/>
      <c r="B401" s="168"/>
      <c r="C401" s="168"/>
      <c r="G401" s="175"/>
      <c r="H401" s="175"/>
      <c r="I401" s="168"/>
      <c r="J401" s="168"/>
    </row>
    <row r="402" spans="1:10" ht="17">
      <c r="A402" s="168"/>
      <c r="B402" s="168"/>
      <c r="C402" s="168"/>
      <c r="G402" s="175"/>
      <c r="H402" s="175"/>
      <c r="I402" s="168"/>
      <c r="J402" s="168"/>
    </row>
    <row r="403" spans="1:10" ht="17">
      <c r="A403" s="168"/>
      <c r="B403" s="168"/>
      <c r="C403" s="168"/>
      <c r="G403" s="175"/>
      <c r="H403" s="175"/>
      <c r="I403" s="168"/>
      <c r="J403" s="168"/>
    </row>
    <row r="404" spans="1:10" ht="17">
      <c r="A404" s="168"/>
      <c r="B404" s="168"/>
      <c r="C404" s="168"/>
      <c r="G404" s="175"/>
      <c r="H404" s="175"/>
      <c r="I404" s="168"/>
      <c r="J404" s="168"/>
    </row>
    <row r="405" spans="1:10" ht="17">
      <c r="A405" s="168"/>
      <c r="B405" s="168"/>
      <c r="C405" s="168"/>
      <c r="G405" s="175"/>
      <c r="H405" s="175"/>
      <c r="I405" s="168"/>
      <c r="J405" s="168"/>
    </row>
    <row r="406" spans="1:10" ht="17">
      <c r="A406" s="168"/>
      <c r="B406" s="168"/>
      <c r="C406" s="168"/>
      <c r="G406" s="175"/>
      <c r="H406" s="175"/>
      <c r="I406" s="168"/>
      <c r="J406" s="168"/>
    </row>
    <row r="407" spans="1:10" ht="17">
      <c r="A407" s="168"/>
      <c r="B407" s="168"/>
      <c r="C407" s="168"/>
      <c r="G407" s="175"/>
      <c r="H407" s="175"/>
      <c r="I407" s="168"/>
      <c r="J407" s="168"/>
    </row>
    <row r="408" spans="1:10" ht="17">
      <c r="A408" s="168"/>
      <c r="B408" s="168"/>
      <c r="C408" s="168"/>
      <c r="G408" s="175"/>
      <c r="H408" s="175"/>
      <c r="I408" s="168"/>
      <c r="J408" s="168"/>
    </row>
    <row r="409" spans="1:10" ht="17">
      <c r="A409" s="168"/>
      <c r="B409" s="168"/>
      <c r="C409" s="168"/>
      <c r="G409" s="175"/>
      <c r="H409" s="175"/>
      <c r="I409" s="168"/>
      <c r="J409" s="168"/>
    </row>
    <row r="410" spans="1:10" ht="17">
      <c r="A410" s="168"/>
      <c r="B410" s="168"/>
      <c r="C410" s="168"/>
      <c r="G410" s="175"/>
      <c r="H410" s="175"/>
      <c r="I410" s="168"/>
      <c r="J410" s="168"/>
    </row>
    <row r="411" spans="1:10" ht="17">
      <c r="A411" s="168"/>
      <c r="B411" s="168"/>
      <c r="C411" s="168"/>
      <c r="G411" s="175"/>
      <c r="H411" s="175"/>
      <c r="I411" s="168"/>
      <c r="J411" s="168"/>
    </row>
    <row r="412" spans="1:10" ht="17">
      <c r="A412" s="168"/>
      <c r="B412" s="168"/>
      <c r="C412" s="168"/>
      <c r="G412" s="175"/>
      <c r="H412" s="175"/>
      <c r="I412" s="168"/>
      <c r="J412" s="168"/>
    </row>
    <row r="413" spans="1:10" ht="17">
      <c r="A413" s="168"/>
      <c r="B413" s="168"/>
      <c r="C413" s="168"/>
      <c r="G413" s="175"/>
      <c r="H413" s="175"/>
      <c r="I413" s="168"/>
      <c r="J413" s="168"/>
    </row>
    <row r="414" spans="1:10" ht="17">
      <c r="A414" s="168"/>
      <c r="B414" s="168"/>
      <c r="C414" s="168"/>
      <c r="G414" s="175"/>
      <c r="H414" s="175"/>
      <c r="I414" s="168"/>
      <c r="J414" s="168"/>
    </row>
    <row r="415" spans="1:10" ht="17">
      <c r="A415" s="168"/>
      <c r="B415" s="168"/>
      <c r="C415" s="168"/>
      <c r="G415" s="175"/>
      <c r="H415" s="175"/>
      <c r="I415" s="168"/>
      <c r="J415" s="168"/>
    </row>
    <row r="416" spans="1:10" ht="17">
      <c r="A416" s="168"/>
      <c r="B416" s="168"/>
      <c r="C416" s="168"/>
      <c r="G416" s="175"/>
      <c r="H416" s="175"/>
      <c r="I416" s="168"/>
      <c r="J416" s="168"/>
    </row>
    <row r="417" spans="1:10" ht="17">
      <c r="A417" s="168"/>
      <c r="B417" s="168"/>
      <c r="C417" s="168"/>
      <c r="G417" s="175"/>
      <c r="H417" s="175"/>
      <c r="I417" s="168"/>
      <c r="J417" s="168"/>
    </row>
    <row r="418" spans="1:10" ht="17">
      <c r="A418" s="168"/>
      <c r="B418" s="168"/>
      <c r="C418" s="168"/>
      <c r="G418" s="175"/>
      <c r="H418" s="175"/>
      <c r="I418" s="168"/>
      <c r="J418" s="168"/>
    </row>
    <row r="419" spans="1:10" ht="17">
      <c r="A419" s="168"/>
      <c r="B419" s="168"/>
      <c r="C419" s="168"/>
      <c r="G419" s="175"/>
      <c r="H419" s="175"/>
      <c r="I419" s="168"/>
      <c r="J419" s="168"/>
    </row>
    <row r="420" spans="1:10" ht="17">
      <c r="A420" s="168"/>
      <c r="B420" s="168"/>
      <c r="C420" s="168"/>
      <c r="G420" s="175"/>
      <c r="H420" s="175"/>
      <c r="I420" s="168"/>
      <c r="J420" s="168"/>
    </row>
    <row r="421" spans="1:10" ht="17">
      <c r="A421" s="168"/>
      <c r="B421" s="168"/>
      <c r="C421" s="168"/>
      <c r="G421" s="175"/>
      <c r="H421" s="175"/>
      <c r="I421" s="168"/>
      <c r="J421" s="168"/>
    </row>
    <row r="422" spans="1:10" ht="17">
      <c r="A422" s="168"/>
      <c r="B422" s="168"/>
      <c r="C422" s="168"/>
      <c r="G422" s="175"/>
      <c r="H422" s="175"/>
      <c r="I422" s="168"/>
      <c r="J422" s="168"/>
    </row>
    <row r="423" spans="1:10" ht="17">
      <c r="A423" s="168"/>
      <c r="B423" s="168"/>
      <c r="C423" s="168"/>
      <c r="G423" s="175"/>
      <c r="H423" s="175"/>
      <c r="I423" s="168"/>
      <c r="J423" s="168"/>
    </row>
    <row r="424" spans="1:10" ht="17">
      <c r="A424" s="168"/>
      <c r="B424" s="168"/>
      <c r="C424" s="168"/>
      <c r="G424" s="175"/>
      <c r="H424" s="175"/>
      <c r="I424" s="168"/>
      <c r="J424" s="168"/>
    </row>
    <row r="425" spans="1:10" ht="17">
      <c r="A425" s="168"/>
      <c r="B425" s="168"/>
      <c r="C425" s="168"/>
      <c r="G425" s="175"/>
      <c r="H425" s="175"/>
      <c r="I425" s="168"/>
      <c r="J425" s="168"/>
    </row>
    <row r="426" spans="1:10" ht="17">
      <c r="A426" s="168"/>
      <c r="B426" s="168"/>
      <c r="C426" s="168"/>
      <c r="G426" s="175"/>
      <c r="H426" s="175"/>
      <c r="I426" s="168"/>
      <c r="J426" s="168"/>
    </row>
    <row r="427" spans="1:10" ht="17">
      <c r="A427" s="168"/>
      <c r="B427" s="168"/>
      <c r="C427" s="168"/>
      <c r="G427" s="175"/>
      <c r="H427" s="175"/>
      <c r="I427" s="168"/>
      <c r="J427" s="168"/>
    </row>
    <row r="428" spans="1:10" ht="17">
      <c r="A428" s="168"/>
      <c r="B428" s="168"/>
      <c r="C428" s="168"/>
      <c r="G428" s="175"/>
      <c r="H428" s="175"/>
      <c r="I428" s="168"/>
      <c r="J428" s="168"/>
    </row>
    <row r="429" spans="1:10" ht="17">
      <c r="A429" s="168"/>
      <c r="B429" s="168"/>
      <c r="C429" s="168"/>
      <c r="G429" s="175"/>
      <c r="H429" s="175"/>
      <c r="I429" s="168"/>
      <c r="J429" s="168"/>
    </row>
    <row r="430" spans="1:10" ht="17">
      <c r="A430" s="168"/>
      <c r="B430" s="168"/>
      <c r="C430" s="168"/>
      <c r="G430" s="175"/>
      <c r="H430" s="175"/>
      <c r="I430" s="168"/>
      <c r="J430" s="168"/>
    </row>
    <row r="431" spans="1:10" ht="17">
      <c r="A431" s="168"/>
      <c r="B431" s="168"/>
      <c r="C431" s="168"/>
      <c r="G431" s="175"/>
      <c r="H431" s="175"/>
      <c r="I431" s="168"/>
      <c r="J431" s="168"/>
    </row>
    <row r="432" spans="1:10" ht="17">
      <c r="A432" s="168"/>
      <c r="B432" s="168"/>
      <c r="C432" s="168"/>
      <c r="G432" s="175"/>
      <c r="H432" s="175"/>
      <c r="I432" s="168"/>
      <c r="J432" s="168"/>
    </row>
    <row r="433" spans="1:10" ht="17">
      <c r="A433" s="168"/>
      <c r="B433" s="168"/>
      <c r="C433" s="168"/>
      <c r="G433" s="175"/>
      <c r="H433" s="175"/>
      <c r="I433" s="168"/>
      <c r="J433" s="168"/>
    </row>
    <row r="434" spans="1:10" ht="17">
      <c r="A434" s="168"/>
      <c r="B434" s="168"/>
      <c r="C434" s="168"/>
      <c r="G434" s="175"/>
      <c r="H434" s="175"/>
      <c r="I434" s="168"/>
      <c r="J434" s="168"/>
    </row>
    <row r="435" spans="1:10" ht="17">
      <c r="A435" s="168"/>
      <c r="B435" s="168"/>
      <c r="C435" s="168"/>
      <c r="G435" s="175"/>
      <c r="H435" s="175"/>
      <c r="I435" s="168"/>
      <c r="J435" s="168"/>
    </row>
    <row r="436" spans="1:10" ht="17">
      <c r="A436" s="168"/>
      <c r="B436" s="168"/>
      <c r="C436" s="168"/>
      <c r="G436" s="175"/>
      <c r="H436" s="175"/>
      <c r="I436" s="168"/>
      <c r="J436" s="168"/>
    </row>
    <row r="437" spans="1:10" ht="17">
      <c r="A437" s="168"/>
      <c r="B437" s="168"/>
      <c r="C437" s="168"/>
      <c r="G437" s="175"/>
      <c r="H437" s="175"/>
      <c r="I437" s="168"/>
      <c r="J437" s="168"/>
    </row>
    <row r="438" spans="1:10" ht="17">
      <c r="A438" s="168"/>
      <c r="B438" s="168"/>
      <c r="C438" s="168"/>
      <c r="G438" s="175"/>
      <c r="H438" s="175"/>
      <c r="I438" s="168"/>
      <c r="J438" s="168"/>
    </row>
    <row r="439" spans="1:10" ht="17">
      <c r="A439" s="168"/>
      <c r="B439" s="168"/>
      <c r="C439" s="168"/>
      <c r="G439" s="175"/>
      <c r="H439" s="175"/>
      <c r="I439" s="168"/>
      <c r="J439" s="168"/>
    </row>
    <row r="440" spans="1:10" ht="17">
      <c r="A440" s="168"/>
      <c r="B440" s="168"/>
      <c r="C440" s="168"/>
      <c r="G440" s="175"/>
      <c r="H440" s="175"/>
      <c r="I440" s="168"/>
      <c r="J440" s="168"/>
    </row>
    <row r="441" spans="1:10" ht="17">
      <c r="A441" s="168"/>
      <c r="B441" s="168"/>
      <c r="C441" s="168"/>
      <c r="G441" s="175"/>
      <c r="H441" s="175"/>
      <c r="I441" s="168"/>
      <c r="J441" s="168"/>
    </row>
    <row r="442" spans="1:10" ht="17">
      <c r="A442" s="168"/>
      <c r="B442" s="168"/>
      <c r="C442" s="168"/>
      <c r="G442" s="175"/>
      <c r="H442" s="175"/>
      <c r="I442" s="168"/>
      <c r="J442" s="168"/>
    </row>
    <row r="443" spans="1:10" ht="17">
      <c r="A443" s="168"/>
      <c r="B443" s="168"/>
      <c r="C443" s="168"/>
      <c r="G443" s="175"/>
      <c r="H443" s="175"/>
      <c r="I443" s="168"/>
      <c r="J443" s="168"/>
    </row>
    <row r="444" spans="1:10" ht="17">
      <c r="A444" s="168"/>
      <c r="B444" s="168"/>
      <c r="C444" s="168"/>
      <c r="G444" s="175"/>
      <c r="H444" s="175"/>
      <c r="I444" s="168"/>
      <c r="J444" s="168"/>
    </row>
    <row r="445" spans="1:10" ht="17">
      <c r="A445" s="168"/>
      <c r="B445" s="168"/>
      <c r="C445" s="168"/>
      <c r="G445" s="175"/>
      <c r="H445" s="175"/>
      <c r="I445" s="168"/>
      <c r="J445" s="168"/>
    </row>
    <row r="446" spans="1:10" ht="17">
      <c r="A446" s="168"/>
      <c r="B446" s="168"/>
      <c r="C446" s="168"/>
      <c r="G446" s="175"/>
      <c r="H446" s="175"/>
      <c r="I446" s="168"/>
      <c r="J446" s="168"/>
    </row>
    <row r="447" spans="1:10" ht="17">
      <c r="A447" s="168"/>
      <c r="B447" s="168"/>
      <c r="C447" s="168"/>
      <c r="G447" s="175"/>
      <c r="H447" s="175"/>
      <c r="I447" s="168"/>
      <c r="J447" s="168"/>
    </row>
    <row r="448" spans="1:10" ht="17">
      <c r="A448" s="168"/>
      <c r="B448" s="168"/>
      <c r="C448" s="168"/>
      <c r="G448" s="175"/>
      <c r="H448" s="175"/>
      <c r="I448" s="168"/>
      <c r="J448" s="168"/>
    </row>
    <row r="449" spans="1:10" ht="17">
      <c r="A449" s="168"/>
      <c r="B449" s="168"/>
      <c r="C449" s="168"/>
      <c r="G449" s="175"/>
      <c r="H449" s="175"/>
      <c r="I449" s="168"/>
      <c r="J449" s="168"/>
    </row>
    <row r="450" spans="1:10" ht="17">
      <c r="A450" s="168"/>
      <c r="B450" s="168"/>
      <c r="C450" s="168"/>
      <c r="G450" s="175"/>
      <c r="H450" s="175"/>
      <c r="I450" s="168"/>
      <c r="J450" s="168"/>
    </row>
    <row r="451" spans="1:10" ht="17">
      <c r="A451" s="168"/>
      <c r="B451" s="168"/>
      <c r="C451" s="168"/>
      <c r="G451" s="175"/>
      <c r="H451" s="175"/>
      <c r="I451" s="168"/>
      <c r="J451" s="168"/>
    </row>
    <row r="452" spans="1:10" ht="17">
      <c r="A452" s="168"/>
      <c r="B452" s="168"/>
      <c r="C452" s="168"/>
      <c r="G452" s="175"/>
      <c r="H452" s="175"/>
      <c r="I452" s="168"/>
      <c r="J452" s="168"/>
    </row>
    <row r="453" spans="1:10" ht="17">
      <c r="A453" s="168"/>
      <c r="B453" s="168"/>
      <c r="C453" s="168"/>
      <c r="G453" s="175"/>
      <c r="H453" s="175"/>
      <c r="I453" s="168"/>
      <c r="J453" s="168"/>
    </row>
    <row r="454" spans="1:10" ht="17">
      <c r="A454" s="168"/>
      <c r="B454" s="168"/>
      <c r="C454" s="168"/>
      <c r="G454" s="175"/>
      <c r="H454" s="175"/>
      <c r="I454" s="168"/>
      <c r="J454" s="168"/>
    </row>
    <row r="455" spans="1:10" ht="17">
      <c r="A455" s="168"/>
      <c r="B455" s="168"/>
      <c r="C455" s="168"/>
      <c r="G455" s="175"/>
      <c r="H455" s="175"/>
      <c r="I455" s="168"/>
      <c r="J455" s="168"/>
    </row>
    <row r="456" spans="1:10" ht="17">
      <c r="A456" s="168"/>
      <c r="B456" s="168"/>
      <c r="C456" s="168"/>
      <c r="G456" s="175"/>
      <c r="H456" s="175"/>
      <c r="I456" s="168"/>
      <c r="J456" s="168"/>
    </row>
    <row r="457" spans="1:10" ht="17">
      <c r="A457" s="168"/>
      <c r="B457" s="168"/>
      <c r="C457" s="168"/>
      <c r="G457" s="175"/>
      <c r="H457" s="175"/>
      <c r="I457" s="168"/>
      <c r="J457" s="168"/>
    </row>
    <row r="458" spans="1:10" ht="17">
      <c r="A458" s="168"/>
      <c r="B458" s="168"/>
      <c r="C458" s="168"/>
      <c r="G458" s="175"/>
      <c r="H458" s="175"/>
      <c r="I458" s="168"/>
      <c r="J458" s="168"/>
    </row>
    <row r="459" spans="1:10" ht="17">
      <c r="A459" s="168"/>
      <c r="B459" s="168"/>
      <c r="C459" s="168"/>
      <c r="G459" s="175"/>
      <c r="H459" s="175"/>
      <c r="I459" s="168"/>
      <c r="J459" s="168"/>
    </row>
    <row r="460" spans="1:10" ht="17">
      <c r="A460" s="168"/>
      <c r="B460" s="168"/>
      <c r="C460" s="168"/>
      <c r="G460" s="175"/>
      <c r="H460" s="175"/>
      <c r="I460" s="168"/>
      <c r="J460" s="168"/>
    </row>
    <row r="461" spans="1:10" ht="17">
      <c r="A461" s="168"/>
      <c r="B461" s="168"/>
      <c r="C461" s="168"/>
      <c r="G461" s="175"/>
      <c r="H461" s="175"/>
      <c r="I461" s="168"/>
      <c r="J461" s="168"/>
    </row>
    <row r="462" spans="1:10" ht="17">
      <c r="A462" s="168"/>
      <c r="B462" s="168"/>
      <c r="C462" s="168"/>
      <c r="G462" s="175"/>
      <c r="H462" s="175"/>
      <c r="I462" s="168"/>
      <c r="J462" s="168"/>
    </row>
    <row r="463" spans="1:10" ht="17">
      <c r="A463" s="168"/>
      <c r="B463" s="168"/>
      <c r="C463" s="168"/>
      <c r="G463" s="175"/>
      <c r="H463" s="175"/>
      <c r="I463" s="168"/>
      <c r="J463" s="168"/>
    </row>
    <row r="464" spans="1:10" ht="17">
      <c r="A464" s="168"/>
      <c r="B464" s="168"/>
      <c r="C464" s="168"/>
      <c r="G464" s="175"/>
      <c r="H464" s="175"/>
      <c r="I464" s="168"/>
      <c r="J464" s="168"/>
    </row>
    <row r="465" spans="1:10" ht="17">
      <c r="A465" s="168"/>
      <c r="B465" s="168"/>
      <c r="C465" s="168"/>
      <c r="G465" s="175"/>
      <c r="H465" s="175"/>
      <c r="I465" s="168"/>
      <c r="J465" s="168"/>
    </row>
    <row r="466" spans="1:10" ht="17">
      <c r="A466" s="168"/>
      <c r="B466" s="168"/>
      <c r="C466" s="168"/>
      <c r="G466" s="175"/>
      <c r="H466" s="175"/>
      <c r="I466" s="168"/>
      <c r="J466" s="168"/>
    </row>
    <row r="467" spans="1:10" ht="17">
      <c r="A467" s="168"/>
      <c r="B467" s="168"/>
      <c r="C467" s="168"/>
      <c r="G467" s="175"/>
      <c r="H467" s="175"/>
      <c r="I467" s="168"/>
      <c r="J467" s="168"/>
    </row>
    <row r="468" spans="1:10" ht="17">
      <c r="A468" s="168"/>
      <c r="B468" s="168"/>
      <c r="C468" s="168"/>
      <c r="G468" s="175"/>
      <c r="H468" s="175"/>
      <c r="I468" s="168"/>
      <c r="J468" s="168"/>
    </row>
    <row r="469" spans="1:10" ht="17">
      <c r="A469" s="168"/>
      <c r="B469" s="168"/>
      <c r="C469" s="168"/>
      <c r="G469" s="175"/>
      <c r="H469" s="175"/>
      <c r="I469" s="168"/>
      <c r="J469" s="168"/>
    </row>
    <row r="470" spans="1:10" ht="17">
      <c r="A470" s="168"/>
      <c r="B470" s="168"/>
      <c r="C470" s="168"/>
      <c r="G470" s="175"/>
      <c r="H470" s="175"/>
      <c r="I470" s="168"/>
      <c r="J470" s="168"/>
    </row>
    <row r="471" spans="1:10" ht="17">
      <c r="A471" s="168"/>
      <c r="B471" s="168"/>
      <c r="C471" s="168"/>
      <c r="G471" s="175"/>
      <c r="H471" s="175"/>
      <c r="I471" s="168"/>
      <c r="J471" s="168"/>
    </row>
    <row r="472" spans="1:10" ht="17">
      <c r="A472" s="168"/>
      <c r="B472" s="168"/>
      <c r="C472" s="168"/>
      <c r="G472" s="175"/>
      <c r="H472" s="175"/>
      <c r="I472" s="168"/>
      <c r="J472" s="168"/>
    </row>
    <row r="473" spans="1:10" ht="17">
      <c r="A473" s="168"/>
      <c r="B473" s="168"/>
      <c r="C473" s="168"/>
      <c r="G473" s="175"/>
      <c r="H473" s="175"/>
      <c r="I473" s="168"/>
      <c r="J473" s="168"/>
    </row>
    <row r="474" spans="1:10" ht="17">
      <c r="A474" s="168"/>
      <c r="B474" s="168"/>
      <c r="C474" s="168"/>
      <c r="G474" s="175"/>
      <c r="H474" s="175"/>
      <c r="I474" s="168"/>
      <c r="J474" s="168"/>
    </row>
    <row r="475" spans="1:10" ht="17">
      <c r="A475" s="168"/>
      <c r="B475" s="168"/>
      <c r="C475" s="168"/>
      <c r="G475" s="175"/>
      <c r="H475" s="175"/>
      <c r="I475" s="168"/>
      <c r="J475" s="168"/>
    </row>
    <row r="476" spans="1:10" ht="17">
      <c r="A476" s="168"/>
      <c r="B476" s="168"/>
      <c r="C476" s="168"/>
      <c r="G476" s="175"/>
      <c r="H476" s="175"/>
      <c r="I476" s="168"/>
      <c r="J476" s="168"/>
    </row>
    <row r="477" spans="1:10" ht="17">
      <c r="A477" s="168"/>
      <c r="B477" s="168"/>
      <c r="C477" s="168"/>
      <c r="G477" s="175"/>
      <c r="H477" s="175"/>
      <c r="I477" s="168"/>
      <c r="J477" s="168"/>
    </row>
    <row r="478" spans="1:10" ht="17">
      <c r="A478" s="168"/>
      <c r="B478" s="168"/>
      <c r="C478" s="168"/>
      <c r="G478" s="175"/>
      <c r="H478" s="175"/>
      <c r="I478" s="168"/>
      <c r="J478" s="168"/>
    </row>
    <row r="479" spans="1:10" ht="17">
      <c r="A479" s="168"/>
      <c r="B479" s="168"/>
      <c r="C479" s="168"/>
      <c r="G479" s="175"/>
      <c r="H479" s="175"/>
      <c r="I479" s="168"/>
      <c r="J479" s="168"/>
    </row>
    <row r="480" spans="1:10" ht="17">
      <c r="A480" s="168"/>
      <c r="B480" s="168"/>
      <c r="C480" s="168"/>
      <c r="G480" s="175"/>
      <c r="H480" s="175"/>
      <c r="I480" s="168"/>
      <c r="J480" s="168"/>
    </row>
    <row r="481" spans="1:10" ht="17">
      <c r="A481" s="168"/>
      <c r="B481" s="168"/>
      <c r="C481" s="168"/>
      <c r="G481" s="175"/>
      <c r="H481" s="175"/>
      <c r="I481" s="168"/>
      <c r="J481" s="168"/>
    </row>
    <row r="482" spans="1:10" ht="17">
      <c r="A482" s="168"/>
      <c r="B482" s="168"/>
      <c r="C482" s="168"/>
      <c r="G482" s="175"/>
      <c r="H482" s="175"/>
      <c r="I482" s="168"/>
      <c r="J482" s="168"/>
    </row>
    <row r="483" spans="1:10" ht="17">
      <c r="A483" s="168"/>
      <c r="B483" s="168"/>
      <c r="C483" s="168"/>
      <c r="G483" s="175"/>
      <c r="H483" s="175"/>
      <c r="I483" s="168"/>
      <c r="J483" s="168"/>
    </row>
    <row r="484" spans="1:10" ht="17">
      <c r="A484" s="168"/>
      <c r="B484" s="168"/>
      <c r="C484" s="168"/>
      <c r="G484" s="175"/>
      <c r="H484" s="175"/>
      <c r="I484" s="168"/>
      <c r="J484" s="168"/>
    </row>
    <row r="485" spans="1:10" ht="17">
      <c r="A485" s="168"/>
      <c r="B485" s="168"/>
      <c r="C485" s="168"/>
      <c r="G485" s="175"/>
      <c r="H485" s="175"/>
      <c r="I485" s="168"/>
      <c r="J485" s="168"/>
    </row>
    <row r="486" spans="1:10" ht="17">
      <c r="A486" s="168"/>
      <c r="B486" s="168"/>
      <c r="C486" s="168"/>
      <c r="G486" s="175"/>
      <c r="H486" s="175"/>
      <c r="I486" s="168"/>
      <c r="J486" s="168"/>
    </row>
    <row r="487" spans="1:10" ht="17">
      <c r="A487" s="168"/>
      <c r="B487" s="168"/>
      <c r="C487" s="168"/>
      <c r="G487" s="175"/>
      <c r="H487" s="175"/>
      <c r="I487" s="168"/>
      <c r="J487" s="168"/>
    </row>
    <row r="488" spans="1:10" ht="17">
      <c r="A488" s="168"/>
      <c r="B488" s="168"/>
      <c r="C488" s="168"/>
      <c r="G488" s="175"/>
      <c r="H488" s="175"/>
      <c r="I488" s="168"/>
      <c r="J488" s="168"/>
    </row>
    <row r="489" spans="1:10" ht="17">
      <c r="A489" s="168"/>
      <c r="B489" s="168"/>
      <c r="C489" s="168"/>
      <c r="G489" s="175"/>
      <c r="H489" s="175"/>
      <c r="I489" s="168"/>
      <c r="J489" s="168"/>
    </row>
    <row r="490" spans="1:10" ht="17">
      <c r="A490" s="168"/>
      <c r="B490" s="168"/>
      <c r="C490" s="168"/>
      <c r="G490" s="175"/>
      <c r="H490" s="175"/>
      <c r="I490" s="168"/>
      <c r="J490" s="168"/>
    </row>
    <row r="491" spans="1:10" ht="17">
      <c r="A491" s="168"/>
      <c r="B491" s="168"/>
      <c r="C491" s="168"/>
      <c r="G491" s="175"/>
      <c r="H491" s="175"/>
      <c r="I491" s="168"/>
      <c r="J491" s="168"/>
    </row>
    <row r="492" spans="1:10" ht="17">
      <c r="A492" s="168"/>
      <c r="B492" s="168"/>
      <c r="C492" s="168"/>
      <c r="G492" s="175"/>
      <c r="H492" s="175"/>
      <c r="I492" s="168"/>
      <c r="J492" s="168"/>
    </row>
    <row r="493" spans="1:10" ht="17">
      <c r="A493" s="168"/>
      <c r="B493" s="168"/>
      <c r="C493" s="168"/>
      <c r="G493" s="175"/>
      <c r="H493" s="175"/>
      <c r="I493" s="168"/>
      <c r="J493" s="168"/>
    </row>
    <row r="494" spans="1:10" ht="17">
      <c r="A494" s="168"/>
      <c r="B494" s="168"/>
      <c r="C494" s="168"/>
      <c r="G494" s="175"/>
      <c r="H494" s="175"/>
      <c r="I494" s="168"/>
      <c r="J494" s="168"/>
    </row>
    <row r="495" spans="1:10" ht="17">
      <c r="A495" s="168"/>
      <c r="B495" s="168"/>
      <c r="C495" s="168"/>
      <c r="G495" s="175"/>
      <c r="H495" s="175"/>
      <c r="I495" s="168"/>
      <c r="J495" s="168"/>
    </row>
    <row r="496" spans="1:10" ht="17">
      <c r="A496" s="168"/>
      <c r="B496" s="168"/>
      <c r="C496" s="168"/>
      <c r="G496" s="175"/>
      <c r="H496" s="175"/>
      <c r="I496" s="168"/>
      <c r="J496" s="168"/>
    </row>
    <row r="497" spans="1:10" ht="17">
      <c r="A497" s="168"/>
      <c r="B497" s="168"/>
      <c r="C497" s="168"/>
      <c r="G497" s="175"/>
      <c r="H497" s="175"/>
      <c r="I497" s="168"/>
      <c r="J497" s="168"/>
    </row>
    <row r="498" spans="1:10" ht="17">
      <c r="A498" s="168"/>
      <c r="B498" s="168"/>
      <c r="C498" s="168"/>
      <c r="G498" s="175"/>
      <c r="H498" s="175"/>
      <c r="I498" s="168"/>
      <c r="J498" s="168"/>
    </row>
    <row r="499" spans="1:10" ht="17">
      <c r="A499" s="168"/>
      <c r="B499" s="168"/>
      <c r="C499" s="168"/>
      <c r="G499" s="175"/>
      <c r="H499" s="175"/>
      <c r="I499" s="168"/>
      <c r="J499" s="168"/>
    </row>
    <row r="500" spans="1:10" ht="17">
      <c r="A500" s="168"/>
      <c r="B500" s="168"/>
      <c r="C500" s="168"/>
      <c r="G500" s="175"/>
      <c r="H500" s="175"/>
      <c r="I500" s="168"/>
      <c r="J500" s="168"/>
    </row>
    <row r="501" spans="1:10" ht="17">
      <c r="A501" s="168"/>
      <c r="B501" s="168"/>
      <c r="C501" s="168"/>
      <c r="G501" s="175"/>
      <c r="H501" s="175"/>
      <c r="I501" s="168"/>
      <c r="J501" s="168"/>
    </row>
    <row r="502" spans="1:10" ht="17">
      <c r="A502" s="168"/>
      <c r="B502" s="168"/>
      <c r="C502" s="168"/>
      <c r="G502" s="175"/>
      <c r="H502" s="175"/>
      <c r="I502" s="168"/>
      <c r="J502" s="168"/>
    </row>
    <row r="503" spans="1:10" ht="17">
      <c r="A503" s="168"/>
      <c r="B503" s="168"/>
      <c r="C503" s="168"/>
      <c r="G503" s="175"/>
      <c r="H503" s="175"/>
      <c r="I503" s="168"/>
      <c r="J503" s="168"/>
    </row>
    <row r="504" spans="1:10" ht="17">
      <c r="A504" s="168"/>
      <c r="B504" s="168"/>
      <c r="C504" s="168"/>
      <c r="G504" s="175"/>
      <c r="H504" s="175"/>
      <c r="I504" s="168"/>
      <c r="J504" s="168"/>
    </row>
    <row r="505" spans="1:10" ht="17">
      <c r="A505" s="168"/>
      <c r="B505" s="168"/>
      <c r="C505" s="168"/>
      <c r="G505" s="175"/>
      <c r="H505" s="175"/>
      <c r="I505" s="168"/>
      <c r="J505" s="168"/>
    </row>
    <row r="506" spans="1:10" ht="17">
      <c r="A506" s="168"/>
      <c r="B506" s="168"/>
      <c r="C506" s="168"/>
      <c r="G506" s="175"/>
      <c r="H506" s="175"/>
      <c r="I506" s="168"/>
      <c r="J506" s="168"/>
    </row>
    <row r="507" spans="1:10" ht="17">
      <c r="A507" s="168"/>
      <c r="B507" s="168"/>
      <c r="C507" s="168"/>
      <c r="G507" s="175"/>
      <c r="H507" s="175"/>
      <c r="I507" s="168"/>
      <c r="J507" s="168"/>
    </row>
    <row r="508" spans="1:10" ht="17">
      <c r="A508" s="168"/>
      <c r="B508" s="168"/>
      <c r="C508" s="168"/>
      <c r="G508" s="175"/>
      <c r="H508" s="175"/>
      <c r="I508" s="168"/>
      <c r="J508" s="168"/>
    </row>
    <row r="509" spans="1:10" ht="17">
      <c r="A509" s="168"/>
      <c r="B509" s="168"/>
      <c r="C509" s="168"/>
      <c r="G509" s="175"/>
      <c r="H509" s="175"/>
      <c r="I509" s="168"/>
      <c r="J509" s="168"/>
    </row>
    <row r="510" spans="1:10" ht="17">
      <c r="A510" s="168"/>
      <c r="B510" s="168"/>
      <c r="C510" s="168"/>
      <c r="G510" s="175"/>
      <c r="H510" s="175"/>
      <c r="I510" s="168"/>
      <c r="J510" s="168"/>
    </row>
    <row r="511" spans="1:10" ht="17">
      <c r="A511" s="168"/>
      <c r="B511" s="168"/>
      <c r="C511" s="168"/>
      <c r="G511" s="175"/>
      <c r="H511" s="175"/>
      <c r="I511" s="168"/>
      <c r="J511" s="168"/>
    </row>
    <row r="512" spans="1:10" ht="17">
      <c r="A512" s="168"/>
      <c r="B512" s="168"/>
      <c r="C512" s="168"/>
      <c r="G512" s="175"/>
      <c r="H512" s="175"/>
      <c r="I512" s="168"/>
      <c r="J512" s="168"/>
    </row>
    <row r="513" spans="1:10" ht="17">
      <c r="A513" s="168"/>
      <c r="B513" s="168"/>
      <c r="C513" s="168"/>
      <c r="G513" s="175"/>
      <c r="H513" s="175"/>
      <c r="I513" s="168"/>
      <c r="J513" s="168"/>
    </row>
    <row r="514" spans="1:10" ht="17">
      <c r="A514" s="168"/>
      <c r="B514" s="168"/>
      <c r="C514" s="168"/>
      <c r="G514" s="175"/>
      <c r="H514" s="175"/>
      <c r="I514" s="168"/>
      <c r="J514" s="168"/>
    </row>
    <row r="515" spans="1:10" ht="17">
      <c r="A515" s="168"/>
      <c r="B515" s="168"/>
      <c r="C515" s="168"/>
      <c r="G515" s="175"/>
      <c r="H515" s="175"/>
      <c r="I515" s="168"/>
      <c r="J515" s="168"/>
    </row>
    <row r="516" spans="1:10" ht="17">
      <c r="A516" s="168"/>
      <c r="B516" s="168"/>
      <c r="C516" s="168"/>
      <c r="G516" s="175"/>
      <c r="H516" s="175"/>
      <c r="I516" s="168"/>
      <c r="J516" s="168"/>
    </row>
    <row r="517" spans="1:10" ht="17">
      <c r="A517" s="168"/>
      <c r="B517" s="168"/>
      <c r="C517" s="168"/>
      <c r="G517" s="175"/>
      <c r="H517" s="175"/>
      <c r="I517" s="168"/>
      <c r="J517" s="168"/>
    </row>
    <row r="518" spans="1:10" ht="17">
      <c r="A518" s="168"/>
      <c r="B518" s="168"/>
      <c r="C518" s="168"/>
      <c r="G518" s="175"/>
      <c r="H518" s="175"/>
      <c r="I518" s="168"/>
      <c r="J518" s="168"/>
    </row>
    <row r="519" spans="1:10" ht="17">
      <c r="A519" s="168"/>
      <c r="B519" s="168"/>
      <c r="C519" s="168"/>
      <c r="G519" s="175"/>
      <c r="H519" s="175"/>
      <c r="I519" s="168"/>
      <c r="J519" s="168"/>
    </row>
    <row r="520" spans="1:10" ht="17">
      <c r="A520" s="168"/>
      <c r="B520" s="168"/>
      <c r="C520" s="168"/>
      <c r="G520" s="175"/>
      <c r="H520" s="175"/>
      <c r="I520" s="168"/>
      <c r="J520" s="168"/>
    </row>
    <row r="521" spans="1:10" ht="17">
      <c r="A521" s="168"/>
      <c r="B521" s="168"/>
      <c r="C521" s="168"/>
      <c r="G521" s="175"/>
      <c r="H521" s="175"/>
      <c r="I521" s="168"/>
      <c r="J521" s="168"/>
    </row>
    <row r="522" spans="1:10" ht="17">
      <c r="A522" s="168"/>
      <c r="B522" s="168"/>
      <c r="C522" s="168"/>
      <c r="G522" s="175"/>
      <c r="H522" s="175"/>
      <c r="I522" s="168"/>
      <c r="J522" s="168"/>
    </row>
    <row r="523" spans="1:10" ht="17">
      <c r="A523" s="168"/>
      <c r="B523" s="168"/>
      <c r="C523" s="168"/>
      <c r="G523" s="175"/>
      <c r="H523" s="175"/>
      <c r="I523" s="168"/>
      <c r="J523" s="168"/>
    </row>
    <row r="524" spans="1:10" ht="17">
      <c r="A524" s="168"/>
      <c r="B524" s="168"/>
      <c r="C524" s="168"/>
      <c r="G524" s="175"/>
      <c r="H524" s="175"/>
      <c r="I524" s="168"/>
      <c r="J524" s="168"/>
    </row>
    <row r="525" spans="1:10" ht="17">
      <c r="A525" s="168"/>
      <c r="B525" s="168"/>
      <c r="C525" s="168"/>
      <c r="G525" s="175"/>
      <c r="H525" s="175"/>
      <c r="I525" s="168"/>
      <c r="J525" s="168"/>
    </row>
    <row r="526" spans="1:10" ht="17">
      <c r="A526" s="168"/>
      <c r="B526" s="168"/>
      <c r="C526" s="168"/>
      <c r="G526" s="175"/>
      <c r="H526" s="175"/>
      <c r="I526" s="168"/>
      <c r="J526" s="168"/>
    </row>
    <row r="527" spans="1:10" ht="17">
      <c r="A527" s="168"/>
      <c r="B527" s="168"/>
      <c r="C527" s="168"/>
      <c r="G527" s="175"/>
      <c r="H527" s="175"/>
      <c r="I527" s="168"/>
      <c r="J527" s="168"/>
    </row>
    <row r="528" spans="1:10" ht="17">
      <c r="A528" s="168"/>
      <c r="B528" s="168"/>
      <c r="C528" s="168"/>
      <c r="G528" s="175"/>
      <c r="H528" s="175"/>
      <c r="I528" s="168"/>
      <c r="J528" s="168"/>
    </row>
    <row r="529" spans="1:10" ht="17">
      <c r="A529" s="168"/>
      <c r="B529" s="168"/>
      <c r="C529" s="168"/>
      <c r="G529" s="175"/>
      <c r="H529" s="175"/>
      <c r="I529" s="168"/>
      <c r="J529" s="168"/>
    </row>
    <row r="530" spans="1:10" ht="17">
      <c r="A530" s="168"/>
      <c r="B530" s="168"/>
      <c r="C530" s="168"/>
      <c r="G530" s="175"/>
      <c r="H530" s="175"/>
      <c r="I530" s="168"/>
      <c r="J530" s="168"/>
    </row>
    <row r="531" spans="1:10" ht="17">
      <c r="A531" s="168"/>
      <c r="B531" s="168"/>
      <c r="C531" s="168"/>
      <c r="G531" s="175"/>
      <c r="H531" s="175"/>
      <c r="I531" s="168"/>
      <c r="J531" s="168"/>
    </row>
    <row r="532" spans="1:10" ht="17">
      <c r="A532" s="168"/>
      <c r="B532" s="168"/>
      <c r="C532" s="168"/>
      <c r="G532" s="175"/>
      <c r="H532" s="175"/>
      <c r="I532" s="168"/>
      <c r="J532" s="168"/>
    </row>
    <row r="533" spans="1:10" ht="17">
      <c r="A533" s="168"/>
      <c r="B533" s="168"/>
      <c r="C533" s="168"/>
      <c r="G533" s="175"/>
      <c r="H533" s="175"/>
      <c r="I533" s="168"/>
      <c r="J533" s="168"/>
    </row>
    <row r="534" spans="1:10" ht="17">
      <c r="A534" s="168"/>
      <c r="B534" s="168"/>
      <c r="C534" s="168"/>
      <c r="G534" s="175"/>
      <c r="H534" s="175"/>
      <c r="I534" s="168"/>
      <c r="J534" s="168"/>
    </row>
    <row r="535" spans="1:10" ht="17">
      <c r="A535" s="168"/>
      <c r="B535" s="168"/>
      <c r="C535" s="168"/>
      <c r="G535" s="175"/>
      <c r="H535" s="175"/>
      <c r="I535" s="168"/>
      <c r="J535" s="168"/>
    </row>
    <row r="536" spans="1:10" ht="17">
      <c r="A536" s="168"/>
      <c r="B536" s="168"/>
      <c r="C536" s="168"/>
      <c r="G536" s="175"/>
      <c r="H536" s="175"/>
      <c r="I536" s="168"/>
      <c r="J536" s="168"/>
    </row>
    <row r="537" spans="1:10" ht="17">
      <c r="A537" s="168"/>
      <c r="B537" s="168"/>
      <c r="C537" s="168"/>
      <c r="G537" s="175"/>
      <c r="H537" s="175"/>
      <c r="I537" s="168"/>
      <c r="J537" s="168"/>
    </row>
    <row r="538" spans="1:10" ht="17">
      <c r="A538" s="168"/>
      <c r="B538" s="168"/>
      <c r="C538" s="168"/>
      <c r="G538" s="175"/>
      <c r="H538" s="175"/>
      <c r="I538" s="168"/>
      <c r="J538" s="168"/>
    </row>
    <row r="539" spans="1:10" ht="17">
      <c r="A539" s="168"/>
      <c r="B539" s="168"/>
      <c r="C539" s="168"/>
      <c r="G539" s="175"/>
      <c r="H539" s="175"/>
      <c r="I539" s="168"/>
      <c r="J539" s="168"/>
    </row>
    <row r="540" spans="1:10" ht="17">
      <c r="A540" s="168"/>
      <c r="B540" s="168"/>
      <c r="C540" s="168"/>
      <c r="G540" s="175"/>
      <c r="H540" s="175"/>
      <c r="I540" s="168"/>
      <c r="J540" s="168"/>
    </row>
    <row r="541" spans="1:10" ht="17">
      <c r="A541" s="168"/>
      <c r="B541" s="168"/>
      <c r="C541" s="168"/>
      <c r="G541" s="175"/>
      <c r="H541" s="175"/>
      <c r="I541" s="168"/>
      <c r="J541" s="168"/>
    </row>
    <row r="542" spans="1:10" ht="17">
      <c r="A542" s="168"/>
      <c r="B542" s="168"/>
      <c r="C542" s="168"/>
      <c r="G542" s="175"/>
      <c r="H542" s="175"/>
      <c r="I542" s="168"/>
      <c r="J542" s="168"/>
    </row>
    <row r="543" spans="1:10" ht="17">
      <c r="A543" s="168"/>
      <c r="B543" s="168"/>
      <c r="C543" s="168"/>
      <c r="G543" s="175"/>
      <c r="H543" s="175"/>
      <c r="I543" s="168"/>
      <c r="J543" s="168"/>
    </row>
    <row r="544" spans="1:10" ht="17">
      <c r="A544" s="168"/>
      <c r="B544" s="168"/>
      <c r="C544" s="168"/>
      <c r="G544" s="175"/>
      <c r="H544" s="175"/>
      <c r="I544" s="168"/>
      <c r="J544" s="168"/>
    </row>
    <row r="545" spans="1:10" ht="17">
      <c r="A545" s="168"/>
      <c r="B545" s="168"/>
      <c r="C545" s="168"/>
      <c r="G545" s="175"/>
      <c r="H545" s="175"/>
      <c r="I545" s="168"/>
      <c r="J545" s="168"/>
    </row>
    <row r="546" spans="1:10" ht="17">
      <c r="A546" s="168"/>
      <c r="B546" s="168"/>
      <c r="C546" s="168"/>
      <c r="G546" s="175"/>
      <c r="H546" s="175"/>
      <c r="I546" s="168"/>
      <c r="J546" s="168"/>
    </row>
    <row r="547" spans="1:10" ht="17">
      <c r="A547" s="168"/>
      <c r="B547" s="168"/>
      <c r="C547" s="168"/>
      <c r="G547" s="175"/>
      <c r="H547" s="175"/>
      <c r="I547" s="168"/>
      <c r="J547" s="168"/>
    </row>
    <row r="548" spans="1:10" ht="17">
      <c r="A548" s="168"/>
      <c r="B548" s="168"/>
      <c r="C548" s="168"/>
      <c r="G548" s="175"/>
      <c r="H548" s="175"/>
      <c r="I548" s="168"/>
      <c r="J548" s="168"/>
    </row>
    <row r="549" spans="1:10" ht="17">
      <c r="A549" s="168"/>
      <c r="B549" s="168"/>
      <c r="C549" s="168"/>
      <c r="G549" s="175"/>
      <c r="H549" s="175"/>
      <c r="I549" s="168"/>
      <c r="J549" s="168"/>
    </row>
    <row r="550" spans="1:10" ht="17">
      <c r="A550" s="168"/>
      <c r="B550" s="168"/>
      <c r="C550" s="168"/>
      <c r="G550" s="175"/>
      <c r="H550" s="175"/>
      <c r="I550" s="168"/>
      <c r="J550" s="168"/>
    </row>
    <row r="551" spans="1:10" ht="17">
      <c r="A551" s="168"/>
      <c r="B551" s="168"/>
      <c r="C551" s="168"/>
      <c r="G551" s="175"/>
      <c r="H551" s="175"/>
      <c r="I551" s="168"/>
      <c r="J551" s="168"/>
    </row>
    <row r="552" spans="1:10" ht="17">
      <c r="A552" s="168"/>
      <c r="B552" s="168"/>
      <c r="C552" s="168"/>
      <c r="G552" s="175"/>
      <c r="H552" s="175"/>
      <c r="I552" s="168"/>
      <c r="J552" s="168"/>
    </row>
    <row r="553" spans="1:10" ht="17">
      <c r="A553" s="168"/>
      <c r="B553" s="168"/>
      <c r="C553" s="168"/>
      <c r="G553" s="175"/>
      <c r="H553" s="175"/>
      <c r="I553" s="168"/>
      <c r="J553" s="168"/>
    </row>
    <row r="554" spans="1:10" ht="17">
      <c r="A554" s="168"/>
      <c r="B554" s="168"/>
      <c r="C554" s="168"/>
      <c r="G554" s="175"/>
      <c r="H554" s="175"/>
      <c r="I554" s="168"/>
      <c r="J554" s="168"/>
    </row>
    <row r="555" spans="1:10" ht="17">
      <c r="A555" s="168"/>
      <c r="B555" s="168"/>
      <c r="C555" s="168"/>
      <c r="G555" s="175"/>
      <c r="H555" s="175"/>
      <c r="I555" s="168"/>
      <c r="J555" s="168"/>
    </row>
    <row r="556" spans="1:10" ht="17">
      <c r="A556" s="168"/>
      <c r="B556" s="168"/>
      <c r="C556" s="168"/>
      <c r="G556" s="175"/>
      <c r="H556" s="175"/>
      <c r="I556" s="168"/>
      <c r="J556" s="168"/>
    </row>
    <row r="557" spans="1:10" ht="17">
      <c r="A557" s="168"/>
      <c r="B557" s="168"/>
      <c r="C557" s="168"/>
      <c r="G557" s="175"/>
      <c r="H557" s="175"/>
      <c r="I557" s="168"/>
      <c r="J557" s="168"/>
    </row>
    <row r="558" spans="1:10" ht="17">
      <c r="A558" s="168"/>
      <c r="B558" s="168"/>
      <c r="C558" s="168"/>
      <c r="G558" s="175"/>
      <c r="H558" s="175"/>
      <c r="I558" s="168"/>
      <c r="J558" s="168"/>
    </row>
    <row r="559" spans="1:10" ht="17">
      <c r="A559" s="168"/>
      <c r="B559" s="168"/>
      <c r="C559" s="168"/>
      <c r="G559" s="175"/>
      <c r="H559" s="175"/>
      <c r="I559" s="168"/>
      <c r="J559" s="168"/>
    </row>
    <row r="560" spans="1:10" ht="17">
      <c r="A560" s="168"/>
      <c r="B560" s="168"/>
      <c r="C560" s="168"/>
      <c r="G560" s="175"/>
      <c r="H560" s="175"/>
      <c r="I560" s="168"/>
      <c r="J560" s="168"/>
    </row>
    <row r="561" spans="1:10" ht="17">
      <c r="A561" s="168"/>
      <c r="B561" s="168"/>
      <c r="C561" s="168"/>
      <c r="G561" s="175"/>
      <c r="H561" s="175"/>
      <c r="I561" s="168"/>
      <c r="J561" s="168"/>
    </row>
    <row r="562" spans="1:10" ht="17">
      <c r="A562" s="168"/>
      <c r="B562" s="168"/>
      <c r="C562" s="168"/>
      <c r="G562" s="175"/>
      <c r="H562" s="175"/>
      <c r="I562" s="168"/>
      <c r="J562" s="168"/>
    </row>
    <row r="563" spans="1:10" ht="17">
      <c r="A563" s="168"/>
      <c r="B563" s="168"/>
      <c r="C563" s="168"/>
      <c r="G563" s="175"/>
      <c r="H563" s="175"/>
      <c r="I563" s="168"/>
      <c r="J563" s="168"/>
    </row>
    <row r="564" spans="1:10" ht="17">
      <c r="A564" s="168"/>
      <c r="B564" s="168"/>
      <c r="C564" s="168"/>
      <c r="G564" s="175"/>
      <c r="H564" s="175"/>
      <c r="I564" s="168"/>
      <c r="J564" s="168"/>
    </row>
    <row r="565" spans="1:10" ht="17">
      <c r="A565" s="168"/>
      <c r="B565" s="168"/>
      <c r="C565" s="168"/>
      <c r="G565" s="175"/>
      <c r="H565" s="175"/>
      <c r="I565" s="168"/>
      <c r="J565" s="168"/>
    </row>
    <row r="566" spans="1:10" ht="17">
      <c r="A566" s="168"/>
      <c r="B566" s="168"/>
      <c r="C566" s="168"/>
      <c r="G566" s="175"/>
      <c r="H566" s="175"/>
      <c r="I566" s="168"/>
      <c r="J566" s="168"/>
    </row>
    <row r="567" spans="1:10" ht="17">
      <c r="A567" s="168"/>
      <c r="B567" s="168"/>
      <c r="C567" s="168"/>
      <c r="G567" s="175"/>
      <c r="H567" s="175"/>
      <c r="I567" s="168"/>
      <c r="J567" s="168"/>
    </row>
    <row r="568" spans="1:10" ht="17">
      <c r="A568" s="168"/>
      <c r="B568" s="168"/>
      <c r="C568" s="168"/>
      <c r="G568" s="175"/>
      <c r="H568" s="175"/>
      <c r="I568" s="168"/>
      <c r="J568" s="168"/>
    </row>
    <row r="569" spans="1:10" ht="17">
      <c r="A569" s="168"/>
      <c r="B569" s="168"/>
      <c r="C569" s="168"/>
      <c r="G569" s="175"/>
      <c r="H569" s="175"/>
      <c r="I569" s="168"/>
      <c r="J569" s="168"/>
    </row>
    <row r="570" spans="1:10" ht="17">
      <c r="A570" s="168"/>
      <c r="B570" s="168"/>
      <c r="C570" s="168"/>
      <c r="G570" s="175"/>
      <c r="H570" s="175"/>
      <c r="I570" s="168"/>
      <c r="J570" s="168"/>
    </row>
    <row r="571" spans="1:10" ht="17">
      <c r="A571" s="168"/>
      <c r="B571" s="168"/>
      <c r="C571" s="168"/>
      <c r="G571" s="175"/>
      <c r="H571" s="175"/>
      <c r="I571" s="168"/>
      <c r="J571" s="168"/>
    </row>
    <row r="572" spans="1:10" ht="17">
      <c r="A572" s="168"/>
      <c r="B572" s="168"/>
      <c r="C572" s="168"/>
      <c r="G572" s="175"/>
      <c r="H572" s="175"/>
      <c r="I572" s="168"/>
      <c r="J572" s="168"/>
    </row>
    <row r="573" spans="1:10" ht="17">
      <c r="A573" s="168"/>
      <c r="B573" s="168"/>
      <c r="C573" s="168"/>
      <c r="G573" s="175"/>
      <c r="H573" s="175"/>
      <c r="I573" s="168"/>
      <c r="J573" s="168"/>
    </row>
    <row r="574" spans="1:10" ht="17">
      <c r="A574" s="168"/>
      <c r="B574" s="168"/>
      <c r="C574" s="168"/>
      <c r="G574" s="175"/>
      <c r="H574" s="175"/>
      <c r="I574" s="168"/>
      <c r="J574" s="168"/>
    </row>
    <row r="575" spans="1:10" ht="17">
      <c r="A575" s="168"/>
      <c r="B575" s="168"/>
      <c r="C575" s="168"/>
      <c r="G575" s="175"/>
      <c r="H575" s="175"/>
      <c r="I575" s="168"/>
      <c r="J575" s="168"/>
    </row>
    <row r="576" spans="1:10" ht="17">
      <c r="A576" s="168"/>
      <c r="B576" s="168"/>
      <c r="C576" s="168"/>
      <c r="G576" s="175"/>
      <c r="H576" s="175"/>
      <c r="I576" s="168"/>
      <c r="J576" s="168"/>
    </row>
    <row r="577" spans="1:10" ht="17">
      <c r="A577" s="168"/>
      <c r="B577" s="168"/>
      <c r="C577" s="168"/>
      <c r="G577" s="175"/>
      <c r="H577" s="175"/>
      <c r="I577" s="168"/>
      <c r="J577" s="168"/>
    </row>
    <row r="578" spans="1:10" ht="17">
      <c r="A578" s="168"/>
      <c r="B578" s="168"/>
      <c r="C578" s="168"/>
      <c r="G578" s="175"/>
      <c r="H578" s="175"/>
      <c r="I578" s="168"/>
      <c r="J578" s="168"/>
    </row>
    <row r="579" spans="1:10" ht="17">
      <c r="A579" s="168"/>
      <c r="B579" s="168"/>
      <c r="C579" s="168"/>
      <c r="G579" s="175"/>
      <c r="H579" s="175"/>
      <c r="I579" s="168"/>
      <c r="J579" s="168"/>
    </row>
    <row r="580" spans="1:10" ht="17">
      <c r="A580" s="168"/>
      <c r="B580" s="168"/>
      <c r="C580" s="168"/>
      <c r="G580" s="175"/>
      <c r="H580" s="175"/>
      <c r="I580" s="168"/>
      <c r="J580" s="168"/>
    </row>
    <row r="581" spans="1:10" ht="17">
      <c r="A581" s="168"/>
      <c r="B581" s="168"/>
      <c r="C581" s="168"/>
      <c r="G581" s="175"/>
      <c r="H581" s="175"/>
      <c r="I581" s="168"/>
      <c r="J581" s="168"/>
    </row>
    <row r="582" spans="1:10" ht="17">
      <c r="A582" s="168"/>
      <c r="B582" s="168"/>
      <c r="C582" s="168"/>
      <c r="G582" s="175"/>
      <c r="H582" s="175"/>
      <c r="I582" s="168"/>
      <c r="J582" s="168"/>
    </row>
    <row r="583" spans="1:10" ht="17">
      <c r="A583" s="168"/>
      <c r="B583" s="168"/>
      <c r="C583" s="168"/>
      <c r="G583" s="175"/>
      <c r="H583" s="175"/>
      <c r="I583" s="168"/>
      <c r="J583" s="168"/>
    </row>
    <row r="584" spans="1:10" ht="17">
      <c r="A584" s="168"/>
      <c r="B584" s="168"/>
      <c r="C584" s="168"/>
      <c r="G584" s="175"/>
      <c r="H584" s="175"/>
      <c r="I584" s="168"/>
      <c r="J584" s="168"/>
    </row>
    <row r="585" spans="1:10" ht="17">
      <c r="A585" s="168"/>
      <c r="B585" s="168"/>
      <c r="C585" s="168"/>
      <c r="G585" s="175"/>
      <c r="H585" s="175"/>
      <c r="I585" s="168"/>
      <c r="J585" s="168"/>
    </row>
    <row r="586" spans="1:10" ht="17">
      <c r="A586" s="168"/>
      <c r="B586" s="168"/>
      <c r="C586" s="168"/>
      <c r="G586" s="175"/>
      <c r="H586" s="175"/>
      <c r="I586" s="168"/>
      <c r="J586" s="168"/>
    </row>
    <row r="587" spans="1:10" ht="17">
      <c r="A587" s="168"/>
      <c r="B587" s="168"/>
      <c r="C587" s="168"/>
      <c r="G587" s="175"/>
      <c r="H587" s="175"/>
      <c r="I587" s="168"/>
      <c r="J587" s="168"/>
    </row>
    <row r="588" spans="1:10" ht="17">
      <c r="A588" s="168"/>
      <c r="B588" s="168"/>
      <c r="C588" s="168"/>
      <c r="G588" s="175"/>
      <c r="H588" s="175"/>
      <c r="I588" s="168"/>
      <c r="J588" s="168"/>
    </row>
    <row r="589" spans="1:10" ht="17">
      <c r="A589" s="168"/>
      <c r="B589" s="168"/>
      <c r="C589" s="168"/>
      <c r="G589" s="175"/>
      <c r="H589" s="175"/>
      <c r="I589" s="168"/>
      <c r="J589" s="168"/>
    </row>
    <row r="590" spans="1:10" ht="17">
      <c r="A590" s="168"/>
      <c r="B590" s="168"/>
      <c r="C590" s="168"/>
      <c r="G590" s="175"/>
      <c r="H590" s="175"/>
      <c r="I590" s="168"/>
      <c r="J590" s="168"/>
    </row>
    <row r="591" spans="1:10" ht="17">
      <c r="A591" s="168"/>
      <c r="B591" s="168"/>
      <c r="C591" s="168"/>
      <c r="G591" s="175"/>
      <c r="H591" s="175"/>
      <c r="I591" s="168"/>
      <c r="J591" s="168"/>
    </row>
    <row r="592" spans="1:10" ht="17">
      <c r="A592" s="168"/>
      <c r="B592" s="168"/>
      <c r="C592" s="168"/>
      <c r="G592" s="175"/>
      <c r="H592" s="175"/>
      <c r="I592" s="168"/>
      <c r="J592" s="168"/>
    </row>
    <row r="593" spans="1:10" ht="17">
      <c r="A593" s="168"/>
      <c r="B593" s="168"/>
      <c r="C593" s="168"/>
      <c r="G593" s="175"/>
      <c r="H593" s="175"/>
      <c r="I593" s="168"/>
      <c r="J593" s="168"/>
    </row>
    <row r="594" spans="1:10" ht="17">
      <c r="A594" s="168"/>
      <c r="B594" s="168"/>
      <c r="C594" s="168"/>
      <c r="G594" s="175"/>
      <c r="H594" s="175"/>
      <c r="I594" s="168"/>
      <c r="J594" s="168"/>
    </row>
    <row r="595" spans="1:10" ht="17">
      <c r="A595" s="168"/>
      <c r="B595" s="168"/>
      <c r="C595" s="168"/>
      <c r="G595" s="175"/>
      <c r="H595" s="175"/>
      <c r="I595" s="168"/>
      <c r="J595" s="168"/>
    </row>
    <row r="596" spans="1:10" ht="17">
      <c r="A596" s="168"/>
      <c r="B596" s="168"/>
      <c r="C596" s="168"/>
      <c r="G596" s="175"/>
      <c r="H596" s="175"/>
      <c r="I596" s="168"/>
      <c r="J596" s="168"/>
    </row>
    <row r="597" spans="1:10" ht="17">
      <c r="A597" s="168"/>
      <c r="B597" s="168"/>
      <c r="C597" s="168"/>
      <c r="G597" s="175"/>
      <c r="H597" s="175"/>
      <c r="I597" s="168"/>
      <c r="J597" s="168"/>
    </row>
    <row r="598" spans="1:10" ht="17">
      <c r="A598" s="168"/>
      <c r="B598" s="168"/>
      <c r="C598" s="168"/>
      <c r="G598" s="175"/>
      <c r="H598" s="175"/>
      <c r="I598" s="168"/>
      <c r="J598" s="168"/>
    </row>
    <row r="599" spans="1:10" ht="17">
      <c r="A599" s="168"/>
      <c r="B599" s="168"/>
      <c r="C599" s="168"/>
      <c r="G599" s="175"/>
      <c r="H599" s="175"/>
      <c r="I599" s="168"/>
      <c r="J599" s="168"/>
    </row>
    <row r="600" spans="1:10" ht="17">
      <c r="A600" s="168"/>
      <c r="B600" s="168"/>
      <c r="C600" s="168"/>
      <c r="G600" s="175"/>
      <c r="H600" s="175"/>
      <c r="I600" s="168"/>
      <c r="J600" s="168"/>
    </row>
    <row r="601" spans="1:10" ht="17">
      <c r="A601" s="168"/>
      <c r="B601" s="168"/>
      <c r="C601" s="168"/>
      <c r="G601" s="175"/>
      <c r="H601" s="175"/>
      <c r="I601" s="168"/>
      <c r="J601" s="168"/>
    </row>
    <row r="602" spans="1:10" ht="17">
      <c r="A602" s="168"/>
      <c r="B602" s="168"/>
      <c r="C602" s="168"/>
      <c r="G602" s="175"/>
      <c r="H602" s="175"/>
      <c r="I602" s="168"/>
      <c r="J602" s="168"/>
    </row>
    <row r="603" spans="1:10" ht="17">
      <c r="A603" s="168"/>
      <c r="B603" s="168"/>
      <c r="C603" s="168"/>
      <c r="G603" s="175"/>
      <c r="H603" s="175"/>
      <c r="I603" s="168"/>
      <c r="J603" s="168"/>
    </row>
    <row r="604" spans="1:10" ht="17">
      <c r="A604" s="168"/>
      <c r="B604" s="168"/>
      <c r="C604" s="168"/>
      <c r="G604" s="175"/>
      <c r="H604" s="175"/>
      <c r="I604" s="168"/>
      <c r="J604" s="168"/>
    </row>
    <row r="605" spans="1:10" ht="17">
      <c r="A605" s="168"/>
      <c r="B605" s="168"/>
      <c r="C605" s="168"/>
      <c r="G605" s="175"/>
      <c r="H605" s="175"/>
      <c r="I605" s="168"/>
      <c r="J605" s="168"/>
    </row>
    <row r="606" spans="1:10" ht="17">
      <c r="A606" s="168"/>
      <c r="B606" s="168"/>
      <c r="C606" s="168"/>
      <c r="G606" s="175"/>
      <c r="H606" s="175"/>
      <c r="I606" s="168"/>
      <c r="J606" s="168"/>
    </row>
    <row r="607" spans="1:10" ht="17">
      <c r="A607" s="168"/>
      <c r="B607" s="168"/>
      <c r="C607" s="168"/>
      <c r="G607" s="175"/>
      <c r="H607" s="175"/>
      <c r="I607" s="168"/>
      <c r="J607" s="168"/>
    </row>
    <row r="608" spans="1:10" ht="17">
      <c r="A608" s="168"/>
      <c r="B608" s="168"/>
      <c r="C608" s="168"/>
      <c r="G608" s="175"/>
      <c r="H608" s="175"/>
      <c r="I608" s="168"/>
      <c r="J608" s="168"/>
    </row>
    <row r="609" spans="1:10" ht="17">
      <c r="A609" s="168"/>
      <c r="B609" s="168"/>
      <c r="C609" s="168"/>
      <c r="G609" s="175"/>
      <c r="H609" s="175"/>
      <c r="I609" s="168"/>
      <c r="J609" s="168"/>
    </row>
    <row r="610" spans="1:10" ht="17">
      <c r="A610" s="168"/>
      <c r="B610" s="168"/>
      <c r="C610" s="168"/>
      <c r="G610" s="175"/>
      <c r="H610" s="175"/>
      <c r="I610" s="168"/>
      <c r="J610" s="168"/>
    </row>
    <row r="611" spans="1:10" ht="17">
      <c r="A611" s="168"/>
      <c r="B611" s="168"/>
      <c r="C611" s="168"/>
      <c r="G611" s="175"/>
      <c r="H611" s="175"/>
      <c r="I611" s="168"/>
      <c r="J611" s="168"/>
    </row>
    <row r="612" spans="1:10" ht="17">
      <c r="A612" s="168"/>
      <c r="B612" s="168"/>
      <c r="C612" s="168"/>
      <c r="G612" s="175"/>
      <c r="H612" s="175"/>
      <c r="I612" s="168"/>
      <c r="J612" s="168"/>
    </row>
    <row r="613" spans="1:10" ht="17">
      <c r="A613" s="168"/>
      <c r="B613" s="168"/>
      <c r="C613" s="168"/>
      <c r="G613" s="175"/>
      <c r="H613" s="175"/>
      <c r="I613" s="168"/>
      <c r="J613" s="168"/>
    </row>
    <row r="614" spans="1:10" ht="17">
      <c r="A614" s="168"/>
      <c r="B614" s="168"/>
      <c r="C614" s="168"/>
      <c r="G614" s="175"/>
      <c r="H614" s="175"/>
      <c r="I614" s="168"/>
      <c r="J614" s="168"/>
    </row>
    <row r="615" spans="1:10" ht="17">
      <c r="A615" s="168"/>
      <c r="B615" s="168"/>
      <c r="C615" s="168"/>
      <c r="G615" s="175"/>
      <c r="H615" s="175"/>
      <c r="I615" s="168"/>
      <c r="J615" s="168"/>
    </row>
    <row r="616" spans="1:10" ht="17">
      <c r="A616" s="168"/>
      <c r="B616" s="168"/>
      <c r="C616" s="168"/>
      <c r="G616" s="175"/>
      <c r="H616" s="175"/>
      <c r="I616" s="168"/>
      <c r="J616" s="168"/>
    </row>
    <row r="617" spans="1:10" ht="17">
      <c r="A617" s="168"/>
      <c r="B617" s="168"/>
      <c r="C617" s="168"/>
      <c r="G617" s="175"/>
      <c r="H617" s="175"/>
      <c r="I617" s="168"/>
      <c r="J617" s="168"/>
    </row>
    <row r="618" spans="1:10" ht="17">
      <c r="A618" s="168"/>
      <c r="B618" s="168"/>
      <c r="C618" s="168"/>
      <c r="G618" s="175"/>
      <c r="H618" s="175"/>
      <c r="I618" s="168"/>
      <c r="J618" s="168"/>
    </row>
    <row r="619" spans="1:10" ht="17">
      <c r="A619" s="168"/>
      <c r="B619" s="168"/>
      <c r="C619" s="168"/>
      <c r="G619" s="175"/>
      <c r="H619" s="175"/>
      <c r="I619" s="168"/>
      <c r="J619" s="168"/>
    </row>
    <row r="620" spans="1:10" ht="17">
      <c r="A620" s="168"/>
      <c r="B620" s="168"/>
      <c r="C620" s="168"/>
      <c r="G620" s="175"/>
      <c r="H620" s="175"/>
      <c r="I620" s="168"/>
      <c r="J620" s="168"/>
    </row>
    <row r="621" spans="1:10" ht="17">
      <c r="A621" s="168"/>
      <c r="B621" s="168"/>
      <c r="C621" s="168"/>
      <c r="G621" s="175"/>
      <c r="H621" s="175"/>
      <c r="I621" s="168"/>
      <c r="J621" s="168"/>
    </row>
    <row r="622" spans="1:10" ht="17">
      <c r="A622" s="168"/>
      <c r="B622" s="168"/>
      <c r="C622" s="168"/>
      <c r="G622" s="175"/>
      <c r="H622" s="175"/>
      <c r="I622" s="168"/>
      <c r="J622" s="168"/>
    </row>
    <row r="623" spans="1:10" ht="17">
      <c r="A623" s="168"/>
      <c r="B623" s="168"/>
      <c r="C623" s="168"/>
      <c r="G623" s="175"/>
      <c r="H623" s="175"/>
      <c r="I623" s="168"/>
      <c r="J623" s="168"/>
    </row>
    <row r="624" spans="1:10" ht="17">
      <c r="A624" s="168"/>
      <c r="B624" s="168"/>
      <c r="C624" s="168"/>
      <c r="G624" s="175"/>
      <c r="H624" s="175"/>
      <c r="I624" s="168"/>
      <c r="J624" s="168"/>
    </row>
    <row r="625" spans="1:10" ht="17">
      <c r="A625" s="168"/>
      <c r="B625" s="168"/>
      <c r="C625" s="168"/>
      <c r="G625" s="175"/>
      <c r="H625" s="175"/>
      <c r="I625" s="168"/>
      <c r="J625" s="168"/>
    </row>
    <row r="626" spans="1:10" ht="17">
      <c r="A626" s="168"/>
      <c r="B626" s="168"/>
      <c r="C626" s="168"/>
      <c r="G626" s="175"/>
      <c r="H626" s="175"/>
      <c r="I626" s="168"/>
      <c r="J626" s="168"/>
    </row>
    <row r="627" spans="1:10" ht="17">
      <c r="A627" s="168"/>
      <c r="B627" s="168"/>
      <c r="C627" s="168"/>
      <c r="G627" s="175"/>
      <c r="H627" s="175"/>
      <c r="I627" s="168"/>
      <c r="J627" s="168"/>
    </row>
    <row r="628" spans="1:10" ht="17">
      <c r="A628" s="168"/>
      <c r="B628" s="168"/>
      <c r="C628" s="168"/>
      <c r="G628" s="175"/>
      <c r="H628" s="175"/>
      <c r="I628" s="168"/>
      <c r="J628" s="168"/>
    </row>
    <row r="629" spans="1:10" ht="17">
      <c r="A629" s="168"/>
      <c r="B629" s="168"/>
      <c r="C629" s="168"/>
      <c r="G629" s="175"/>
      <c r="H629" s="175"/>
      <c r="I629" s="168"/>
      <c r="J629" s="168"/>
    </row>
    <row r="630" spans="1:10" ht="17">
      <c r="A630" s="168"/>
      <c r="B630" s="168"/>
      <c r="C630" s="168"/>
      <c r="G630" s="175"/>
      <c r="H630" s="175"/>
      <c r="I630" s="168"/>
      <c r="J630" s="168"/>
    </row>
    <row r="631" spans="1:10" ht="17">
      <c r="A631" s="168"/>
      <c r="B631" s="168"/>
      <c r="C631" s="168"/>
      <c r="G631" s="175"/>
      <c r="H631" s="175"/>
      <c r="I631" s="168"/>
      <c r="J631" s="168"/>
    </row>
    <row r="632" spans="1:10" ht="17">
      <c r="A632" s="168"/>
      <c r="B632" s="168"/>
      <c r="C632" s="168"/>
      <c r="G632" s="175"/>
      <c r="H632" s="175"/>
      <c r="I632" s="168"/>
      <c r="J632" s="168"/>
    </row>
    <row r="633" spans="1:10" ht="17">
      <c r="A633" s="168"/>
      <c r="B633" s="168"/>
      <c r="C633" s="168"/>
      <c r="G633" s="175"/>
      <c r="H633" s="175"/>
      <c r="I633" s="168"/>
      <c r="J633" s="168"/>
    </row>
    <row r="634" spans="1:10" ht="17">
      <c r="A634" s="168"/>
      <c r="B634" s="168"/>
      <c r="C634" s="168"/>
      <c r="G634" s="175"/>
      <c r="H634" s="175"/>
      <c r="I634" s="168"/>
      <c r="J634" s="168"/>
    </row>
    <row r="635" spans="1:10" ht="17">
      <c r="A635" s="168"/>
      <c r="B635" s="168"/>
      <c r="C635" s="168"/>
      <c r="G635" s="175"/>
      <c r="H635" s="175"/>
      <c r="I635" s="168"/>
      <c r="J635" s="168"/>
    </row>
    <row r="636" spans="1:10" ht="17">
      <c r="A636" s="168"/>
      <c r="B636" s="168"/>
      <c r="C636" s="168"/>
      <c r="G636" s="175"/>
      <c r="H636" s="175"/>
      <c r="I636" s="168"/>
      <c r="J636" s="168"/>
    </row>
    <row r="637" spans="1:10" ht="17">
      <c r="A637" s="168"/>
      <c r="B637" s="168"/>
      <c r="C637" s="168"/>
      <c r="G637" s="175"/>
      <c r="H637" s="175"/>
      <c r="I637" s="168"/>
      <c r="J637" s="168"/>
    </row>
    <row r="638" spans="1:10" ht="17">
      <c r="A638" s="168"/>
      <c r="B638" s="168"/>
      <c r="C638" s="168"/>
      <c r="G638" s="175"/>
      <c r="H638" s="175"/>
      <c r="I638" s="168"/>
      <c r="J638" s="168"/>
    </row>
    <row r="639" spans="1:10" ht="17">
      <c r="A639" s="168"/>
      <c r="B639" s="168"/>
      <c r="C639" s="168"/>
      <c r="G639" s="175"/>
      <c r="H639" s="175"/>
      <c r="I639" s="168"/>
      <c r="J639" s="168"/>
    </row>
    <row r="640" spans="1:10" ht="17">
      <c r="A640" s="168"/>
      <c r="B640" s="168"/>
      <c r="C640" s="168"/>
      <c r="G640" s="175"/>
      <c r="H640" s="175"/>
      <c r="I640" s="168"/>
      <c r="J640" s="168"/>
    </row>
    <row r="641" spans="1:10" ht="17">
      <c r="A641" s="168"/>
      <c r="B641" s="168"/>
      <c r="C641" s="168"/>
      <c r="G641" s="175"/>
      <c r="H641" s="175"/>
      <c r="I641" s="168"/>
      <c r="J641" s="168"/>
    </row>
    <row r="642" spans="1:10" ht="17">
      <c r="A642" s="168"/>
      <c r="B642" s="168"/>
      <c r="C642" s="168"/>
      <c r="G642" s="175"/>
      <c r="H642" s="175"/>
      <c r="I642" s="168"/>
      <c r="J642" s="168"/>
    </row>
    <row r="643" spans="1:10" ht="17">
      <c r="A643" s="168"/>
      <c r="B643" s="168"/>
      <c r="C643" s="168"/>
      <c r="G643" s="175"/>
      <c r="H643" s="175"/>
      <c r="I643" s="168"/>
      <c r="J643" s="168"/>
    </row>
    <row r="644" spans="1:10" ht="17">
      <c r="A644" s="168"/>
      <c r="B644" s="168"/>
      <c r="C644" s="168"/>
      <c r="G644" s="175"/>
      <c r="H644" s="175"/>
      <c r="I644" s="168"/>
      <c r="J644" s="168"/>
    </row>
    <row r="645" spans="1:10" ht="17">
      <c r="A645" s="168"/>
      <c r="B645" s="168"/>
      <c r="C645" s="168"/>
      <c r="G645" s="175"/>
      <c r="H645" s="175"/>
      <c r="I645" s="168"/>
      <c r="J645" s="168"/>
    </row>
    <row r="646" spans="1:10" ht="17">
      <c r="A646" s="168"/>
      <c r="B646" s="168"/>
      <c r="C646" s="168"/>
      <c r="G646" s="175"/>
      <c r="H646" s="175"/>
      <c r="I646" s="168"/>
      <c r="J646" s="168"/>
    </row>
    <row r="647" spans="1:10" ht="17">
      <c r="A647" s="168"/>
      <c r="B647" s="168"/>
      <c r="C647" s="168"/>
      <c r="G647" s="175"/>
      <c r="H647" s="175"/>
      <c r="I647" s="168"/>
      <c r="J647" s="168"/>
    </row>
    <row r="648" spans="1:10" ht="17">
      <c r="A648" s="168"/>
      <c r="B648" s="168"/>
      <c r="C648" s="168"/>
      <c r="G648" s="175"/>
      <c r="H648" s="175"/>
      <c r="I648" s="168"/>
      <c r="J648" s="168"/>
    </row>
    <row r="649" spans="1:10" ht="17">
      <c r="A649" s="168"/>
      <c r="B649" s="168"/>
      <c r="C649" s="168"/>
      <c r="G649" s="175"/>
      <c r="H649" s="175"/>
      <c r="I649" s="168"/>
      <c r="J649" s="168"/>
    </row>
    <row r="650" spans="1:10" ht="17">
      <c r="A650" s="168"/>
      <c r="B650" s="168"/>
      <c r="C650" s="168"/>
      <c r="G650" s="175"/>
      <c r="H650" s="175"/>
      <c r="I650" s="168"/>
      <c r="J650" s="168"/>
    </row>
    <row r="651" spans="1:10" ht="17">
      <c r="A651" s="168"/>
      <c r="B651" s="168"/>
      <c r="C651" s="168"/>
      <c r="G651" s="175"/>
      <c r="H651" s="175"/>
      <c r="I651" s="168"/>
      <c r="J651" s="168"/>
    </row>
    <row r="652" spans="1:10" ht="17">
      <c r="A652" s="168"/>
      <c r="B652" s="168"/>
      <c r="C652" s="168"/>
      <c r="G652" s="175"/>
      <c r="H652" s="175"/>
      <c r="I652" s="168"/>
      <c r="J652" s="168"/>
    </row>
    <row r="653" spans="1:10" ht="17">
      <c r="A653" s="168"/>
      <c r="B653" s="168"/>
      <c r="C653" s="168"/>
      <c r="G653" s="175"/>
      <c r="H653" s="175"/>
      <c r="I653" s="168"/>
      <c r="J653" s="168"/>
    </row>
    <row r="654" spans="1:10" ht="17">
      <c r="A654" s="168"/>
      <c r="B654" s="168"/>
      <c r="C654" s="168"/>
      <c r="G654" s="175"/>
      <c r="H654" s="175"/>
      <c r="I654" s="168"/>
      <c r="J654" s="168"/>
    </row>
    <row r="655" spans="1:10" ht="17">
      <c r="A655" s="168"/>
      <c r="B655" s="168"/>
      <c r="C655" s="168"/>
      <c r="G655" s="175"/>
      <c r="H655" s="175"/>
      <c r="I655" s="168"/>
      <c r="J655" s="168"/>
    </row>
    <row r="656" spans="1:10" ht="17">
      <c r="A656" s="168"/>
      <c r="B656" s="168"/>
      <c r="C656" s="168"/>
      <c r="G656" s="175"/>
      <c r="H656" s="175"/>
      <c r="I656" s="168"/>
      <c r="J656" s="168"/>
    </row>
    <row r="657" spans="1:10" ht="17">
      <c r="A657" s="168"/>
      <c r="B657" s="168"/>
      <c r="C657" s="168"/>
      <c r="G657" s="175"/>
      <c r="H657" s="175"/>
      <c r="I657" s="168"/>
      <c r="J657" s="168"/>
    </row>
    <row r="658" spans="1:10" ht="17">
      <c r="A658" s="168"/>
      <c r="B658" s="168"/>
      <c r="C658" s="168"/>
      <c r="G658" s="175"/>
      <c r="H658" s="175"/>
      <c r="I658" s="168"/>
      <c r="J658" s="168"/>
    </row>
    <row r="659" spans="1:10" ht="17">
      <c r="A659" s="168"/>
      <c r="B659" s="168"/>
      <c r="C659" s="168"/>
      <c r="G659" s="175"/>
      <c r="H659" s="175"/>
      <c r="I659" s="168"/>
      <c r="J659" s="168"/>
    </row>
    <row r="660" spans="1:10" ht="17">
      <c r="A660" s="168"/>
      <c r="B660" s="168"/>
      <c r="C660" s="168"/>
      <c r="G660" s="175"/>
      <c r="H660" s="175"/>
      <c r="I660" s="168"/>
      <c r="J660" s="168"/>
    </row>
    <row r="661" spans="1:10" ht="17">
      <c r="A661" s="168"/>
      <c r="B661" s="168"/>
      <c r="C661" s="168"/>
      <c r="G661" s="175"/>
      <c r="H661" s="175"/>
      <c r="I661" s="168"/>
      <c r="J661" s="168"/>
    </row>
    <row r="662" spans="1:10" ht="17">
      <c r="A662" s="168"/>
      <c r="B662" s="168"/>
      <c r="C662" s="168"/>
      <c r="G662" s="175"/>
      <c r="H662" s="175"/>
      <c r="I662" s="168"/>
      <c r="J662" s="168"/>
    </row>
    <row r="663" spans="1:10" ht="17">
      <c r="A663" s="168"/>
      <c r="B663" s="168"/>
      <c r="C663" s="168"/>
      <c r="G663" s="175"/>
      <c r="H663" s="175"/>
      <c r="I663" s="168"/>
      <c r="J663" s="168"/>
    </row>
    <row r="664" spans="1:10" ht="17">
      <c r="A664" s="168"/>
      <c r="B664" s="168"/>
      <c r="C664" s="168"/>
      <c r="G664" s="175"/>
      <c r="H664" s="175"/>
      <c r="I664" s="168"/>
      <c r="J664" s="168"/>
    </row>
    <row r="665" spans="1:10" ht="17">
      <c r="A665" s="168"/>
      <c r="B665" s="168"/>
      <c r="C665" s="168"/>
      <c r="G665" s="175"/>
      <c r="H665" s="175"/>
      <c r="I665" s="168"/>
      <c r="J665" s="168"/>
    </row>
    <row r="666" spans="1:10" ht="17">
      <c r="A666" s="168"/>
      <c r="B666" s="168"/>
      <c r="C666" s="168"/>
      <c r="G666" s="175"/>
      <c r="H666" s="175"/>
      <c r="I666" s="168"/>
      <c r="J666" s="168"/>
    </row>
    <row r="667" spans="1:10" ht="17">
      <c r="A667" s="168"/>
      <c r="B667" s="168"/>
      <c r="C667" s="168"/>
      <c r="G667" s="175"/>
      <c r="H667" s="175"/>
      <c r="I667" s="168"/>
      <c r="J667" s="168"/>
    </row>
    <row r="668" spans="1:10" ht="17">
      <c r="A668" s="168"/>
      <c r="B668" s="168"/>
      <c r="C668" s="168"/>
      <c r="G668" s="175"/>
      <c r="H668" s="175"/>
      <c r="I668" s="168"/>
      <c r="J668" s="168"/>
    </row>
    <row r="669" spans="1:10" ht="17">
      <c r="A669" s="168"/>
      <c r="B669" s="168"/>
      <c r="C669" s="168"/>
      <c r="G669" s="175"/>
      <c r="H669" s="175"/>
      <c r="I669" s="168"/>
      <c r="J669" s="168"/>
    </row>
    <row r="670" spans="1:10" ht="17">
      <c r="A670" s="168"/>
      <c r="B670" s="168"/>
      <c r="C670" s="168"/>
      <c r="G670" s="175"/>
      <c r="H670" s="175"/>
      <c r="I670" s="168"/>
      <c r="J670" s="168"/>
    </row>
    <row r="671" spans="1:10" ht="17">
      <c r="A671" s="168"/>
      <c r="B671" s="168"/>
      <c r="C671" s="168"/>
      <c r="G671" s="175"/>
      <c r="H671" s="175"/>
      <c r="I671" s="168"/>
      <c r="J671" s="168"/>
    </row>
    <row r="672" spans="1:10" ht="17">
      <c r="A672" s="168"/>
      <c r="B672" s="168"/>
      <c r="C672" s="168"/>
      <c r="G672" s="175"/>
      <c r="H672" s="175"/>
      <c r="I672" s="168"/>
      <c r="J672" s="168"/>
    </row>
    <row r="673" spans="1:10" ht="17">
      <c r="A673" s="168"/>
      <c r="B673" s="168"/>
      <c r="C673" s="168"/>
      <c r="G673" s="175"/>
      <c r="H673" s="175"/>
      <c r="I673" s="168"/>
      <c r="J673" s="168"/>
    </row>
    <row r="674" spans="1:10" ht="17">
      <c r="A674" s="168"/>
      <c r="B674" s="168"/>
      <c r="C674" s="168"/>
      <c r="G674" s="175"/>
      <c r="H674" s="175"/>
      <c r="I674" s="168"/>
      <c r="J674" s="168"/>
    </row>
    <row r="675" spans="1:10" ht="17">
      <c r="A675" s="168"/>
      <c r="B675" s="168"/>
      <c r="C675" s="168"/>
      <c r="G675" s="175"/>
      <c r="H675" s="175"/>
      <c r="I675" s="168"/>
      <c r="J675" s="168"/>
    </row>
    <row r="676" spans="1:10" ht="17">
      <c r="A676" s="168"/>
      <c r="B676" s="168"/>
      <c r="C676" s="168"/>
      <c r="G676" s="175"/>
      <c r="H676" s="175"/>
      <c r="I676" s="168"/>
      <c r="J676" s="168"/>
    </row>
    <row r="677" spans="1:10" ht="17">
      <c r="A677" s="168"/>
      <c r="B677" s="168"/>
      <c r="C677" s="168"/>
      <c r="G677" s="175"/>
      <c r="H677" s="175"/>
      <c r="I677" s="168"/>
      <c r="J677" s="168"/>
    </row>
    <row r="678" spans="1:10" ht="17">
      <c r="A678" s="168"/>
      <c r="B678" s="168"/>
      <c r="C678" s="168"/>
      <c r="G678" s="175"/>
      <c r="H678" s="175"/>
      <c r="I678" s="168"/>
      <c r="J678" s="168"/>
    </row>
    <row r="679" spans="1:10" ht="17">
      <c r="A679" s="168"/>
      <c r="B679" s="168"/>
      <c r="C679" s="168"/>
      <c r="G679" s="175"/>
      <c r="H679" s="175"/>
      <c r="I679" s="168"/>
      <c r="J679" s="168"/>
    </row>
    <row r="680" spans="1:10" ht="17">
      <c r="A680" s="168"/>
      <c r="B680" s="168"/>
      <c r="C680" s="168"/>
      <c r="G680" s="175"/>
      <c r="H680" s="175"/>
      <c r="I680" s="168"/>
      <c r="J680" s="168"/>
    </row>
    <row r="681" spans="1:10" ht="17">
      <c r="A681" s="168"/>
      <c r="B681" s="168"/>
      <c r="C681" s="168"/>
      <c r="G681" s="175"/>
      <c r="H681" s="175"/>
      <c r="I681" s="168"/>
      <c r="J681" s="168"/>
    </row>
    <row r="682" spans="1:10" ht="17">
      <c r="A682" s="168"/>
      <c r="B682" s="168"/>
      <c r="C682" s="168"/>
      <c r="G682" s="175"/>
      <c r="H682" s="175"/>
      <c r="I682" s="168"/>
      <c r="J682" s="168"/>
    </row>
    <row r="683" spans="1:10" ht="17">
      <c r="A683" s="168"/>
      <c r="B683" s="168"/>
      <c r="C683" s="168"/>
      <c r="G683" s="175"/>
      <c r="H683" s="175"/>
      <c r="I683" s="168"/>
      <c r="J683" s="168"/>
    </row>
    <row r="684" spans="1:10" ht="17">
      <c r="A684" s="168"/>
      <c r="B684" s="168"/>
      <c r="C684" s="168"/>
      <c r="G684" s="175"/>
      <c r="H684" s="175"/>
      <c r="I684" s="168"/>
      <c r="J684" s="168"/>
    </row>
    <row r="685" spans="1:10" ht="17">
      <c r="A685" s="168"/>
      <c r="B685" s="168"/>
      <c r="C685" s="168"/>
      <c r="G685" s="175"/>
      <c r="H685" s="175"/>
      <c r="I685" s="168"/>
      <c r="J685" s="168"/>
    </row>
    <row r="686" spans="1:10" ht="17">
      <c r="A686" s="168"/>
      <c r="B686" s="168"/>
      <c r="C686" s="168"/>
      <c r="G686" s="175"/>
      <c r="H686" s="175"/>
      <c r="I686" s="168"/>
      <c r="J686" s="168"/>
    </row>
    <row r="687" spans="1:10" ht="17">
      <c r="A687" s="168"/>
      <c r="B687" s="168"/>
      <c r="C687" s="168"/>
      <c r="G687" s="175"/>
      <c r="H687" s="175"/>
      <c r="I687" s="168"/>
      <c r="J687" s="168"/>
    </row>
    <row r="688" spans="1:10" ht="17">
      <c r="A688" s="168"/>
      <c r="B688" s="168"/>
      <c r="C688" s="168"/>
      <c r="G688" s="175"/>
      <c r="H688" s="175"/>
      <c r="I688" s="168"/>
      <c r="J688" s="168"/>
    </row>
    <row r="689" spans="1:10" ht="17">
      <c r="A689" s="168"/>
      <c r="B689" s="168"/>
      <c r="C689" s="168"/>
      <c r="G689" s="175"/>
      <c r="H689" s="175"/>
      <c r="I689" s="168"/>
      <c r="J689" s="168"/>
    </row>
    <row r="690" spans="1:10" ht="17">
      <c r="A690" s="168"/>
      <c r="B690" s="168"/>
      <c r="C690" s="168"/>
      <c r="G690" s="175"/>
      <c r="H690" s="175"/>
      <c r="I690" s="168"/>
      <c r="J690" s="168"/>
    </row>
    <row r="691" spans="1:10" ht="17">
      <c r="A691" s="168"/>
      <c r="B691" s="168"/>
      <c r="C691" s="168"/>
      <c r="G691" s="175"/>
      <c r="H691" s="175"/>
      <c r="I691" s="168"/>
      <c r="J691" s="168"/>
    </row>
    <row r="692" spans="1:10" ht="17">
      <c r="A692" s="168"/>
      <c r="B692" s="168"/>
      <c r="C692" s="168"/>
      <c r="G692" s="175"/>
      <c r="H692" s="175"/>
      <c r="I692" s="168"/>
      <c r="J692" s="168"/>
    </row>
    <row r="693" spans="1:10" ht="17">
      <c r="A693" s="168"/>
      <c r="B693" s="168"/>
      <c r="C693" s="168"/>
      <c r="G693" s="175"/>
      <c r="H693" s="175"/>
      <c r="I693" s="168"/>
      <c r="J693" s="168"/>
    </row>
    <row r="694" spans="1:10" ht="17">
      <c r="A694" s="168"/>
      <c r="B694" s="168"/>
      <c r="C694" s="168"/>
      <c r="G694" s="175"/>
      <c r="H694" s="175"/>
      <c r="I694" s="168"/>
      <c r="J694" s="168"/>
    </row>
    <row r="695" spans="1:10" ht="17">
      <c r="A695" s="168"/>
      <c r="B695" s="168"/>
      <c r="C695" s="168"/>
      <c r="G695" s="175"/>
      <c r="H695" s="175"/>
      <c r="I695" s="168"/>
      <c r="J695" s="168"/>
    </row>
    <row r="696" spans="1:10" ht="17">
      <c r="A696" s="168"/>
      <c r="B696" s="168"/>
      <c r="C696" s="168"/>
      <c r="G696" s="175"/>
      <c r="H696" s="175"/>
      <c r="I696" s="168"/>
      <c r="J696" s="168"/>
    </row>
    <row r="697" spans="1:10" ht="17">
      <c r="A697" s="168"/>
      <c r="B697" s="168"/>
      <c r="C697" s="168"/>
      <c r="G697" s="175"/>
      <c r="H697" s="175"/>
      <c r="I697" s="168"/>
      <c r="J697" s="168"/>
    </row>
    <row r="698" spans="1:10" ht="17">
      <c r="A698" s="168"/>
      <c r="B698" s="168"/>
      <c r="C698" s="168"/>
      <c r="G698" s="175"/>
      <c r="H698" s="175"/>
      <c r="I698" s="168"/>
      <c r="J698" s="168"/>
    </row>
    <row r="699" spans="1:10" ht="17">
      <c r="A699" s="168"/>
      <c r="B699" s="168"/>
      <c r="C699" s="168"/>
      <c r="G699" s="175"/>
      <c r="H699" s="175"/>
      <c r="I699" s="168"/>
      <c r="J699" s="168"/>
    </row>
    <row r="700" spans="1:10" ht="17">
      <c r="A700" s="168"/>
      <c r="B700" s="168"/>
      <c r="C700" s="168"/>
      <c r="G700" s="175"/>
      <c r="H700" s="175"/>
      <c r="I700" s="168"/>
      <c r="J700" s="168"/>
    </row>
    <row r="701" spans="1:10" ht="17">
      <c r="A701" s="168"/>
      <c r="B701" s="168"/>
      <c r="C701" s="168"/>
      <c r="G701" s="175"/>
      <c r="H701" s="175"/>
      <c r="I701" s="168"/>
      <c r="J701" s="168"/>
    </row>
    <row r="702" spans="1:10" ht="17">
      <c r="A702" s="168"/>
      <c r="B702" s="168"/>
      <c r="C702" s="168"/>
      <c r="G702" s="175"/>
      <c r="H702" s="175"/>
      <c r="I702" s="168"/>
      <c r="J702" s="168"/>
    </row>
    <row r="703" spans="1:10" ht="17">
      <c r="A703" s="168"/>
      <c r="B703" s="168"/>
      <c r="C703" s="168"/>
      <c r="G703" s="175"/>
      <c r="H703" s="175"/>
      <c r="I703" s="168"/>
      <c r="J703" s="168"/>
    </row>
    <row r="704" spans="1:10" ht="17">
      <c r="A704" s="168"/>
      <c r="B704" s="168"/>
      <c r="C704" s="168"/>
      <c r="G704" s="175"/>
      <c r="H704" s="175"/>
      <c r="I704" s="168"/>
      <c r="J704" s="168"/>
    </row>
    <row r="705" spans="1:10" ht="17">
      <c r="A705" s="168"/>
      <c r="B705" s="168"/>
      <c r="C705" s="168"/>
      <c r="G705" s="175"/>
      <c r="H705" s="175"/>
      <c r="I705" s="168"/>
      <c r="J705" s="168"/>
    </row>
    <row r="706" spans="1:10" ht="17">
      <c r="A706" s="168"/>
      <c r="B706" s="168"/>
      <c r="C706" s="168"/>
      <c r="G706" s="175"/>
      <c r="H706" s="175"/>
      <c r="I706" s="168"/>
      <c r="J706" s="168"/>
    </row>
    <row r="707" spans="1:10" ht="17">
      <c r="A707" s="168"/>
      <c r="B707" s="168"/>
      <c r="C707" s="168"/>
      <c r="G707" s="175"/>
      <c r="H707" s="175"/>
      <c r="I707" s="168"/>
      <c r="J707" s="168"/>
    </row>
    <row r="708" spans="1:10" ht="17">
      <c r="A708" s="168"/>
      <c r="B708" s="168"/>
      <c r="C708" s="168"/>
      <c r="G708" s="175"/>
      <c r="H708" s="175"/>
      <c r="I708" s="168"/>
      <c r="J708" s="168"/>
    </row>
    <row r="709" spans="1:10" ht="17">
      <c r="A709" s="168"/>
      <c r="B709" s="168"/>
      <c r="C709" s="168"/>
      <c r="G709" s="175"/>
      <c r="H709" s="175"/>
      <c r="I709" s="168"/>
      <c r="J709" s="168"/>
    </row>
    <row r="710" spans="1:10" ht="17">
      <c r="A710" s="168"/>
      <c r="B710" s="168"/>
      <c r="C710" s="168"/>
      <c r="G710" s="175"/>
      <c r="H710" s="175"/>
      <c r="I710" s="168"/>
      <c r="J710" s="168"/>
    </row>
    <row r="711" spans="1:10" ht="17">
      <c r="A711" s="168"/>
      <c r="B711" s="168"/>
      <c r="C711" s="168"/>
      <c r="G711" s="175"/>
      <c r="H711" s="175"/>
      <c r="I711" s="168"/>
      <c r="J711" s="168"/>
    </row>
    <row r="712" spans="1:10" ht="17">
      <c r="A712" s="168"/>
      <c r="B712" s="168"/>
      <c r="C712" s="168"/>
      <c r="G712" s="175"/>
      <c r="H712" s="175"/>
      <c r="I712" s="168"/>
      <c r="J712" s="168"/>
    </row>
    <row r="713" spans="1:10" ht="17">
      <c r="A713" s="168"/>
      <c r="B713" s="168"/>
      <c r="C713" s="168"/>
      <c r="G713" s="175"/>
      <c r="H713" s="175"/>
      <c r="I713" s="168"/>
      <c r="J713" s="168"/>
    </row>
    <row r="714" spans="1:10" ht="17">
      <c r="A714" s="168"/>
      <c r="B714" s="168"/>
      <c r="C714" s="168"/>
      <c r="G714" s="175"/>
      <c r="H714" s="175"/>
      <c r="I714" s="168"/>
      <c r="J714" s="168"/>
    </row>
    <row r="715" spans="1:10" ht="17">
      <c r="A715" s="168"/>
      <c r="B715" s="168"/>
      <c r="C715" s="168"/>
      <c r="G715" s="175"/>
      <c r="H715" s="175"/>
      <c r="I715" s="168"/>
      <c r="J715" s="168"/>
    </row>
    <row r="716" spans="1:10" ht="17">
      <c r="A716" s="168"/>
      <c r="B716" s="168"/>
      <c r="C716" s="168"/>
      <c r="G716" s="175"/>
      <c r="H716" s="175"/>
      <c r="I716" s="168"/>
      <c r="J716" s="168"/>
    </row>
    <row r="717" spans="1:10" ht="17">
      <c r="A717" s="168"/>
      <c r="B717" s="168"/>
      <c r="C717" s="168"/>
      <c r="G717" s="175"/>
      <c r="H717" s="175"/>
      <c r="I717" s="168"/>
      <c r="J717" s="168"/>
    </row>
    <row r="718" spans="1:10" ht="17">
      <c r="A718" s="168"/>
      <c r="B718" s="168"/>
      <c r="C718" s="168"/>
      <c r="G718" s="175"/>
      <c r="H718" s="175"/>
      <c r="I718" s="168"/>
      <c r="J718" s="168"/>
    </row>
    <row r="719" spans="1:10" ht="17">
      <c r="A719" s="168"/>
      <c r="B719" s="168"/>
      <c r="C719" s="168"/>
      <c r="G719" s="175"/>
      <c r="H719" s="175"/>
      <c r="I719" s="168"/>
      <c r="J719" s="168"/>
    </row>
    <row r="720" spans="1:10" ht="17">
      <c r="A720" s="168"/>
      <c r="B720" s="168"/>
      <c r="C720" s="168"/>
      <c r="G720" s="175"/>
      <c r="H720" s="175"/>
      <c r="I720" s="168"/>
      <c r="J720" s="168"/>
    </row>
    <row r="721" spans="1:10" ht="17">
      <c r="A721" s="168"/>
      <c r="B721" s="168"/>
      <c r="C721" s="168"/>
      <c r="G721" s="175"/>
      <c r="H721" s="175"/>
      <c r="I721" s="168"/>
      <c r="J721" s="168"/>
    </row>
    <row r="722" spans="1:10" ht="17">
      <c r="A722" s="168"/>
      <c r="B722" s="168"/>
      <c r="C722" s="168"/>
      <c r="G722" s="175"/>
      <c r="H722" s="175"/>
      <c r="I722" s="168"/>
      <c r="J722" s="168"/>
    </row>
    <row r="723" spans="1:10" ht="17">
      <c r="A723" s="168"/>
      <c r="B723" s="168"/>
      <c r="C723" s="168"/>
      <c r="G723" s="175"/>
      <c r="H723" s="175"/>
      <c r="I723" s="168"/>
      <c r="J723" s="168"/>
    </row>
    <row r="724" spans="1:10" ht="17">
      <c r="A724" s="168"/>
      <c r="B724" s="168"/>
      <c r="C724" s="168"/>
      <c r="G724" s="175"/>
      <c r="H724" s="175"/>
      <c r="I724" s="168"/>
      <c r="J724" s="168"/>
    </row>
    <row r="725" spans="1:10" ht="17">
      <c r="A725" s="168"/>
      <c r="B725" s="168"/>
      <c r="C725" s="168"/>
      <c r="G725" s="175"/>
      <c r="H725" s="175"/>
      <c r="I725" s="168"/>
      <c r="J725" s="168"/>
    </row>
    <row r="726" spans="1:10" ht="17">
      <c r="A726" s="168"/>
      <c r="B726" s="168"/>
      <c r="C726" s="168"/>
      <c r="G726" s="175"/>
      <c r="H726" s="175"/>
      <c r="I726" s="168"/>
      <c r="J726" s="168"/>
    </row>
    <row r="727" spans="1:10" ht="17">
      <c r="A727" s="168"/>
      <c r="B727" s="168"/>
      <c r="C727" s="168"/>
      <c r="G727" s="175"/>
      <c r="H727" s="175"/>
      <c r="I727" s="168"/>
      <c r="J727" s="168"/>
    </row>
    <row r="728" spans="1:10" ht="17">
      <c r="A728" s="168"/>
      <c r="B728" s="168"/>
      <c r="C728" s="168"/>
      <c r="G728" s="175"/>
      <c r="H728" s="175"/>
      <c r="I728" s="168"/>
      <c r="J728" s="168"/>
    </row>
    <row r="729" spans="1:10" ht="17">
      <c r="A729" s="168"/>
      <c r="B729" s="168"/>
      <c r="C729" s="168"/>
      <c r="G729" s="175"/>
      <c r="H729" s="175"/>
      <c r="I729" s="168"/>
      <c r="J729" s="168"/>
    </row>
    <row r="730" spans="1:10" ht="17">
      <c r="A730" s="168"/>
      <c r="B730" s="168"/>
      <c r="C730" s="168"/>
      <c r="G730" s="175"/>
      <c r="H730" s="175"/>
      <c r="I730" s="168"/>
      <c r="J730" s="168"/>
    </row>
    <row r="731" spans="1:10" ht="17">
      <c r="A731" s="168"/>
      <c r="B731" s="168"/>
      <c r="C731" s="168"/>
      <c r="G731" s="175"/>
      <c r="H731" s="175"/>
      <c r="I731" s="168"/>
      <c r="J731" s="168"/>
    </row>
    <row r="732" spans="1:10" ht="17">
      <c r="A732" s="168"/>
      <c r="B732" s="168"/>
      <c r="C732" s="168"/>
      <c r="G732" s="175"/>
      <c r="H732" s="175"/>
      <c r="I732" s="168"/>
      <c r="J732" s="168"/>
    </row>
    <row r="733" spans="1:10" ht="17">
      <c r="A733" s="168"/>
      <c r="B733" s="168"/>
      <c r="C733" s="168"/>
      <c r="G733" s="175"/>
      <c r="H733" s="175"/>
      <c r="I733" s="168"/>
      <c r="J733" s="168"/>
    </row>
    <row r="734" spans="1:10" ht="17">
      <c r="A734" s="168"/>
      <c r="B734" s="168"/>
      <c r="C734" s="168"/>
      <c r="G734" s="175"/>
      <c r="H734" s="175"/>
      <c r="I734" s="168"/>
      <c r="J734" s="168"/>
    </row>
    <row r="735" spans="1:10" ht="17">
      <c r="A735" s="168"/>
      <c r="B735" s="168"/>
      <c r="C735" s="168"/>
      <c r="G735" s="175"/>
      <c r="H735" s="175"/>
      <c r="I735" s="168"/>
      <c r="J735" s="168"/>
    </row>
    <row r="736" spans="1:10" ht="17">
      <c r="A736" s="168"/>
      <c r="B736" s="168"/>
      <c r="C736" s="168"/>
      <c r="G736" s="175"/>
      <c r="H736" s="175"/>
      <c r="I736" s="168"/>
      <c r="J736" s="168"/>
    </row>
    <row r="737" spans="1:10" ht="17">
      <c r="A737" s="168"/>
      <c r="B737" s="168"/>
      <c r="C737" s="168"/>
      <c r="G737" s="175"/>
      <c r="H737" s="175"/>
      <c r="I737" s="168"/>
      <c r="J737" s="168"/>
    </row>
    <row r="738" spans="1:10" ht="17">
      <c r="A738" s="168"/>
      <c r="B738" s="168"/>
      <c r="C738" s="168"/>
      <c r="G738" s="175"/>
      <c r="H738" s="175"/>
      <c r="I738" s="168"/>
      <c r="J738" s="168"/>
    </row>
    <row r="739" spans="1:10" ht="17">
      <c r="A739" s="168"/>
      <c r="B739" s="168"/>
      <c r="C739" s="168"/>
      <c r="G739" s="175"/>
      <c r="H739" s="175"/>
      <c r="I739" s="168"/>
      <c r="J739" s="168"/>
    </row>
    <row r="740" spans="1:10" ht="17">
      <c r="A740" s="168"/>
      <c r="B740" s="168"/>
      <c r="C740" s="168"/>
      <c r="G740" s="175"/>
      <c r="H740" s="175"/>
      <c r="I740" s="168"/>
      <c r="J740" s="168"/>
    </row>
    <row r="741" spans="1:10" ht="17">
      <c r="A741" s="168"/>
      <c r="B741" s="168"/>
      <c r="C741" s="168"/>
      <c r="G741" s="175"/>
      <c r="H741" s="175"/>
      <c r="I741" s="168"/>
      <c r="J741" s="168"/>
    </row>
    <row r="742" spans="1:10" ht="17">
      <c r="A742" s="168"/>
      <c r="B742" s="168"/>
      <c r="C742" s="168"/>
      <c r="G742" s="175"/>
      <c r="H742" s="175"/>
      <c r="I742" s="168"/>
      <c r="J742" s="168"/>
    </row>
    <row r="743" spans="1:10" ht="17">
      <c r="A743" s="168"/>
      <c r="B743" s="168"/>
      <c r="C743" s="168"/>
      <c r="G743" s="175"/>
      <c r="H743" s="175"/>
      <c r="I743" s="168"/>
      <c r="J743" s="168"/>
    </row>
    <row r="744" spans="1:10" ht="17">
      <c r="A744" s="168"/>
      <c r="B744" s="168"/>
      <c r="C744" s="168"/>
      <c r="G744" s="175"/>
      <c r="H744" s="175"/>
      <c r="I744" s="168"/>
      <c r="J744" s="168"/>
    </row>
    <row r="745" spans="1:10" ht="17">
      <c r="A745" s="168"/>
      <c r="B745" s="168"/>
      <c r="C745" s="168"/>
      <c r="G745" s="175"/>
      <c r="H745" s="175"/>
      <c r="I745" s="168"/>
      <c r="J745" s="168"/>
    </row>
    <row r="746" spans="1:10" ht="17">
      <c r="A746" s="168"/>
      <c r="B746" s="168"/>
      <c r="C746" s="168"/>
      <c r="G746" s="175"/>
      <c r="H746" s="175"/>
      <c r="I746" s="168"/>
      <c r="J746" s="168"/>
    </row>
    <row r="747" spans="1:10" ht="17">
      <c r="A747" s="168"/>
      <c r="B747" s="168"/>
      <c r="C747" s="168"/>
      <c r="G747" s="175"/>
      <c r="H747" s="175"/>
      <c r="I747" s="168"/>
      <c r="J747" s="168"/>
    </row>
    <row r="748" spans="1:10" ht="17">
      <c r="A748" s="168"/>
      <c r="B748" s="168"/>
      <c r="C748" s="168"/>
      <c r="G748" s="175"/>
      <c r="H748" s="175"/>
      <c r="I748" s="168"/>
      <c r="J748" s="168"/>
    </row>
    <row r="749" spans="1:10" ht="17">
      <c r="A749" s="168"/>
      <c r="B749" s="168"/>
      <c r="C749" s="168"/>
      <c r="G749" s="175"/>
      <c r="H749" s="175"/>
      <c r="I749" s="168"/>
      <c r="J749" s="168"/>
    </row>
    <row r="750" spans="1:10" ht="17">
      <c r="A750" s="168"/>
      <c r="B750" s="168"/>
      <c r="C750" s="168"/>
      <c r="G750" s="175"/>
      <c r="H750" s="175"/>
      <c r="I750" s="168"/>
      <c r="J750" s="168"/>
    </row>
    <row r="751" spans="1:10" ht="17">
      <c r="A751" s="168"/>
      <c r="B751" s="168"/>
      <c r="C751" s="168"/>
      <c r="G751" s="175"/>
      <c r="H751" s="175"/>
      <c r="I751" s="168"/>
      <c r="J751" s="168"/>
    </row>
    <row r="752" spans="1:10" ht="17">
      <c r="A752" s="168"/>
      <c r="B752" s="168"/>
      <c r="C752" s="168"/>
      <c r="G752" s="175"/>
      <c r="H752" s="175"/>
      <c r="I752" s="168"/>
      <c r="J752" s="168"/>
    </row>
    <row r="753" spans="1:10" ht="17">
      <c r="A753" s="168"/>
      <c r="B753" s="168"/>
      <c r="C753" s="168"/>
      <c r="G753" s="175"/>
      <c r="H753" s="175"/>
      <c r="I753" s="168"/>
      <c r="J753" s="168"/>
    </row>
    <row r="754" spans="1:10" ht="17">
      <c r="A754" s="168"/>
      <c r="B754" s="168"/>
      <c r="C754" s="168"/>
      <c r="G754" s="175"/>
      <c r="H754" s="175"/>
      <c r="I754" s="168"/>
      <c r="J754" s="168"/>
    </row>
    <row r="755" spans="1:10" ht="17">
      <c r="A755" s="168"/>
      <c r="B755" s="168"/>
      <c r="C755" s="168"/>
      <c r="G755" s="175"/>
      <c r="H755" s="175"/>
      <c r="I755" s="168"/>
      <c r="J755" s="168"/>
    </row>
    <row r="756" spans="1:10" ht="17">
      <c r="A756" s="168"/>
      <c r="B756" s="168"/>
      <c r="C756" s="168"/>
      <c r="G756" s="175"/>
      <c r="H756" s="175"/>
      <c r="I756" s="168"/>
      <c r="J756" s="168"/>
    </row>
    <row r="757" spans="1:10" ht="17">
      <c r="A757" s="168"/>
      <c r="B757" s="168"/>
      <c r="C757" s="168"/>
      <c r="G757" s="175"/>
      <c r="H757" s="175"/>
      <c r="I757" s="168"/>
      <c r="J757" s="168"/>
    </row>
    <row r="758" spans="1:10" ht="17">
      <c r="A758" s="168"/>
      <c r="B758" s="168"/>
      <c r="C758" s="168"/>
      <c r="G758" s="175"/>
      <c r="H758" s="175"/>
      <c r="I758" s="168"/>
      <c r="J758" s="168"/>
    </row>
    <row r="759" spans="1:10" ht="17">
      <c r="A759" s="168"/>
      <c r="B759" s="168"/>
      <c r="C759" s="168"/>
      <c r="G759" s="175"/>
      <c r="H759" s="175"/>
      <c r="I759" s="168"/>
      <c r="J759" s="168"/>
    </row>
    <row r="760" spans="1:10" ht="17">
      <c r="A760" s="168"/>
      <c r="B760" s="168"/>
      <c r="C760" s="168"/>
      <c r="G760" s="175"/>
      <c r="H760" s="175"/>
      <c r="I760" s="168"/>
      <c r="J760" s="168"/>
    </row>
    <row r="761" spans="1:10" ht="17">
      <c r="A761" s="168"/>
      <c r="B761" s="168"/>
      <c r="C761" s="168"/>
      <c r="G761" s="175"/>
      <c r="H761" s="175"/>
      <c r="I761" s="168"/>
      <c r="J761" s="168"/>
    </row>
    <row r="762" spans="1:10" ht="17">
      <c r="A762" s="168"/>
      <c r="B762" s="168"/>
      <c r="C762" s="168"/>
      <c r="G762" s="175"/>
      <c r="H762" s="175"/>
      <c r="I762" s="168"/>
      <c r="J762" s="168"/>
    </row>
    <row r="763" spans="1:10" ht="17">
      <c r="A763" s="168"/>
      <c r="B763" s="168"/>
      <c r="C763" s="168"/>
      <c r="G763" s="175"/>
      <c r="H763" s="175"/>
      <c r="I763" s="168"/>
      <c r="J763" s="168"/>
    </row>
    <row r="764" spans="1:10" ht="17">
      <c r="A764" s="168"/>
      <c r="B764" s="168"/>
      <c r="C764" s="168"/>
      <c r="G764" s="175"/>
      <c r="H764" s="175"/>
      <c r="I764" s="168"/>
      <c r="J764" s="168"/>
    </row>
    <row r="765" spans="1:10" ht="17">
      <c r="A765" s="168"/>
      <c r="B765" s="168"/>
      <c r="C765" s="168"/>
      <c r="G765" s="175"/>
      <c r="H765" s="175"/>
      <c r="I765" s="168"/>
      <c r="J765" s="168"/>
    </row>
    <row r="766" spans="1:10" ht="17">
      <c r="A766" s="168"/>
      <c r="B766" s="168"/>
      <c r="C766" s="168"/>
      <c r="G766" s="175"/>
      <c r="H766" s="175"/>
      <c r="I766" s="168"/>
      <c r="J766" s="168"/>
    </row>
    <row r="767" spans="1:10" ht="17">
      <c r="A767" s="168"/>
      <c r="B767" s="168"/>
      <c r="C767" s="168"/>
      <c r="G767" s="175"/>
      <c r="H767" s="175"/>
      <c r="I767" s="168"/>
      <c r="J767" s="168"/>
    </row>
    <row r="768" spans="1:10" ht="17">
      <c r="A768" s="168"/>
      <c r="B768" s="168"/>
      <c r="C768" s="168"/>
      <c r="G768" s="175"/>
      <c r="H768" s="175"/>
      <c r="I768" s="168"/>
      <c r="J768" s="168"/>
    </row>
    <row r="769" spans="1:10" ht="17">
      <c r="A769" s="168"/>
      <c r="B769" s="168"/>
      <c r="C769" s="168"/>
      <c r="G769" s="175"/>
      <c r="H769" s="175"/>
      <c r="I769" s="168"/>
      <c r="J769" s="168"/>
    </row>
    <row r="770" spans="1:10" ht="17">
      <c r="A770" s="168"/>
      <c r="B770" s="168"/>
      <c r="C770" s="168"/>
      <c r="G770" s="175"/>
      <c r="H770" s="175"/>
      <c r="I770" s="168"/>
      <c r="J770" s="168"/>
    </row>
    <row r="771" spans="1:10" ht="17">
      <c r="A771" s="168"/>
      <c r="B771" s="168"/>
      <c r="C771" s="168"/>
      <c r="G771" s="175"/>
      <c r="H771" s="175"/>
      <c r="I771" s="168"/>
      <c r="J771" s="168"/>
    </row>
    <row r="772" spans="1:10" ht="17">
      <c r="A772" s="168"/>
      <c r="B772" s="168"/>
      <c r="C772" s="168"/>
      <c r="G772" s="175"/>
      <c r="H772" s="175"/>
      <c r="I772" s="168"/>
      <c r="J772" s="168"/>
    </row>
    <row r="773" spans="1:10" ht="17">
      <c r="A773" s="168"/>
      <c r="B773" s="168"/>
      <c r="C773" s="168"/>
      <c r="G773" s="175"/>
      <c r="H773" s="175"/>
      <c r="I773" s="168"/>
      <c r="J773" s="168"/>
    </row>
    <row r="774" spans="1:10" ht="17">
      <c r="A774" s="168"/>
      <c r="B774" s="168"/>
      <c r="C774" s="168"/>
      <c r="G774" s="175"/>
      <c r="H774" s="175"/>
      <c r="I774" s="168"/>
      <c r="J774" s="168"/>
    </row>
    <row r="775" spans="1:10" ht="17">
      <c r="A775" s="168"/>
      <c r="B775" s="168"/>
      <c r="C775" s="168"/>
      <c r="G775" s="175"/>
      <c r="H775" s="175"/>
      <c r="I775" s="168"/>
      <c r="J775" s="168"/>
    </row>
    <row r="776" spans="1:10" ht="17">
      <c r="A776" s="168"/>
      <c r="B776" s="168"/>
      <c r="C776" s="168"/>
      <c r="G776" s="175"/>
      <c r="H776" s="175"/>
      <c r="I776" s="168"/>
      <c r="J776" s="168"/>
    </row>
    <row r="777" spans="1:10" ht="17">
      <c r="A777" s="168"/>
      <c r="B777" s="168"/>
      <c r="C777" s="168"/>
      <c r="G777" s="175"/>
      <c r="H777" s="175"/>
      <c r="I777" s="168"/>
      <c r="J777" s="168"/>
    </row>
    <row r="778" spans="1:10" ht="17">
      <c r="A778" s="168"/>
      <c r="B778" s="168"/>
      <c r="C778" s="168"/>
      <c r="G778" s="175"/>
      <c r="H778" s="175"/>
      <c r="I778" s="168"/>
      <c r="J778" s="168"/>
    </row>
    <row r="779" spans="1:10" ht="17">
      <c r="A779" s="168"/>
      <c r="B779" s="168"/>
      <c r="C779" s="168"/>
      <c r="G779" s="175"/>
      <c r="H779" s="175"/>
      <c r="I779" s="168"/>
      <c r="J779" s="168"/>
    </row>
    <row r="780" spans="1:10" ht="17">
      <c r="A780" s="168"/>
      <c r="B780" s="168"/>
      <c r="C780" s="168"/>
      <c r="G780" s="175"/>
      <c r="H780" s="175"/>
      <c r="I780" s="168"/>
      <c r="J780" s="168"/>
    </row>
    <row r="781" spans="1:10" ht="17">
      <c r="A781" s="168"/>
      <c r="B781" s="168"/>
      <c r="C781" s="168"/>
      <c r="G781" s="175"/>
      <c r="H781" s="175"/>
      <c r="I781" s="168"/>
      <c r="J781" s="168"/>
    </row>
    <row r="782" spans="1:10" ht="17">
      <c r="A782" s="168"/>
      <c r="B782" s="168"/>
      <c r="C782" s="168"/>
      <c r="G782" s="175"/>
      <c r="H782" s="175"/>
      <c r="I782" s="168"/>
      <c r="J782" s="168"/>
    </row>
    <row r="783" spans="1:10" ht="17">
      <c r="A783" s="168"/>
      <c r="B783" s="168"/>
      <c r="C783" s="168"/>
      <c r="G783" s="175"/>
      <c r="H783" s="175"/>
      <c r="I783" s="168"/>
      <c r="J783" s="168"/>
    </row>
    <row r="784" spans="1:10" ht="17">
      <c r="A784" s="168"/>
      <c r="B784" s="168"/>
      <c r="C784" s="168"/>
      <c r="G784" s="175"/>
      <c r="H784" s="175"/>
      <c r="I784" s="168"/>
      <c r="J784" s="168"/>
    </row>
    <row r="785" spans="1:10" ht="17">
      <c r="A785" s="168"/>
      <c r="B785" s="168"/>
      <c r="C785" s="168"/>
      <c r="G785" s="175"/>
      <c r="H785" s="175"/>
      <c r="I785" s="168"/>
      <c r="J785" s="168"/>
    </row>
    <row r="786" spans="1:10" ht="17">
      <c r="A786" s="168"/>
      <c r="B786" s="168"/>
      <c r="C786" s="168"/>
      <c r="G786" s="175"/>
      <c r="H786" s="175"/>
      <c r="I786" s="168"/>
      <c r="J786" s="168"/>
    </row>
    <row r="787" spans="1:10" ht="17">
      <c r="A787" s="168"/>
      <c r="B787" s="168"/>
      <c r="C787" s="168"/>
      <c r="G787" s="175"/>
      <c r="H787" s="175"/>
      <c r="I787" s="168"/>
      <c r="J787" s="168"/>
    </row>
    <row r="788" spans="1:10" ht="17">
      <c r="A788" s="168"/>
      <c r="B788" s="168"/>
      <c r="C788" s="168"/>
      <c r="G788" s="175"/>
      <c r="H788" s="175"/>
      <c r="I788" s="168"/>
      <c r="J788" s="168"/>
    </row>
    <row r="789" spans="1:10" ht="17">
      <c r="A789" s="168"/>
      <c r="B789" s="168"/>
      <c r="C789" s="168"/>
      <c r="G789" s="175"/>
      <c r="H789" s="175"/>
      <c r="I789" s="168"/>
      <c r="J789" s="168"/>
    </row>
    <row r="790" spans="1:10" ht="17">
      <c r="A790" s="168"/>
      <c r="B790" s="168"/>
      <c r="C790" s="168"/>
      <c r="G790" s="175"/>
      <c r="H790" s="175"/>
      <c r="I790" s="168"/>
      <c r="J790" s="168"/>
    </row>
    <row r="791" spans="1:10" ht="17">
      <c r="A791" s="168"/>
      <c r="B791" s="168"/>
      <c r="C791" s="168"/>
      <c r="G791" s="175"/>
      <c r="H791" s="175"/>
      <c r="I791" s="168"/>
      <c r="J791" s="168"/>
    </row>
    <row r="792" spans="1:10" ht="17">
      <c r="A792" s="168"/>
      <c r="B792" s="168"/>
      <c r="C792" s="168"/>
      <c r="G792" s="175"/>
      <c r="H792" s="175"/>
      <c r="I792" s="168"/>
      <c r="J792" s="168"/>
    </row>
    <row r="793" spans="1:10" ht="17">
      <c r="A793" s="168"/>
      <c r="B793" s="168"/>
      <c r="C793" s="168"/>
      <c r="G793" s="175"/>
      <c r="H793" s="175"/>
      <c r="I793" s="168"/>
      <c r="J793" s="168"/>
    </row>
    <row r="794" spans="1:10" ht="17">
      <c r="A794" s="168"/>
      <c r="B794" s="168"/>
      <c r="C794" s="168"/>
      <c r="G794" s="175"/>
      <c r="H794" s="175"/>
      <c r="I794" s="168"/>
      <c r="J794" s="168"/>
    </row>
    <row r="795" spans="1:10" ht="17">
      <c r="A795" s="168"/>
      <c r="B795" s="168"/>
      <c r="C795" s="168"/>
      <c r="G795" s="175"/>
      <c r="H795" s="175"/>
      <c r="I795" s="168"/>
      <c r="J795" s="168"/>
    </row>
    <row r="796" spans="1:10" ht="17">
      <c r="A796" s="168"/>
      <c r="B796" s="168"/>
      <c r="C796" s="168"/>
      <c r="G796" s="175"/>
      <c r="H796" s="175"/>
      <c r="I796" s="168"/>
      <c r="J796" s="168"/>
    </row>
    <row r="797" spans="1:10" ht="17">
      <c r="A797" s="168"/>
      <c r="B797" s="168"/>
      <c r="C797" s="168"/>
      <c r="G797" s="175"/>
      <c r="H797" s="175"/>
      <c r="I797" s="168"/>
      <c r="J797" s="168"/>
    </row>
    <row r="798" spans="1:10" ht="17">
      <c r="A798" s="168"/>
      <c r="B798" s="168"/>
      <c r="C798" s="168"/>
      <c r="G798" s="175"/>
      <c r="H798" s="175"/>
      <c r="I798" s="168"/>
      <c r="J798" s="168"/>
    </row>
    <row r="799" spans="1:10" ht="17">
      <c r="A799" s="168"/>
      <c r="B799" s="168"/>
      <c r="C799" s="168"/>
      <c r="G799" s="175"/>
      <c r="H799" s="175"/>
      <c r="I799" s="168"/>
      <c r="J799" s="168"/>
    </row>
    <row r="800" spans="1:10" ht="17">
      <c r="A800" s="168"/>
      <c r="B800" s="168"/>
      <c r="C800" s="168"/>
      <c r="G800" s="175"/>
      <c r="H800" s="175"/>
      <c r="I800" s="168"/>
      <c r="J800" s="168"/>
    </row>
    <row r="801" spans="1:10" ht="17">
      <c r="A801" s="168"/>
      <c r="B801" s="168"/>
      <c r="C801" s="168"/>
      <c r="G801" s="175"/>
      <c r="H801" s="175"/>
      <c r="I801" s="168"/>
      <c r="J801" s="168"/>
    </row>
    <row r="802" spans="1:10" ht="17">
      <c r="A802" s="168"/>
      <c r="B802" s="168"/>
      <c r="C802" s="168"/>
      <c r="G802" s="175"/>
      <c r="H802" s="175"/>
      <c r="I802" s="168"/>
      <c r="J802" s="168"/>
    </row>
    <row r="803" spans="1:10" ht="17">
      <c r="A803" s="168"/>
      <c r="B803" s="168"/>
      <c r="C803" s="168"/>
      <c r="G803" s="175"/>
      <c r="H803" s="175"/>
      <c r="I803" s="168"/>
      <c r="J803" s="168"/>
    </row>
    <row r="804" spans="1:10" ht="17">
      <c r="A804" s="168"/>
      <c r="B804" s="168"/>
      <c r="C804" s="168"/>
      <c r="G804" s="175"/>
      <c r="H804" s="175"/>
      <c r="I804" s="168"/>
      <c r="J804" s="168"/>
    </row>
    <row r="805" spans="1:10" ht="17">
      <c r="A805" s="168"/>
      <c r="B805" s="168"/>
      <c r="C805" s="168"/>
      <c r="G805" s="175"/>
      <c r="H805" s="175"/>
      <c r="I805" s="168"/>
      <c r="J805" s="168"/>
    </row>
    <row r="806" spans="1:10" ht="17">
      <c r="A806" s="168"/>
      <c r="B806" s="168"/>
      <c r="C806" s="168"/>
      <c r="G806" s="175"/>
      <c r="H806" s="175"/>
      <c r="I806" s="168"/>
      <c r="J806" s="168"/>
    </row>
    <row r="807" spans="1:10" ht="17">
      <c r="A807" s="168"/>
      <c r="B807" s="168"/>
      <c r="C807" s="168"/>
      <c r="G807" s="175"/>
      <c r="H807" s="175"/>
      <c r="I807" s="168"/>
      <c r="J807" s="168"/>
    </row>
    <row r="808" spans="1:10" ht="17">
      <c r="A808" s="168"/>
      <c r="B808" s="168"/>
      <c r="C808" s="168"/>
      <c r="G808" s="175"/>
      <c r="H808" s="175"/>
      <c r="I808" s="168"/>
      <c r="J808" s="168"/>
    </row>
    <row r="809" spans="1:10" ht="17">
      <c r="A809" s="168"/>
      <c r="B809" s="168"/>
      <c r="C809" s="168"/>
      <c r="G809" s="175"/>
      <c r="H809" s="175"/>
      <c r="I809" s="168"/>
      <c r="J809" s="168"/>
    </row>
    <row r="810" spans="1:10" ht="17">
      <c r="A810" s="168"/>
      <c r="B810" s="168"/>
      <c r="C810" s="168"/>
      <c r="G810" s="175"/>
      <c r="H810" s="175"/>
      <c r="I810" s="168"/>
      <c r="J810" s="168"/>
    </row>
    <row r="811" spans="1:10" ht="17">
      <c r="A811" s="168"/>
      <c r="B811" s="168"/>
      <c r="C811" s="168"/>
      <c r="G811" s="175"/>
      <c r="H811" s="175"/>
      <c r="I811" s="168"/>
      <c r="J811" s="168"/>
    </row>
    <row r="812" spans="1:10" ht="17">
      <c r="A812" s="168"/>
      <c r="B812" s="168"/>
      <c r="C812" s="168"/>
      <c r="G812" s="175"/>
      <c r="H812" s="175"/>
      <c r="I812" s="168"/>
      <c r="J812" s="168"/>
    </row>
    <row r="813" spans="1:10" ht="17">
      <c r="A813" s="168"/>
      <c r="B813" s="168"/>
      <c r="C813" s="168"/>
      <c r="G813" s="175"/>
      <c r="H813" s="175"/>
      <c r="I813" s="168"/>
      <c r="J813" s="168"/>
    </row>
    <row r="814" spans="1:10" ht="17">
      <c r="A814" s="168"/>
      <c r="B814" s="168"/>
      <c r="C814" s="168"/>
      <c r="G814" s="175"/>
      <c r="H814" s="175"/>
      <c r="I814" s="168"/>
      <c r="J814" s="168"/>
    </row>
    <row r="815" spans="1:10" ht="17">
      <c r="A815" s="168"/>
      <c r="B815" s="168"/>
      <c r="C815" s="168"/>
      <c r="G815" s="175"/>
      <c r="H815" s="175"/>
      <c r="I815" s="168"/>
      <c r="J815" s="168"/>
    </row>
    <row r="816" spans="1:10" ht="17">
      <c r="A816" s="168"/>
      <c r="B816" s="168"/>
      <c r="C816" s="168"/>
      <c r="G816" s="175"/>
      <c r="H816" s="175"/>
      <c r="I816" s="168"/>
      <c r="J816" s="168"/>
    </row>
    <row r="817" spans="1:10" ht="17">
      <c r="A817" s="168"/>
      <c r="B817" s="168"/>
      <c r="C817" s="168"/>
      <c r="G817" s="175"/>
      <c r="H817" s="175"/>
      <c r="I817" s="168"/>
      <c r="J817" s="168"/>
    </row>
    <row r="818" spans="1:10" ht="17">
      <c r="A818" s="168"/>
      <c r="B818" s="168"/>
      <c r="C818" s="168"/>
      <c r="G818" s="175"/>
      <c r="H818" s="175"/>
      <c r="I818" s="168"/>
      <c r="J818" s="168"/>
    </row>
    <row r="819" spans="1:10" ht="17">
      <c r="A819" s="168"/>
      <c r="B819" s="168"/>
      <c r="C819" s="168"/>
      <c r="G819" s="175"/>
      <c r="H819" s="175"/>
      <c r="I819" s="168"/>
      <c r="J819" s="168"/>
    </row>
    <row r="820" spans="1:10" ht="17">
      <c r="A820" s="168"/>
      <c r="B820" s="168"/>
      <c r="C820" s="168"/>
      <c r="G820" s="175"/>
      <c r="H820" s="175"/>
      <c r="I820" s="168"/>
      <c r="J820" s="168"/>
    </row>
    <row r="821" spans="1:10" ht="17">
      <c r="A821" s="168"/>
      <c r="B821" s="168"/>
      <c r="C821" s="168"/>
      <c r="G821" s="175"/>
      <c r="H821" s="175"/>
      <c r="I821" s="168"/>
      <c r="J821" s="168"/>
    </row>
    <row r="822" spans="1:10" ht="17">
      <c r="A822" s="168"/>
      <c r="B822" s="168"/>
      <c r="C822" s="168"/>
      <c r="G822" s="175"/>
      <c r="H822" s="175"/>
      <c r="I822" s="168"/>
      <c r="J822" s="168"/>
    </row>
    <row r="823" spans="1:10" ht="17">
      <c r="A823" s="168"/>
      <c r="B823" s="168"/>
      <c r="C823" s="168"/>
      <c r="G823" s="175"/>
      <c r="H823" s="175"/>
      <c r="I823" s="168"/>
      <c r="J823" s="168"/>
    </row>
    <row r="824" spans="1:10" ht="17">
      <c r="A824" s="168"/>
      <c r="B824" s="168"/>
      <c r="C824" s="168"/>
      <c r="G824" s="175"/>
      <c r="H824" s="175"/>
      <c r="I824" s="168"/>
      <c r="J824" s="168"/>
    </row>
    <row r="825" spans="1:10" ht="17">
      <c r="A825" s="168"/>
      <c r="B825" s="168"/>
      <c r="C825" s="168"/>
      <c r="G825" s="175"/>
      <c r="H825" s="175"/>
      <c r="I825" s="168"/>
      <c r="J825" s="168"/>
    </row>
    <row r="826" spans="1:10" ht="17">
      <c r="A826" s="168"/>
      <c r="B826" s="168"/>
      <c r="C826" s="168"/>
      <c r="G826" s="175"/>
      <c r="H826" s="175"/>
      <c r="I826" s="168"/>
      <c r="J826" s="168"/>
    </row>
    <row r="827" spans="1:10" ht="17">
      <c r="A827" s="168"/>
      <c r="B827" s="168"/>
      <c r="C827" s="168"/>
      <c r="G827" s="175"/>
      <c r="H827" s="175"/>
      <c r="I827" s="168"/>
      <c r="J827" s="168"/>
    </row>
    <row r="828" spans="1:10" ht="17">
      <c r="A828" s="168"/>
      <c r="B828" s="168"/>
      <c r="C828" s="168"/>
      <c r="G828" s="175"/>
      <c r="H828" s="175"/>
      <c r="I828" s="168"/>
      <c r="J828" s="168"/>
    </row>
    <row r="829" spans="1:10" ht="17">
      <c r="A829" s="168"/>
      <c r="B829" s="168"/>
      <c r="C829" s="168"/>
      <c r="G829" s="175"/>
      <c r="H829" s="175"/>
      <c r="I829" s="168"/>
      <c r="J829" s="168"/>
    </row>
    <row r="830" spans="1:10" ht="17">
      <c r="A830" s="168"/>
      <c r="B830" s="168"/>
      <c r="C830" s="168"/>
      <c r="G830" s="175"/>
      <c r="H830" s="175"/>
      <c r="I830" s="168"/>
      <c r="J830" s="168"/>
    </row>
    <row r="831" spans="1:10" ht="17">
      <c r="A831" s="168"/>
      <c r="B831" s="168"/>
      <c r="C831" s="168"/>
      <c r="G831" s="175"/>
      <c r="H831" s="175"/>
      <c r="I831" s="168"/>
      <c r="J831" s="168"/>
    </row>
    <row r="832" spans="1:10" ht="17">
      <c r="A832" s="168"/>
      <c r="B832" s="168"/>
      <c r="C832" s="168"/>
      <c r="G832" s="175"/>
      <c r="H832" s="175"/>
      <c r="I832" s="168"/>
      <c r="J832" s="168"/>
    </row>
    <row r="833" spans="1:10" ht="17">
      <c r="A833" s="168"/>
      <c r="B833" s="168"/>
      <c r="C833" s="168"/>
      <c r="G833" s="175"/>
      <c r="H833" s="175"/>
      <c r="I833" s="168"/>
      <c r="J833" s="168"/>
    </row>
    <row r="834" spans="1:10" ht="17">
      <c r="A834" s="168"/>
      <c r="B834" s="168"/>
      <c r="C834" s="168"/>
      <c r="G834" s="175"/>
      <c r="H834" s="175"/>
      <c r="I834" s="168"/>
      <c r="J834" s="168"/>
    </row>
    <row r="835" spans="1:10" ht="17">
      <c r="A835" s="168"/>
      <c r="B835" s="168"/>
      <c r="C835" s="168"/>
      <c r="G835" s="175"/>
      <c r="H835" s="175"/>
      <c r="I835" s="168"/>
      <c r="J835" s="168"/>
    </row>
    <row r="836" spans="1:10" ht="17">
      <c r="A836" s="168"/>
      <c r="B836" s="168"/>
      <c r="C836" s="168"/>
      <c r="G836" s="175"/>
      <c r="H836" s="175"/>
      <c r="I836" s="168"/>
      <c r="J836" s="168"/>
    </row>
    <row r="837" spans="1:10" ht="17">
      <c r="A837" s="168"/>
      <c r="B837" s="168"/>
      <c r="C837" s="168"/>
      <c r="G837" s="175"/>
      <c r="H837" s="175"/>
      <c r="I837" s="168"/>
      <c r="J837" s="168"/>
    </row>
    <row r="838" spans="1:10" ht="17">
      <c r="A838" s="168"/>
      <c r="B838" s="168"/>
      <c r="C838" s="168"/>
      <c r="G838" s="175"/>
      <c r="H838" s="175"/>
      <c r="I838" s="168"/>
      <c r="J838" s="168"/>
    </row>
    <row r="839" spans="1:10" ht="17">
      <c r="A839" s="168"/>
      <c r="B839" s="168"/>
      <c r="C839" s="168"/>
      <c r="G839" s="175"/>
      <c r="H839" s="175"/>
      <c r="I839" s="168"/>
      <c r="J839" s="168"/>
    </row>
    <row r="840" spans="1:10" ht="17">
      <c r="A840" s="168"/>
      <c r="B840" s="168"/>
      <c r="C840" s="168"/>
      <c r="G840" s="175"/>
      <c r="H840" s="175"/>
      <c r="I840" s="168"/>
      <c r="J840" s="168"/>
    </row>
    <row r="841" spans="1:10" ht="17">
      <c r="A841" s="168"/>
      <c r="B841" s="168"/>
      <c r="C841" s="168"/>
      <c r="G841" s="175"/>
      <c r="H841" s="175"/>
      <c r="I841" s="168"/>
      <c r="J841" s="168"/>
    </row>
    <row r="842" spans="1:10" ht="17">
      <c r="A842" s="168"/>
      <c r="B842" s="168"/>
      <c r="C842" s="168"/>
      <c r="G842" s="175"/>
      <c r="H842" s="175"/>
      <c r="I842" s="168"/>
      <c r="J842" s="168"/>
    </row>
    <row r="843" spans="1:10" ht="17">
      <c r="A843" s="168"/>
      <c r="B843" s="168"/>
      <c r="C843" s="168"/>
      <c r="G843" s="175"/>
      <c r="H843" s="175"/>
      <c r="I843" s="168"/>
      <c r="J843" s="168"/>
    </row>
    <row r="844" spans="1:10" ht="17">
      <c r="A844" s="168"/>
      <c r="B844" s="168"/>
      <c r="C844" s="168"/>
      <c r="G844" s="175"/>
      <c r="H844" s="175"/>
      <c r="I844" s="168"/>
      <c r="J844" s="168"/>
    </row>
    <row r="845" spans="1:10" ht="17">
      <c r="A845" s="168"/>
      <c r="B845" s="168"/>
      <c r="C845" s="168"/>
      <c r="G845" s="175"/>
      <c r="H845" s="175"/>
      <c r="I845" s="168"/>
      <c r="J845" s="168"/>
    </row>
    <row r="846" spans="1:10" ht="17">
      <c r="A846" s="168"/>
      <c r="B846" s="168"/>
      <c r="C846" s="168"/>
      <c r="G846" s="175"/>
      <c r="H846" s="175"/>
      <c r="I846" s="168"/>
      <c r="J846" s="168"/>
    </row>
    <row r="847" spans="1:10" ht="17">
      <c r="A847" s="168"/>
      <c r="B847" s="168"/>
      <c r="C847" s="168"/>
      <c r="G847" s="175"/>
      <c r="H847" s="175"/>
      <c r="I847" s="168"/>
      <c r="J847" s="168"/>
    </row>
    <row r="848" spans="1:10" ht="17">
      <c r="A848" s="168"/>
      <c r="B848" s="168"/>
      <c r="C848" s="168"/>
      <c r="G848" s="175"/>
      <c r="H848" s="175"/>
      <c r="I848" s="168"/>
      <c r="J848" s="168"/>
    </row>
    <row r="849" spans="1:10" ht="17">
      <c r="A849" s="168"/>
      <c r="B849" s="168"/>
      <c r="C849" s="168"/>
      <c r="G849" s="175"/>
      <c r="H849" s="175"/>
      <c r="I849" s="168"/>
      <c r="J849" s="168"/>
    </row>
    <row r="850" spans="1:10" ht="17">
      <c r="A850" s="168"/>
      <c r="B850" s="168"/>
      <c r="C850" s="168"/>
      <c r="G850" s="175"/>
      <c r="H850" s="175"/>
      <c r="I850" s="168"/>
      <c r="J850" s="168"/>
    </row>
    <row r="851" spans="1:10" ht="17">
      <c r="A851" s="168"/>
      <c r="B851" s="168"/>
      <c r="C851" s="168"/>
      <c r="G851" s="175"/>
      <c r="H851" s="175"/>
      <c r="I851" s="168"/>
      <c r="J851" s="168"/>
    </row>
    <row r="852" spans="1:10" ht="17">
      <c r="A852" s="168"/>
      <c r="B852" s="168"/>
      <c r="C852" s="168"/>
      <c r="G852" s="175"/>
      <c r="H852" s="175"/>
      <c r="I852" s="168"/>
      <c r="J852" s="168"/>
    </row>
    <row r="853" spans="1:10" ht="17">
      <c r="A853" s="168"/>
      <c r="B853" s="168"/>
      <c r="C853" s="168"/>
      <c r="G853" s="175"/>
      <c r="H853" s="175"/>
      <c r="I853" s="168"/>
      <c r="J853" s="168"/>
    </row>
    <row r="854" spans="1:10" ht="17">
      <c r="A854" s="168"/>
      <c r="B854" s="168"/>
      <c r="C854" s="168"/>
      <c r="G854" s="175"/>
      <c r="H854" s="175"/>
      <c r="I854" s="168"/>
      <c r="J854" s="168"/>
    </row>
    <row r="855" spans="1:10" ht="17">
      <c r="A855" s="168"/>
      <c r="B855" s="168"/>
      <c r="C855" s="168"/>
      <c r="G855" s="175"/>
      <c r="H855" s="175"/>
      <c r="I855" s="168"/>
      <c r="J855" s="168"/>
    </row>
    <row r="856" spans="1:10" ht="17">
      <c r="A856" s="168"/>
      <c r="B856" s="168"/>
      <c r="C856" s="168"/>
      <c r="G856" s="175"/>
      <c r="H856" s="175"/>
      <c r="I856" s="168"/>
      <c r="J856" s="168"/>
    </row>
    <row r="857" spans="1:10" ht="17">
      <c r="A857" s="168"/>
      <c r="B857" s="168"/>
      <c r="C857" s="168"/>
      <c r="G857" s="175"/>
      <c r="H857" s="175"/>
      <c r="I857" s="168"/>
      <c r="J857" s="168"/>
    </row>
    <row r="858" spans="1:10" ht="17">
      <c r="A858" s="168"/>
      <c r="B858" s="168"/>
      <c r="C858" s="168"/>
      <c r="G858" s="175"/>
      <c r="H858" s="175"/>
      <c r="I858" s="168"/>
      <c r="J858" s="168"/>
    </row>
    <row r="859" spans="1:10" ht="17">
      <c r="A859" s="168"/>
      <c r="B859" s="168"/>
      <c r="C859" s="168"/>
      <c r="G859" s="175"/>
      <c r="H859" s="175"/>
      <c r="I859" s="168"/>
      <c r="J859" s="168"/>
    </row>
    <row r="860" spans="1:10" ht="17">
      <c r="A860" s="168"/>
      <c r="B860" s="168"/>
      <c r="C860" s="168"/>
      <c r="G860" s="175"/>
      <c r="H860" s="175"/>
      <c r="I860" s="168"/>
      <c r="J860" s="168"/>
    </row>
    <row r="861" spans="1:10" ht="17">
      <c r="A861" s="168"/>
      <c r="B861" s="168"/>
      <c r="C861" s="168"/>
      <c r="G861" s="175"/>
      <c r="H861" s="175"/>
      <c r="I861" s="168"/>
      <c r="J861" s="168"/>
    </row>
    <row r="862" spans="1:10" ht="17">
      <c r="A862" s="168"/>
      <c r="B862" s="168"/>
      <c r="C862" s="168"/>
      <c r="G862" s="175"/>
      <c r="H862" s="175"/>
      <c r="I862" s="168"/>
      <c r="J862" s="168"/>
    </row>
    <row r="863" spans="1:10" ht="17">
      <c r="A863" s="168"/>
      <c r="B863" s="168"/>
      <c r="C863" s="168"/>
      <c r="G863" s="175"/>
      <c r="H863" s="175"/>
      <c r="I863" s="168"/>
      <c r="J863" s="168"/>
    </row>
    <row r="864" spans="1:10" ht="17">
      <c r="A864" s="168"/>
      <c r="B864" s="168"/>
      <c r="C864" s="168"/>
      <c r="G864" s="175"/>
      <c r="H864" s="175"/>
      <c r="I864" s="168"/>
      <c r="J864" s="168"/>
    </row>
    <row r="865" spans="1:10" ht="17">
      <c r="A865" s="168"/>
      <c r="B865" s="168"/>
      <c r="C865" s="168"/>
      <c r="G865" s="175"/>
      <c r="H865" s="175"/>
      <c r="I865" s="168"/>
      <c r="J865" s="168"/>
    </row>
    <row r="866" spans="1:10" ht="17">
      <c r="A866" s="168"/>
      <c r="B866" s="168"/>
      <c r="C866" s="168"/>
      <c r="G866" s="175"/>
      <c r="H866" s="175"/>
      <c r="I866" s="168"/>
      <c r="J866" s="168"/>
    </row>
    <row r="867" spans="1:10" ht="17">
      <c r="A867" s="168"/>
      <c r="B867" s="168"/>
      <c r="C867" s="168"/>
      <c r="G867" s="175"/>
      <c r="H867" s="175"/>
      <c r="I867" s="168"/>
      <c r="J867" s="168"/>
    </row>
    <row r="868" spans="1:10" ht="17">
      <c r="A868" s="168"/>
      <c r="B868" s="168"/>
      <c r="C868" s="168"/>
      <c r="G868" s="175"/>
      <c r="H868" s="175"/>
      <c r="I868" s="168"/>
      <c r="J868" s="168"/>
    </row>
    <row r="869" spans="1:10" ht="17">
      <c r="A869" s="168"/>
      <c r="B869" s="168"/>
      <c r="C869" s="168"/>
      <c r="G869" s="175"/>
      <c r="H869" s="175"/>
      <c r="I869" s="168"/>
      <c r="J869" s="168"/>
    </row>
    <row r="870" spans="1:10" ht="17">
      <c r="A870" s="168"/>
      <c r="B870" s="168"/>
      <c r="C870" s="168"/>
      <c r="G870" s="175"/>
      <c r="H870" s="175"/>
      <c r="I870" s="168"/>
      <c r="J870" s="168"/>
    </row>
    <row r="871" spans="1:10" ht="17">
      <c r="A871" s="168"/>
      <c r="B871" s="168"/>
      <c r="C871" s="168"/>
      <c r="G871" s="175"/>
      <c r="H871" s="175"/>
      <c r="I871" s="168"/>
      <c r="J871" s="168"/>
    </row>
    <row r="872" spans="1:10" ht="17">
      <c r="A872" s="168"/>
      <c r="B872" s="168"/>
      <c r="C872" s="168"/>
      <c r="G872" s="175"/>
      <c r="H872" s="175"/>
      <c r="I872" s="168"/>
      <c r="J872" s="168"/>
    </row>
    <row r="873" spans="1:10" ht="17">
      <c r="A873" s="168"/>
      <c r="B873" s="168"/>
      <c r="C873" s="168"/>
      <c r="G873" s="175"/>
      <c r="H873" s="175"/>
      <c r="I873" s="168"/>
      <c r="J873" s="168"/>
    </row>
    <row r="874" spans="1:10" ht="17">
      <c r="A874" s="168"/>
      <c r="B874" s="168"/>
      <c r="C874" s="168"/>
      <c r="G874" s="175"/>
      <c r="H874" s="175"/>
      <c r="I874" s="168"/>
      <c r="J874" s="168"/>
    </row>
    <row r="875" spans="1:10" ht="17">
      <c r="A875" s="168"/>
      <c r="B875" s="168"/>
      <c r="C875" s="168"/>
      <c r="G875" s="175"/>
      <c r="H875" s="175"/>
      <c r="I875" s="168"/>
      <c r="J875" s="168"/>
    </row>
    <row r="876" spans="1:10" ht="17">
      <c r="A876" s="168"/>
      <c r="B876" s="168"/>
      <c r="C876" s="168"/>
      <c r="G876" s="175"/>
      <c r="H876" s="175"/>
      <c r="I876" s="168"/>
      <c r="J876" s="168"/>
    </row>
    <row r="877" spans="1:10" ht="17">
      <c r="A877" s="168"/>
      <c r="B877" s="168"/>
      <c r="C877" s="168"/>
      <c r="G877" s="175"/>
      <c r="H877" s="175"/>
      <c r="I877" s="168"/>
      <c r="J877" s="168"/>
    </row>
    <row r="878" spans="1:10" ht="17">
      <c r="A878" s="168"/>
      <c r="B878" s="168"/>
      <c r="C878" s="168"/>
      <c r="G878" s="175"/>
      <c r="H878" s="175"/>
      <c r="I878" s="168"/>
      <c r="J878" s="168"/>
    </row>
    <row r="879" spans="1:10" ht="17">
      <c r="A879" s="168"/>
      <c r="B879" s="168"/>
      <c r="C879" s="168"/>
      <c r="G879" s="175"/>
      <c r="H879" s="175"/>
      <c r="I879" s="168"/>
      <c r="J879" s="168"/>
    </row>
    <row r="880" spans="1:10" ht="17">
      <c r="A880" s="168"/>
      <c r="B880" s="168"/>
      <c r="C880" s="168"/>
      <c r="G880" s="175"/>
      <c r="H880" s="175"/>
      <c r="I880" s="168"/>
      <c r="J880" s="168"/>
    </row>
    <row r="881" spans="1:10" ht="17">
      <c r="A881" s="168"/>
      <c r="B881" s="168"/>
      <c r="C881" s="168"/>
      <c r="G881" s="175"/>
      <c r="H881" s="175"/>
      <c r="I881" s="168"/>
      <c r="J881" s="168"/>
    </row>
    <row r="882" spans="1:10" ht="17">
      <c r="A882" s="168"/>
      <c r="B882" s="168"/>
      <c r="C882" s="168"/>
      <c r="G882" s="175"/>
      <c r="H882" s="175"/>
      <c r="I882" s="168"/>
      <c r="J882" s="168"/>
    </row>
    <row r="883" spans="1:10" ht="17">
      <c r="A883" s="168"/>
      <c r="B883" s="168"/>
      <c r="C883" s="168"/>
      <c r="G883" s="175"/>
      <c r="H883" s="175"/>
      <c r="I883" s="168"/>
      <c r="J883" s="168"/>
    </row>
    <row r="884" spans="1:10" ht="17">
      <c r="A884" s="168"/>
      <c r="B884" s="168"/>
      <c r="C884" s="168"/>
      <c r="G884" s="175"/>
      <c r="H884" s="175"/>
      <c r="I884" s="168"/>
      <c r="J884" s="168"/>
    </row>
    <row r="885" spans="1:10" ht="17">
      <c r="A885" s="168"/>
      <c r="B885" s="168"/>
      <c r="C885" s="168"/>
      <c r="G885" s="175"/>
      <c r="H885" s="175"/>
      <c r="I885" s="168"/>
      <c r="J885" s="168"/>
    </row>
    <row r="886" spans="1:10" ht="17">
      <c r="A886" s="168"/>
      <c r="B886" s="168"/>
      <c r="C886" s="168"/>
      <c r="G886" s="175"/>
      <c r="H886" s="175"/>
      <c r="I886" s="168"/>
      <c r="J886" s="168"/>
    </row>
    <row r="887" spans="1:10" ht="17">
      <c r="A887" s="168"/>
      <c r="B887" s="168"/>
      <c r="C887" s="168"/>
      <c r="G887" s="175"/>
      <c r="H887" s="175"/>
      <c r="I887" s="168"/>
      <c r="J887" s="168"/>
    </row>
    <row r="888" spans="1:10" ht="17">
      <c r="A888" s="168"/>
      <c r="B888" s="168"/>
      <c r="C888" s="168"/>
      <c r="G888" s="175"/>
      <c r="H888" s="175"/>
      <c r="I888" s="168"/>
      <c r="J888" s="168"/>
    </row>
    <row r="889" spans="1:10" ht="17">
      <c r="A889" s="168"/>
      <c r="B889" s="168"/>
      <c r="C889" s="168"/>
      <c r="G889" s="175"/>
      <c r="H889" s="175"/>
      <c r="I889" s="168"/>
      <c r="J889" s="168"/>
    </row>
    <row r="890" spans="1:10" ht="17">
      <c r="A890" s="168"/>
      <c r="B890" s="168"/>
      <c r="C890" s="168"/>
      <c r="G890" s="175"/>
      <c r="H890" s="175"/>
      <c r="I890" s="168"/>
      <c r="J890" s="168"/>
    </row>
    <row r="891" spans="1:10" ht="17">
      <c r="A891" s="168"/>
      <c r="B891" s="168"/>
      <c r="C891" s="168"/>
      <c r="G891" s="175"/>
      <c r="H891" s="175"/>
      <c r="I891" s="168"/>
      <c r="J891" s="168"/>
    </row>
    <row r="892" spans="1:10" ht="17">
      <c r="A892" s="168"/>
      <c r="B892" s="168"/>
      <c r="C892" s="168"/>
      <c r="G892" s="175"/>
      <c r="H892" s="175"/>
      <c r="I892" s="168"/>
      <c r="J892" s="168"/>
    </row>
    <row r="893" spans="1:10" ht="17">
      <c r="A893" s="168"/>
      <c r="B893" s="168"/>
      <c r="C893" s="168"/>
      <c r="G893" s="175"/>
      <c r="H893" s="175"/>
      <c r="I893" s="168"/>
      <c r="J893" s="168"/>
    </row>
    <row r="894" spans="1:10" ht="17">
      <c r="A894" s="168"/>
      <c r="B894" s="168"/>
      <c r="C894" s="168"/>
      <c r="G894" s="175"/>
      <c r="H894" s="175"/>
      <c r="I894" s="168"/>
      <c r="J894" s="168"/>
    </row>
    <row r="895" spans="1:10" ht="17">
      <c r="A895" s="168"/>
      <c r="B895" s="168"/>
      <c r="C895" s="168"/>
      <c r="G895" s="175"/>
      <c r="H895" s="175"/>
      <c r="I895" s="168"/>
      <c r="J895" s="168"/>
    </row>
    <row r="896" spans="1:10" ht="17">
      <c r="A896" s="168"/>
      <c r="B896" s="168"/>
      <c r="C896" s="168"/>
      <c r="G896" s="175"/>
      <c r="H896" s="175"/>
      <c r="I896" s="168"/>
      <c r="J896" s="168"/>
    </row>
    <row r="897" spans="1:10" ht="17">
      <c r="A897" s="168"/>
      <c r="B897" s="168"/>
      <c r="C897" s="168"/>
      <c r="G897" s="175"/>
      <c r="H897" s="175"/>
      <c r="I897" s="168"/>
      <c r="J897" s="168"/>
    </row>
    <row r="898" spans="1:10" ht="17">
      <c r="A898" s="168"/>
      <c r="B898" s="168"/>
      <c r="C898" s="168"/>
      <c r="G898" s="175"/>
      <c r="H898" s="175"/>
      <c r="I898" s="168"/>
      <c r="J898" s="168"/>
    </row>
    <row r="899" spans="1:10" ht="17">
      <c r="A899" s="168"/>
      <c r="B899" s="168"/>
      <c r="C899" s="168"/>
      <c r="G899" s="175"/>
      <c r="H899" s="175"/>
      <c r="I899" s="168"/>
      <c r="J899" s="168"/>
    </row>
    <row r="900" spans="1:10" ht="17">
      <c r="A900" s="168"/>
      <c r="B900" s="168"/>
      <c r="C900" s="168"/>
      <c r="G900" s="175"/>
      <c r="H900" s="175"/>
      <c r="I900" s="168"/>
      <c r="J900" s="168"/>
    </row>
    <row r="901" spans="1:10" ht="17">
      <c r="A901" s="168"/>
      <c r="B901" s="168"/>
      <c r="C901" s="168"/>
      <c r="G901" s="175"/>
      <c r="H901" s="175"/>
      <c r="I901" s="168"/>
      <c r="J901" s="168"/>
    </row>
    <row r="902" spans="1:10" ht="17">
      <c r="A902" s="168"/>
      <c r="B902" s="168"/>
      <c r="C902" s="168"/>
      <c r="G902" s="175"/>
      <c r="H902" s="175"/>
      <c r="I902" s="168"/>
      <c r="J902" s="168"/>
    </row>
    <row r="903" spans="1:10" ht="17">
      <c r="A903" s="168"/>
      <c r="B903" s="168"/>
      <c r="C903" s="168"/>
      <c r="G903" s="175"/>
      <c r="H903" s="175"/>
      <c r="I903" s="168"/>
      <c r="J903" s="168"/>
    </row>
    <row r="904" spans="1:10" ht="17">
      <c r="A904" s="168"/>
      <c r="B904" s="168"/>
      <c r="C904" s="168"/>
      <c r="G904" s="175"/>
      <c r="H904" s="175"/>
      <c r="I904" s="168"/>
      <c r="J904" s="168"/>
    </row>
    <row r="905" spans="1:10" ht="17">
      <c r="A905" s="168"/>
      <c r="B905" s="168"/>
      <c r="C905" s="168"/>
      <c r="G905" s="175"/>
      <c r="H905" s="175"/>
      <c r="I905" s="168"/>
      <c r="J905" s="168"/>
    </row>
    <row r="906" spans="1:10" ht="17">
      <c r="A906" s="168"/>
      <c r="B906" s="168"/>
      <c r="C906" s="168"/>
      <c r="G906" s="175"/>
      <c r="H906" s="175"/>
      <c r="I906" s="168"/>
      <c r="J906" s="168"/>
    </row>
    <row r="907" spans="1:10" ht="17">
      <c r="A907" s="168"/>
      <c r="B907" s="168"/>
      <c r="C907" s="168"/>
      <c r="G907" s="175"/>
      <c r="H907" s="175"/>
      <c r="I907" s="168"/>
      <c r="J907" s="168"/>
    </row>
    <row r="908" spans="1:10" ht="17">
      <c r="A908" s="168"/>
      <c r="B908" s="168"/>
      <c r="C908" s="168"/>
      <c r="G908" s="175"/>
      <c r="H908" s="175"/>
      <c r="I908" s="168"/>
      <c r="J908" s="168"/>
    </row>
    <row r="909" spans="1:10" ht="17">
      <c r="A909" s="168"/>
      <c r="B909" s="168"/>
      <c r="C909" s="168"/>
      <c r="G909" s="175"/>
      <c r="H909" s="175"/>
      <c r="I909" s="168"/>
      <c r="J909" s="168"/>
    </row>
    <row r="910" spans="1:10" ht="17">
      <c r="A910" s="168"/>
      <c r="B910" s="168"/>
      <c r="C910" s="168"/>
      <c r="G910" s="175"/>
      <c r="H910" s="175"/>
      <c r="I910" s="168"/>
      <c r="J910" s="168"/>
    </row>
    <row r="911" spans="1:10" ht="17">
      <c r="A911" s="168"/>
      <c r="B911" s="168"/>
      <c r="C911" s="168"/>
      <c r="G911" s="175"/>
      <c r="H911" s="175"/>
      <c r="I911" s="168"/>
      <c r="J911" s="168"/>
    </row>
    <row r="912" spans="1:10" ht="17">
      <c r="A912" s="168"/>
      <c r="B912" s="168"/>
      <c r="C912" s="168"/>
      <c r="G912" s="175"/>
      <c r="H912" s="175"/>
      <c r="I912" s="168"/>
      <c r="J912" s="168"/>
    </row>
    <row r="913" spans="1:10" ht="17">
      <c r="A913" s="168"/>
      <c r="B913" s="168"/>
      <c r="C913" s="168"/>
      <c r="G913" s="175"/>
      <c r="H913" s="175"/>
      <c r="I913" s="168"/>
      <c r="J913" s="168"/>
    </row>
    <row r="914" spans="1:10" ht="17">
      <c r="A914" s="168"/>
      <c r="B914" s="168"/>
      <c r="C914" s="168"/>
      <c r="G914" s="175"/>
      <c r="H914" s="175"/>
      <c r="I914" s="168"/>
      <c r="J914" s="168"/>
    </row>
    <row r="915" spans="1:10" ht="17">
      <c r="A915" s="168"/>
      <c r="B915" s="168"/>
      <c r="C915" s="168"/>
      <c r="G915" s="175"/>
      <c r="H915" s="175"/>
      <c r="I915" s="168"/>
      <c r="J915" s="168"/>
    </row>
    <row r="916" spans="1:10" ht="17">
      <c r="A916" s="168"/>
      <c r="B916" s="168"/>
      <c r="C916" s="168"/>
      <c r="G916" s="175"/>
      <c r="H916" s="175"/>
      <c r="I916" s="168"/>
      <c r="J916" s="168"/>
    </row>
    <row r="917" spans="1:10" ht="17">
      <c r="A917" s="168"/>
      <c r="B917" s="168"/>
      <c r="C917" s="168"/>
      <c r="G917" s="175"/>
      <c r="H917" s="175"/>
      <c r="I917" s="168"/>
      <c r="J917" s="168"/>
    </row>
    <row r="918" spans="1:10" ht="17">
      <c r="A918" s="168"/>
      <c r="B918" s="168"/>
      <c r="C918" s="168"/>
      <c r="G918" s="175"/>
      <c r="H918" s="175"/>
      <c r="I918" s="168"/>
      <c r="J918" s="168"/>
    </row>
    <row r="919" spans="1:10" ht="17">
      <c r="A919" s="168"/>
      <c r="B919" s="168"/>
      <c r="C919" s="168"/>
      <c r="G919" s="175"/>
      <c r="H919" s="175"/>
      <c r="I919" s="168"/>
      <c r="J919" s="168"/>
    </row>
    <row r="920" spans="1:10" ht="17">
      <c r="A920" s="168"/>
      <c r="B920" s="168"/>
      <c r="C920" s="168"/>
      <c r="G920" s="175"/>
      <c r="H920" s="175"/>
      <c r="I920" s="168"/>
      <c r="J920" s="168"/>
    </row>
    <row r="921" spans="1:10" ht="17">
      <c r="A921" s="168"/>
      <c r="B921" s="168"/>
      <c r="C921" s="168"/>
      <c r="G921" s="175"/>
      <c r="H921" s="175"/>
      <c r="I921" s="168"/>
      <c r="J921" s="168"/>
    </row>
    <row r="922" spans="1:10" ht="17">
      <c r="A922" s="168"/>
      <c r="B922" s="168"/>
      <c r="C922" s="168"/>
      <c r="G922" s="175"/>
      <c r="H922" s="175"/>
      <c r="I922" s="168"/>
      <c r="J922" s="168"/>
    </row>
    <row r="923" spans="1:10" ht="17">
      <c r="A923" s="168"/>
      <c r="B923" s="168"/>
      <c r="C923" s="168"/>
      <c r="G923" s="175"/>
      <c r="H923" s="175"/>
      <c r="I923" s="168"/>
      <c r="J923" s="168"/>
    </row>
    <row r="924" spans="1:10" ht="17">
      <c r="A924" s="168"/>
      <c r="B924" s="168"/>
      <c r="C924" s="168"/>
      <c r="G924" s="175"/>
      <c r="H924" s="175"/>
      <c r="I924" s="168"/>
      <c r="J924" s="168"/>
    </row>
    <row r="925" spans="1:10" ht="17">
      <c r="A925" s="168"/>
      <c r="B925" s="168"/>
      <c r="C925" s="168"/>
      <c r="G925" s="175"/>
      <c r="H925" s="175"/>
      <c r="I925" s="168"/>
      <c r="J925" s="168"/>
    </row>
    <row r="926" spans="1:10" ht="17">
      <c r="A926" s="168"/>
      <c r="B926" s="168"/>
      <c r="C926" s="168"/>
      <c r="G926" s="175"/>
      <c r="H926" s="175"/>
      <c r="I926" s="168"/>
      <c r="J926" s="168"/>
    </row>
    <row r="927" spans="1:10" ht="17">
      <c r="A927" s="168"/>
      <c r="B927" s="168"/>
      <c r="C927" s="168"/>
      <c r="G927" s="175"/>
      <c r="H927" s="175"/>
      <c r="I927" s="168"/>
      <c r="J927" s="168"/>
    </row>
    <row r="928" spans="1:10" ht="17">
      <c r="A928" s="168"/>
      <c r="B928" s="168"/>
      <c r="C928" s="168"/>
      <c r="G928" s="175"/>
      <c r="H928" s="175"/>
      <c r="I928" s="168"/>
      <c r="J928" s="168"/>
    </row>
    <row r="929" spans="1:10" ht="17">
      <c r="A929" s="168"/>
      <c r="B929" s="168"/>
      <c r="C929" s="168"/>
      <c r="G929" s="175"/>
      <c r="H929" s="175"/>
      <c r="I929" s="168"/>
      <c r="J929" s="168"/>
    </row>
    <row r="930" spans="1:10" ht="17">
      <c r="A930" s="168"/>
      <c r="B930" s="168"/>
      <c r="C930" s="168"/>
      <c r="G930" s="175"/>
      <c r="H930" s="175"/>
      <c r="I930" s="168"/>
      <c r="J930" s="168"/>
    </row>
    <row r="931" spans="1:10" ht="17">
      <c r="A931" s="168"/>
      <c r="B931" s="168"/>
      <c r="C931" s="168"/>
      <c r="G931" s="175"/>
      <c r="H931" s="175"/>
      <c r="I931" s="168"/>
      <c r="J931" s="168"/>
    </row>
    <row r="932" spans="1:10" ht="17">
      <c r="A932" s="168"/>
      <c r="B932" s="168"/>
      <c r="C932" s="168"/>
      <c r="G932" s="175"/>
      <c r="H932" s="175"/>
      <c r="I932" s="168"/>
      <c r="J932" s="168"/>
    </row>
    <row r="933" spans="1:10" ht="17">
      <c r="A933" s="168"/>
      <c r="B933" s="168"/>
      <c r="C933" s="168"/>
      <c r="G933" s="175"/>
      <c r="H933" s="175"/>
      <c r="I933" s="168"/>
      <c r="J933" s="168"/>
    </row>
    <row r="934" spans="1:10" ht="17">
      <c r="A934" s="168"/>
      <c r="B934" s="168"/>
      <c r="C934" s="168"/>
      <c r="G934" s="175"/>
      <c r="H934" s="175"/>
      <c r="I934" s="168"/>
      <c r="J934" s="168"/>
    </row>
    <row r="935" spans="1:10" ht="17">
      <c r="A935" s="168"/>
      <c r="B935" s="168"/>
      <c r="C935" s="168"/>
      <c r="G935" s="175"/>
      <c r="H935" s="175"/>
      <c r="I935" s="168"/>
      <c r="J935" s="168"/>
    </row>
    <row r="936" spans="1:10" ht="17">
      <c r="A936" s="168"/>
      <c r="B936" s="168"/>
      <c r="C936" s="168"/>
      <c r="G936" s="175"/>
      <c r="H936" s="175"/>
      <c r="I936" s="168"/>
      <c r="J936" s="168"/>
    </row>
    <row r="937" spans="1:10" ht="17">
      <c r="A937" s="168"/>
      <c r="B937" s="168"/>
      <c r="C937" s="168"/>
      <c r="G937" s="175"/>
      <c r="H937" s="175"/>
      <c r="I937" s="168"/>
      <c r="J937" s="168"/>
    </row>
    <row r="938" spans="1:10" ht="17">
      <c r="A938" s="168"/>
      <c r="B938" s="168"/>
      <c r="C938" s="168"/>
      <c r="G938" s="175"/>
      <c r="H938" s="175"/>
      <c r="I938" s="168"/>
      <c r="J938" s="168"/>
    </row>
    <row r="939" spans="1:10" ht="17">
      <c r="A939" s="168"/>
      <c r="B939" s="168"/>
      <c r="C939" s="168"/>
      <c r="G939" s="175"/>
      <c r="H939" s="175"/>
      <c r="I939" s="168"/>
      <c r="J939" s="168"/>
    </row>
    <row r="940" spans="1:10" ht="17">
      <c r="A940" s="168"/>
      <c r="B940" s="168"/>
      <c r="C940" s="168"/>
      <c r="G940" s="175"/>
      <c r="H940" s="175"/>
      <c r="I940" s="168"/>
      <c r="J940" s="168"/>
    </row>
    <row r="941" spans="1:10" ht="17">
      <c r="A941" s="168"/>
      <c r="B941" s="168"/>
      <c r="C941" s="168"/>
      <c r="G941" s="175"/>
      <c r="H941" s="175"/>
      <c r="I941" s="168"/>
      <c r="J941" s="168"/>
    </row>
    <row r="942" spans="1:10" ht="17">
      <c r="A942" s="168"/>
      <c r="B942" s="168"/>
      <c r="C942" s="168"/>
      <c r="G942" s="175"/>
      <c r="H942" s="175"/>
      <c r="I942" s="168"/>
      <c r="J942" s="168"/>
    </row>
    <row r="943" spans="1:10" ht="17">
      <c r="A943" s="168"/>
      <c r="B943" s="168"/>
      <c r="C943" s="168"/>
      <c r="G943" s="175"/>
      <c r="H943" s="175"/>
      <c r="I943" s="168"/>
      <c r="J943" s="168"/>
    </row>
    <row r="944" spans="1:10" ht="17">
      <c r="A944" s="168"/>
      <c r="B944" s="168"/>
      <c r="C944" s="168"/>
      <c r="G944" s="175"/>
      <c r="H944" s="175"/>
      <c r="I944" s="168"/>
      <c r="J944" s="168"/>
    </row>
    <row r="945" spans="1:10" ht="17">
      <c r="A945" s="168"/>
      <c r="B945" s="168"/>
      <c r="C945" s="168"/>
      <c r="G945" s="175"/>
      <c r="H945" s="175"/>
      <c r="I945" s="168"/>
      <c r="J945" s="168"/>
    </row>
    <row r="946" spans="1:10" ht="17">
      <c r="A946" s="168"/>
      <c r="B946" s="168"/>
      <c r="C946" s="168"/>
      <c r="G946" s="175"/>
      <c r="H946" s="175"/>
      <c r="I946" s="168"/>
      <c r="J946" s="168"/>
    </row>
    <row r="947" spans="1:10" ht="17">
      <c r="A947" s="168"/>
      <c r="B947" s="168"/>
      <c r="C947" s="168"/>
      <c r="G947" s="175"/>
      <c r="H947" s="175"/>
      <c r="I947" s="168"/>
      <c r="J947" s="168"/>
    </row>
    <row r="948" spans="1:10" ht="17">
      <c r="A948" s="168"/>
      <c r="B948" s="168"/>
      <c r="C948" s="168"/>
      <c r="G948" s="175"/>
      <c r="H948" s="175"/>
      <c r="I948" s="168"/>
      <c r="J948" s="168"/>
    </row>
    <row r="949" spans="1:10" ht="17">
      <c r="A949" s="168"/>
      <c r="B949" s="168"/>
      <c r="C949" s="168"/>
      <c r="G949" s="175"/>
      <c r="H949" s="175"/>
      <c r="I949" s="168"/>
      <c r="J949" s="168"/>
    </row>
    <row r="950" spans="1:10" ht="17">
      <c r="A950" s="168"/>
      <c r="B950" s="168"/>
      <c r="C950" s="168"/>
      <c r="G950" s="175"/>
      <c r="H950" s="175"/>
      <c r="I950" s="168"/>
      <c r="J950" s="168"/>
    </row>
    <row r="951" spans="1:10" ht="17">
      <c r="A951" s="168"/>
      <c r="B951" s="168"/>
      <c r="C951" s="168"/>
      <c r="G951" s="175"/>
      <c r="H951" s="175"/>
      <c r="I951" s="168"/>
      <c r="J951" s="168"/>
    </row>
    <row r="952" spans="1:10" ht="17">
      <c r="A952" s="168"/>
      <c r="B952" s="168"/>
      <c r="C952" s="168"/>
      <c r="G952" s="175"/>
      <c r="H952" s="175"/>
      <c r="I952" s="168"/>
      <c r="J952" s="168"/>
    </row>
    <row r="953" spans="1:10" ht="17">
      <c r="A953" s="168"/>
      <c r="B953" s="168"/>
      <c r="C953" s="168"/>
      <c r="G953" s="175"/>
      <c r="H953" s="175"/>
      <c r="I953" s="168"/>
      <c r="J953" s="168"/>
    </row>
    <row r="954" spans="1:10" ht="17">
      <c r="A954" s="168"/>
      <c r="B954" s="168"/>
      <c r="C954" s="168"/>
      <c r="G954" s="175"/>
      <c r="H954" s="175"/>
      <c r="I954" s="168"/>
      <c r="J954" s="168"/>
    </row>
    <row r="955" spans="1:10" ht="17">
      <c r="A955" s="168"/>
      <c r="B955" s="168"/>
      <c r="C955" s="168"/>
      <c r="G955" s="175"/>
      <c r="H955" s="175"/>
      <c r="I955" s="168"/>
      <c r="J955" s="168"/>
    </row>
    <row r="956" spans="1:10" ht="17">
      <c r="A956" s="168"/>
      <c r="B956" s="168"/>
      <c r="C956" s="168"/>
      <c r="G956" s="175"/>
      <c r="H956" s="175"/>
      <c r="I956" s="168"/>
      <c r="J956" s="168"/>
    </row>
    <row r="957" spans="1:10" ht="17">
      <c r="A957" s="168"/>
      <c r="B957" s="168"/>
      <c r="C957" s="168"/>
      <c r="G957" s="175"/>
      <c r="H957" s="175"/>
      <c r="I957" s="168"/>
      <c r="J957" s="168"/>
    </row>
    <row r="958" spans="1:10" ht="17">
      <c r="A958" s="168"/>
      <c r="B958" s="168"/>
      <c r="C958" s="168"/>
      <c r="G958" s="175"/>
      <c r="H958" s="175"/>
      <c r="I958" s="168"/>
      <c r="J958" s="168"/>
    </row>
    <row r="959" spans="1:10" ht="17">
      <c r="A959" s="168"/>
      <c r="B959" s="168"/>
      <c r="C959" s="168"/>
      <c r="G959" s="175"/>
      <c r="H959" s="175"/>
      <c r="I959" s="168"/>
      <c r="J959" s="168"/>
    </row>
    <row r="960" spans="1:10" ht="17">
      <c r="A960" s="168"/>
      <c r="B960" s="168"/>
      <c r="C960" s="168"/>
      <c r="G960" s="175"/>
      <c r="H960" s="175"/>
      <c r="I960" s="168"/>
      <c r="J960" s="168"/>
    </row>
    <row r="961" spans="1:10" ht="17">
      <c r="A961" s="168"/>
      <c r="B961" s="168"/>
      <c r="C961" s="168"/>
      <c r="G961" s="175"/>
      <c r="H961" s="175"/>
      <c r="I961" s="168"/>
      <c r="J961" s="168"/>
    </row>
    <row r="962" spans="1:10" ht="17">
      <c r="A962" s="168"/>
      <c r="B962" s="168"/>
      <c r="C962" s="168"/>
      <c r="G962" s="175"/>
      <c r="H962" s="175"/>
      <c r="I962" s="168"/>
      <c r="J962" s="168"/>
    </row>
    <row r="963" spans="1:10" ht="17">
      <c r="A963" s="168"/>
      <c r="B963" s="168"/>
      <c r="C963" s="168"/>
      <c r="G963" s="175"/>
      <c r="H963" s="175"/>
      <c r="I963" s="168"/>
      <c r="J963" s="168"/>
    </row>
    <row r="964" spans="1:10" ht="17">
      <c r="A964" s="168"/>
      <c r="B964" s="168"/>
      <c r="C964" s="168"/>
      <c r="G964" s="175"/>
      <c r="H964" s="175"/>
      <c r="I964" s="168"/>
      <c r="J964" s="168"/>
    </row>
    <row r="965" spans="1:10" ht="17">
      <c r="A965" s="168"/>
      <c r="B965" s="168"/>
      <c r="C965" s="168"/>
      <c r="G965" s="175"/>
      <c r="H965" s="175"/>
      <c r="I965" s="168"/>
      <c r="J965" s="168"/>
    </row>
    <row r="966" spans="1:10" ht="17">
      <c r="A966" s="168"/>
      <c r="B966" s="168"/>
      <c r="C966" s="168"/>
      <c r="G966" s="175"/>
      <c r="H966" s="175"/>
      <c r="I966" s="168"/>
      <c r="J966" s="168"/>
    </row>
    <row r="967" spans="1:10" ht="17">
      <c r="A967" s="168"/>
      <c r="B967" s="168"/>
      <c r="C967" s="168"/>
      <c r="G967" s="175"/>
      <c r="H967" s="175"/>
      <c r="I967" s="168"/>
      <c r="J967" s="168"/>
    </row>
    <row r="968" spans="1:10" ht="17">
      <c r="A968" s="168"/>
      <c r="B968" s="168"/>
      <c r="C968" s="168"/>
      <c r="G968" s="175"/>
      <c r="H968" s="175"/>
      <c r="I968" s="168"/>
      <c r="J968" s="168"/>
    </row>
    <row r="969" spans="1:10" ht="17">
      <c r="A969" s="168"/>
      <c r="B969" s="168"/>
      <c r="C969" s="168"/>
      <c r="G969" s="175"/>
      <c r="H969" s="175"/>
      <c r="I969" s="168"/>
      <c r="J969" s="168"/>
    </row>
    <row r="970" spans="1:10" ht="17">
      <c r="A970" s="168"/>
      <c r="B970" s="168"/>
      <c r="C970" s="168"/>
      <c r="G970" s="175"/>
      <c r="H970" s="175"/>
      <c r="I970" s="168"/>
      <c r="J970" s="168"/>
    </row>
    <row r="971" spans="1:10" ht="17">
      <c r="A971" s="168"/>
      <c r="B971" s="168"/>
      <c r="C971" s="168"/>
      <c r="G971" s="175"/>
      <c r="H971" s="175"/>
      <c r="I971" s="168"/>
      <c r="J971" s="168"/>
    </row>
    <row r="972" spans="1:10" ht="17">
      <c r="A972" s="168"/>
      <c r="B972" s="168"/>
      <c r="C972" s="168"/>
      <c r="G972" s="175"/>
      <c r="H972" s="175"/>
      <c r="I972" s="168"/>
      <c r="J972" s="168"/>
    </row>
    <row r="973" spans="1:10" ht="17">
      <c r="A973" s="168"/>
      <c r="B973" s="168"/>
      <c r="C973" s="168"/>
      <c r="G973" s="175"/>
      <c r="H973" s="175"/>
      <c r="I973" s="168"/>
      <c r="J973" s="168"/>
    </row>
    <row r="974" spans="1:10" ht="17">
      <c r="A974" s="168"/>
      <c r="B974" s="168"/>
      <c r="C974" s="168"/>
      <c r="G974" s="175"/>
      <c r="H974" s="175"/>
      <c r="I974" s="168"/>
      <c r="J974" s="168"/>
    </row>
    <row r="975" spans="1:10" ht="17">
      <c r="A975" s="168"/>
      <c r="B975" s="168"/>
      <c r="C975" s="168"/>
      <c r="G975" s="175"/>
      <c r="H975" s="175"/>
      <c r="I975" s="168"/>
      <c r="J975" s="168"/>
    </row>
    <row r="976" spans="1:10" ht="17">
      <c r="A976" s="168"/>
      <c r="B976" s="168"/>
      <c r="C976" s="168"/>
      <c r="G976" s="175"/>
      <c r="H976" s="175"/>
      <c r="I976" s="168"/>
      <c r="J976" s="168"/>
    </row>
    <row r="977" spans="1:10" ht="17">
      <c r="A977" s="168"/>
      <c r="B977" s="168"/>
      <c r="C977" s="168"/>
      <c r="G977" s="175"/>
      <c r="H977" s="175"/>
      <c r="I977" s="168"/>
      <c r="J977" s="168"/>
    </row>
    <row r="978" spans="1:10" ht="17">
      <c r="A978" s="168"/>
      <c r="B978" s="168"/>
      <c r="C978" s="168"/>
      <c r="G978" s="175"/>
      <c r="H978" s="175"/>
      <c r="I978" s="168"/>
      <c r="J978" s="168"/>
    </row>
    <row r="979" spans="1:10" ht="17">
      <c r="A979" s="168"/>
      <c r="B979" s="168"/>
      <c r="C979" s="168"/>
      <c r="G979" s="175"/>
      <c r="H979" s="175"/>
      <c r="I979" s="168"/>
      <c r="J979" s="168"/>
    </row>
    <row r="980" spans="1:10" ht="17">
      <c r="A980" s="168"/>
      <c r="B980" s="168"/>
      <c r="C980" s="168"/>
      <c r="G980" s="175"/>
      <c r="H980" s="175"/>
      <c r="I980" s="168"/>
      <c r="J980" s="168"/>
    </row>
    <row r="981" spans="1:10" ht="17">
      <c r="A981" s="168"/>
      <c r="B981" s="168"/>
      <c r="C981" s="168"/>
      <c r="G981" s="175"/>
      <c r="H981" s="175"/>
      <c r="I981" s="168"/>
      <c r="J981" s="168"/>
    </row>
    <row r="982" spans="1:10" ht="17">
      <c r="A982" s="168"/>
      <c r="B982" s="168"/>
      <c r="C982" s="168"/>
      <c r="G982" s="175"/>
      <c r="H982" s="175"/>
      <c r="I982" s="168"/>
      <c r="J982" s="168"/>
    </row>
    <row r="983" spans="1:10" ht="17">
      <c r="A983" s="168"/>
      <c r="B983" s="168"/>
      <c r="C983" s="168"/>
      <c r="G983" s="175"/>
      <c r="H983" s="175"/>
      <c r="I983" s="168"/>
      <c r="J983" s="168"/>
    </row>
    <row r="984" spans="1:10" ht="17">
      <c r="A984" s="168"/>
      <c r="B984" s="168"/>
      <c r="C984" s="168"/>
      <c r="G984" s="175"/>
      <c r="H984" s="175"/>
      <c r="I984" s="168"/>
      <c r="J984" s="168"/>
    </row>
    <row r="985" spans="1:10" ht="17">
      <c r="A985" s="168"/>
      <c r="B985" s="168"/>
      <c r="C985" s="168"/>
      <c r="G985" s="175"/>
      <c r="H985" s="175"/>
      <c r="I985" s="168"/>
      <c r="J985" s="168"/>
    </row>
    <row r="986" spans="1:10" ht="17">
      <c r="A986" s="168"/>
      <c r="B986" s="168"/>
      <c r="C986" s="168"/>
      <c r="G986" s="175"/>
      <c r="H986" s="175"/>
      <c r="I986" s="168"/>
      <c r="J986" s="168"/>
    </row>
    <row r="987" spans="1:10" ht="17">
      <c r="A987" s="168"/>
      <c r="B987" s="168"/>
      <c r="C987" s="168"/>
      <c r="G987" s="175"/>
      <c r="H987" s="175"/>
      <c r="I987" s="168"/>
      <c r="J987" s="168"/>
    </row>
    <row r="988" spans="1:10" ht="17">
      <c r="A988" s="168"/>
      <c r="B988" s="168"/>
      <c r="C988" s="168"/>
      <c r="G988" s="175"/>
      <c r="H988" s="175"/>
      <c r="I988" s="168"/>
      <c r="J988" s="168"/>
    </row>
    <row r="989" spans="1:10" ht="17">
      <c r="A989" s="168"/>
      <c r="B989" s="168"/>
      <c r="C989" s="168"/>
      <c r="G989" s="175"/>
      <c r="H989" s="175"/>
      <c r="I989" s="168"/>
      <c r="J989" s="168"/>
    </row>
    <row r="990" spans="1:10" ht="17">
      <c r="A990" s="168"/>
      <c r="B990" s="168"/>
      <c r="C990" s="168"/>
      <c r="G990" s="175"/>
      <c r="H990" s="175"/>
      <c r="I990" s="168"/>
      <c r="J990" s="168"/>
    </row>
    <row r="991" spans="1:10" ht="17">
      <c r="A991" s="168"/>
      <c r="B991" s="168"/>
      <c r="C991" s="168"/>
      <c r="G991" s="175"/>
      <c r="H991" s="175"/>
      <c r="I991" s="168"/>
      <c r="J991" s="168"/>
    </row>
    <row r="992" spans="1:10" ht="17">
      <c r="A992" s="168"/>
      <c r="B992" s="168"/>
      <c r="C992" s="168"/>
      <c r="G992" s="175"/>
      <c r="H992" s="175"/>
      <c r="I992" s="168"/>
      <c r="J992" s="168"/>
    </row>
    <row r="993" spans="1:10" ht="17">
      <c r="A993" s="168"/>
      <c r="B993" s="168"/>
      <c r="C993" s="168"/>
      <c r="G993" s="175"/>
      <c r="H993" s="175"/>
      <c r="I993" s="168"/>
      <c r="J993" s="168"/>
    </row>
    <row r="994" spans="1:10" ht="17">
      <c r="A994" s="168"/>
      <c r="B994" s="168"/>
      <c r="C994" s="168"/>
      <c r="G994" s="175"/>
      <c r="H994" s="175"/>
      <c r="I994" s="168"/>
      <c r="J994" s="168"/>
    </row>
    <row r="995" spans="1:10" ht="17">
      <c r="A995" s="168"/>
      <c r="B995" s="168"/>
      <c r="C995" s="168"/>
      <c r="G995" s="175"/>
      <c r="H995" s="175"/>
      <c r="I995" s="168"/>
      <c r="J995" s="168"/>
    </row>
    <row r="996" spans="1:10" ht="17">
      <c r="A996" s="168"/>
      <c r="B996" s="168"/>
      <c r="C996" s="168"/>
      <c r="G996" s="175"/>
      <c r="H996" s="175"/>
      <c r="I996" s="168"/>
      <c r="J996" s="168"/>
    </row>
    <row r="997" spans="1:10" ht="17">
      <c r="A997" s="168"/>
      <c r="B997" s="168"/>
      <c r="C997" s="168"/>
      <c r="G997" s="175"/>
      <c r="H997" s="175"/>
      <c r="I997" s="168"/>
      <c r="J997" s="168"/>
    </row>
    <row r="998" spans="1:10" ht="17">
      <c r="A998" s="168"/>
      <c r="B998" s="168"/>
      <c r="C998" s="168"/>
      <c r="G998" s="175"/>
      <c r="H998" s="175"/>
      <c r="I998" s="168"/>
      <c r="J998" s="168"/>
    </row>
    <row r="999" spans="1:10" ht="17">
      <c r="A999" s="168"/>
      <c r="B999" s="168"/>
      <c r="C999" s="168"/>
      <c r="G999" s="175"/>
      <c r="H999" s="175"/>
      <c r="I999" s="168"/>
      <c r="J999" s="168"/>
    </row>
    <row r="1000" spans="1:10" ht="17">
      <c r="A1000" s="168"/>
      <c r="B1000" s="168"/>
      <c r="C1000" s="168"/>
      <c r="G1000" s="175"/>
      <c r="H1000" s="175"/>
      <c r="I1000" s="168"/>
      <c r="J1000" s="168"/>
    </row>
  </sheetData>
  <customSheetViews>
    <customSheetView guid="{D79BF14D-0E82-45EB-9150-71D665DC09E0}" filter="1" showAutoFilter="1">
      <pageMargins left="0.7" right="0.7" top="0.75" bottom="0.75" header="0.3" footer="0.3"/>
      <autoFilter ref="B1:C200" xr:uid="{76E8D766-F109-4C4D-8C22-6A7F8D7ACDB3}">
        <filterColumn colId="1">
          <filters>
            <filter val="Assignments and exams are hands on learning and grades are based on peer-reviewed feedback. They're good sample of applied learning that helped the learning material stick, and were simple/straightforward enough if you pay attention during the lectures."/>
            <filter val="For the most part, this is very basic finance and investment information.  Very easy and straightforward course if you have any background in finance or investing at all.  A few assignments are out of date and need to be updated to current data."/>
            <filter val="Good course.  If you do any investing, you might be familiar with much of this course, and the math is at grade school level. Still, it isn't a waste of time, as it ties everything back to projects and had a few ideas I wasn't familiar with."/>
            <filter val="It is helpful to have prior knowledge but not necessary.  The assignments revolve around creating practical documents.  Having exposure to real world projects will make this course very easy."/>
            <filter val="Little/no prior knowledge is needed.  Exams/quizzes are fairly easy.  Tips:  This course is easy to breeze through, but may take a little longer if you actually read the material and try to take notes, etc."/>
            <filter val="Make sure you submit the week 2-4 projects early.  You need to include feedback from those peer reviews on your final project, so if you save it all til the last minute you won't have what you need to do the final project."/>
            <filter val="No prior knowledge needed. Similar structure to the middle course of the series in terms of content, but seems to be less dependent on the workbook for the final assignment. Very straightforward."/>
            <filter val="Really enjoyed this course, and the series in general was better than I expected it would be."/>
            <filter val="The math is relatively straight forward and there is no test or project component"/>
            <filter val="This was a fun course on personal productivity and self awareness.  The coursera time estimates drastically overestimate the workload--many of the readings or videos are listed at 30 minutes but only take 5."/>
            <filter val="This was fairly easy, and all the assignments built on each other. The grading rubric was easy to use in order to get a 100"/>
            <filter val="Very similar to the first course, except that the final is a peer reviewed paper.  Make sure you are paying attention to the relevant journal entries along the way or you will need to do them all at the end of the course for the paper."/>
            <filter val="watch videos and do required readings and you should pass this just fine"/>
          </filters>
        </filterColumn>
      </autoFilter>
    </customSheetView>
  </customSheetViews>
  <conditionalFormatting sqref="G1:G1000">
    <cfRule type="containsText" dxfId="7" priority="1" operator="containsText" text="DTSA">
      <formula>NOT(ISERROR(SEARCH(("DTSA"),(G1))))</formula>
    </cfRule>
    <cfRule type="containsText" dxfId="6" priority="2" operator="containsText" text="EMEA">
      <formula>NOT(ISERROR(SEARCH(("EMEA"),(G1))))</formula>
    </cfRule>
    <cfRule type="containsText" dxfId="5" priority="3" operator="containsText" text="ECEA">
      <formula>NOT(ISERROR(SEARCH(("ECEA"),(G1))))</formula>
    </cfRule>
  </conditionalFormatting>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rgb="FFB6D7A8"/>
  </sheetPr>
  <dimension ref="A1:U927"/>
  <sheetViews>
    <sheetView workbookViewId="0">
      <pane ySplit="2" topLeftCell="A3" activePane="bottomLeft" state="frozen"/>
      <selection pane="bottomLeft" activeCell="B4" sqref="B4"/>
    </sheetView>
  </sheetViews>
  <sheetFormatPr baseColWidth="10" defaultColWidth="14.5" defaultRowHeight="15" customHeight="1"/>
  <cols>
    <col min="1" max="1" width="10.83203125" customWidth="1"/>
    <col min="2" max="2" width="58.1640625" customWidth="1"/>
    <col min="3" max="3" width="23.5" customWidth="1"/>
    <col min="4" max="4" width="13.6640625" customWidth="1"/>
    <col min="5" max="5" width="19.5" customWidth="1"/>
    <col min="6" max="6" width="22.5" customWidth="1"/>
    <col min="7" max="7" width="19" customWidth="1"/>
    <col min="8" max="9" width="40.1640625" customWidth="1"/>
    <col min="10" max="21" width="8.6640625" customWidth="1"/>
  </cols>
  <sheetData>
    <row r="1" spans="1:21">
      <c r="A1" s="288" t="s">
        <v>691</v>
      </c>
      <c r="B1" s="289"/>
      <c r="C1" s="1" t="s">
        <v>405</v>
      </c>
      <c r="D1" s="3" t="s">
        <v>3</v>
      </c>
      <c r="E1" s="3" t="s">
        <v>4</v>
      </c>
      <c r="F1" s="1" t="s">
        <v>5</v>
      </c>
      <c r="G1" s="183" t="s">
        <v>6</v>
      </c>
      <c r="H1" s="5" t="s">
        <v>7</v>
      </c>
      <c r="I1" s="2" t="s">
        <v>8</v>
      </c>
      <c r="J1" s="6"/>
      <c r="K1" s="6"/>
      <c r="L1" s="6"/>
      <c r="M1" s="6"/>
      <c r="N1" s="6"/>
      <c r="O1" s="6"/>
      <c r="P1" s="6"/>
      <c r="Q1" s="6"/>
      <c r="R1" s="6"/>
      <c r="S1" s="6"/>
      <c r="T1" s="6"/>
      <c r="U1" s="6"/>
    </row>
    <row r="2" spans="1:21">
      <c r="A2" s="184" t="s">
        <v>9</v>
      </c>
      <c r="B2" s="185" t="s">
        <v>10</v>
      </c>
      <c r="C2" s="186" t="s">
        <v>406</v>
      </c>
      <c r="D2" s="186" t="s">
        <v>13</v>
      </c>
      <c r="E2" s="186" t="s">
        <v>14</v>
      </c>
      <c r="F2" s="186" t="s">
        <v>15</v>
      </c>
      <c r="G2" s="186" t="s">
        <v>16</v>
      </c>
      <c r="H2" s="187" t="s">
        <v>17</v>
      </c>
      <c r="I2" s="10" t="s">
        <v>17</v>
      </c>
      <c r="J2" s="6"/>
      <c r="K2" s="6"/>
      <c r="L2" s="6"/>
      <c r="M2" s="6"/>
      <c r="N2" s="6"/>
      <c r="O2" s="6"/>
      <c r="P2" s="6"/>
      <c r="Q2" s="6"/>
      <c r="R2" s="6"/>
      <c r="S2" s="6"/>
      <c r="T2" s="6"/>
      <c r="U2" s="6"/>
    </row>
    <row r="3" spans="1:21">
      <c r="A3" s="254" t="s">
        <v>692</v>
      </c>
      <c r="B3" s="255" t="s">
        <v>693</v>
      </c>
      <c r="C3" s="272" t="s">
        <v>694</v>
      </c>
      <c r="D3" s="257">
        <v>43</v>
      </c>
      <c r="E3" s="257" t="s">
        <v>695</v>
      </c>
      <c r="F3" s="257" t="s">
        <v>696</v>
      </c>
      <c r="G3" s="271">
        <v>0.15</v>
      </c>
      <c r="H3" s="259" t="s">
        <v>697</v>
      </c>
      <c r="I3" s="260" t="s">
        <v>698</v>
      </c>
      <c r="J3" s="6"/>
      <c r="K3" s="6"/>
      <c r="L3" s="6"/>
      <c r="M3" s="6"/>
      <c r="N3" s="6"/>
      <c r="O3" s="6"/>
      <c r="P3" s="6"/>
      <c r="Q3" s="6"/>
      <c r="R3" s="6"/>
      <c r="S3" s="6"/>
      <c r="T3" s="6"/>
      <c r="U3" s="6"/>
    </row>
    <row r="4" spans="1:21">
      <c r="A4" s="231" t="s">
        <v>699</v>
      </c>
      <c r="B4" s="232" t="s">
        <v>700</v>
      </c>
      <c r="C4" s="273" t="s">
        <v>694</v>
      </c>
      <c r="D4" s="234">
        <v>40</v>
      </c>
      <c r="E4" s="234" t="s">
        <v>695</v>
      </c>
      <c r="F4" s="234" t="s">
        <v>696</v>
      </c>
      <c r="G4" s="252"/>
      <c r="H4" s="236"/>
      <c r="I4" s="237"/>
      <c r="J4" s="6"/>
      <c r="K4" s="6"/>
      <c r="L4" s="6"/>
      <c r="M4" s="6"/>
      <c r="N4" s="6"/>
      <c r="O4" s="6"/>
      <c r="P4" s="6"/>
      <c r="Q4" s="6"/>
      <c r="R4" s="6"/>
      <c r="S4" s="6"/>
      <c r="T4" s="6"/>
      <c r="U4" s="6"/>
    </row>
    <row r="5" spans="1:21">
      <c r="A5" s="261" t="s">
        <v>701</v>
      </c>
      <c r="B5" s="262" t="s">
        <v>702</v>
      </c>
      <c r="C5" s="274" t="s">
        <v>694</v>
      </c>
      <c r="D5" s="264">
        <v>47</v>
      </c>
      <c r="E5" s="264" t="s">
        <v>695</v>
      </c>
      <c r="F5" s="264" t="s">
        <v>696</v>
      </c>
      <c r="G5" s="269"/>
      <c r="H5" s="266"/>
      <c r="I5" s="267"/>
      <c r="J5" s="6"/>
      <c r="K5" s="6"/>
      <c r="L5" s="6"/>
      <c r="M5" s="6"/>
      <c r="N5" s="6"/>
      <c r="O5" s="6"/>
      <c r="P5" s="6"/>
      <c r="Q5" s="6"/>
      <c r="R5" s="6"/>
      <c r="S5" s="6"/>
      <c r="T5" s="6"/>
      <c r="U5" s="6"/>
    </row>
    <row r="6" spans="1:21">
      <c r="A6" s="245" t="s">
        <v>703</v>
      </c>
      <c r="B6" s="246" t="s">
        <v>704</v>
      </c>
      <c r="C6" s="275" t="s">
        <v>705</v>
      </c>
      <c r="D6" s="248">
        <v>31</v>
      </c>
      <c r="E6" s="248" t="s">
        <v>706</v>
      </c>
      <c r="F6" s="248" t="s">
        <v>696</v>
      </c>
      <c r="G6" s="268">
        <v>0.4</v>
      </c>
      <c r="H6" s="250" t="s">
        <v>707</v>
      </c>
      <c r="I6" s="251" t="s">
        <v>708</v>
      </c>
      <c r="J6" s="6"/>
      <c r="K6" s="6"/>
      <c r="L6" s="6"/>
      <c r="M6" s="6"/>
      <c r="N6" s="6"/>
      <c r="O6" s="6"/>
      <c r="P6" s="6"/>
      <c r="Q6" s="6"/>
      <c r="R6" s="6"/>
      <c r="S6" s="6"/>
      <c r="T6" s="6"/>
      <c r="U6" s="6"/>
    </row>
    <row r="7" spans="1:21">
      <c r="A7" s="231" t="s">
        <v>709</v>
      </c>
      <c r="B7" s="232" t="s">
        <v>710</v>
      </c>
      <c r="C7" s="276" t="s">
        <v>705</v>
      </c>
      <c r="D7" s="234">
        <v>36</v>
      </c>
      <c r="E7" s="234" t="s">
        <v>706</v>
      </c>
      <c r="F7" s="234" t="s">
        <v>696</v>
      </c>
      <c r="G7" s="252"/>
      <c r="H7" s="236"/>
      <c r="I7" s="237"/>
      <c r="J7" s="6"/>
      <c r="K7" s="6"/>
      <c r="L7" s="6"/>
      <c r="M7" s="6"/>
      <c r="N7" s="6"/>
      <c r="O7" s="6"/>
      <c r="P7" s="6"/>
      <c r="Q7" s="6"/>
      <c r="R7" s="6"/>
      <c r="S7" s="6"/>
      <c r="T7" s="6"/>
      <c r="U7" s="6"/>
    </row>
    <row r="8" spans="1:21">
      <c r="A8" s="231" t="s">
        <v>711</v>
      </c>
      <c r="B8" s="232" t="s">
        <v>712</v>
      </c>
      <c r="C8" s="276" t="s">
        <v>705</v>
      </c>
      <c r="D8" s="234">
        <v>23</v>
      </c>
      <c r="E8" s="234" t="s">
        <v>706</v>
      </c>
      <c r="F8" s="234" t="s">
        <v>696</v>
      </c>
      <c r="G8" s="252"/>
      <c r="H8" s="236"/>
      <c r="I8" s="237"/>
      <c r="J8" s="6"/>
      <c r="K8" s="6"/>
      <c r="L8" s="6"/>
      <c r="M8" s="6"/>
      <c r="N8" s="6"/>
      <c r="O8" s="6"/>
      <c r="P8" s="6"/>
      <c r="Q8" s="6"/>
      <c r="R8" s="6"/>
      <c r="S8" s="6"/>
      <c r="T8" s="6"/>
      <c r="U8" s="6"/>
    </row>
    <row r="9" spans="1:21">
      <c r="A9" s="238" t="s">
        <v>713</v>
      </c>
      <c r="B9" s="239" t="s">
        <v>714</v>
      </c>
      <c r="C9" s="277" t="s">
        <v>705</v>
      </c>
      <c r="D9" s="241">
        <v>55</v>
      </c>
      <c r="E9" s="241" t="s">
        <v>706</v>
      </c>
      <c r="F9" s="241" t="s">
        <v>696</v>
      </c>
      <c r="G9" s="253"/>
      <c r="H9" s="243"/>
      <c r="I9" s="244"/>
      <c r="J9" s="6"/>
      <c r="K9" s="6"/>
      <c r="L9" s="6"/>
      <c r="M9" s="6"/>
      <c r="N9" s="6"/>
      <c r="O9" s="6"/>
      <c r="P9" s="6"/>
      <c r="Q9" s="6"/>
      <c r="R9" s="6"/>
      <c r="S9" s="6"/>
      <c r="T9" s="6"/>
      <c r="U9" s="6"/>
    </row>
    <row r="10" spans="1:21">
      <c r="A10" s="254" t="s">
        <v>715</v>
      </c>
      <c r="B10" s="255" t="s">
        <v>716</v>
      </c>
      <c r="C10" s="278" t="s">
        <v>705</v>
      </c>
      <c r="D10" s="257">
        <v>18</v>
      </c>
      <c r="E10" s="257" t="s">
        <v>717</v>
      </c>
      <c r="F10" s="257" t="s">
        <v>696</v>
      </c>
      <c r="G10" s="271">
        <v>0.4</v>
      </c>
      <c r="H10" s="259"/>
      <c r="I10" s="260"/>
      <c r="J10" s="6"/>
      <c r="K10" s="6"/>
      <c r="L10" s="6"/>
      <c r="M10" s="6"/>
      <c r="N10" s="6"/>
      <c r="O10" s="6"/>
      <c r="P10" s="6"/>
      <c r="Q10" s="6"/>
      <c r="R10" s="6"/>
      <c r="S10" s="6"/>
      <c r="T10" s="6"/>
      <c r="U10" s="6"/>
    </row>
    <row r="11" spans="1:21">
      <c r="A11" s="231" t="s">
        <v>718</v>
      </c>
      <c r="B11" s="232" t="s">
        <v>719</v>
      </c>
      <c r="C11" s="276" t="s">
        <v>705</v>
      </c>
      <c r="D11" s="234">
        <v>36</v>
      </c>
      <c r="E11" s="234" t="s">
        <v>720</v>
      </c>
      <c r="F11" s="234" t="s">
        <v>721</v>
      </c>
      <c r="G11" s="235">
        <v>0.4</v>
      </c>
      <c r="H11" s="236" t="s">
        <v>722</v>
      </c>
      <c r="I11" s="237"/>
      <c r="J11" s="6"/>
      <c r="K11" s="6"/>
      <c r="L11" s="6"/>
      <c r="M11" s="6"/>
      <c r="N11" s="6"/>
      <c r="O11" s="6"/>
      <c r="P11" s="6"/>
      <c r="Q11" s="6"/>
      <c r="R11" s="6"/>
      <c r="S11" s="6"/>
      <c r="T11" s="6"/>
      <c r="U11" s="6"/>
    </row>
    <row r="12" spans="1:21">
      <c r="A12" s="231" t="s">
        <v>723</v>
      </c>
      <c r="B12" s="232" t="s">
        <v>724</v>
      </c>
      <c r="C12" s="276" t="s">
        <v>705</v>
      </c>
      <c r="D12" s="234">
        <v>10</v>
      </c>
      <c r="E12" s="234" t="s">
        <v>717</v>
      </c>
      <c r="F12" s="234" t="s">
        <v>696</v>
      </c>
      <c r="G12" s="235">
        <v>0.4</v>
      </c>
      <c r="H12" s="236"/>
      <c r="I12" s="237"/>
      <c r="J12" s="6"/>
      <c r="K12" s="6"/>
      <c r="L12" s="6"/>
      <c r="M12" s="6"/>
      <c r="N12" s="6"/>
      <c r="O12" s="6"/>
      <c r="P12" s="6"/>
      <c r="Q12" s="6"/>
      <c r="R12" s="6"/>
      <c r="S12" s="6"/>
      <c r="T12" s="6"/>
      <c r="U12" s="6"/>
    </row>
    <row r="13" spans="1:21">
      <c r="A13" s="261" t="s">
        <v>725</v>
      </c>
      <c r="B13" s="262" t="s">
        <v>726</v>
      </c>
      <c r="C13" s="279" t="s">
        <v>705</v>
      </c>
      <c r="D13" s="264">
        <v>29</v>
      </c>
      <c r="E13" s="264" t="s">
        <v>727</v>
      </c>
      <c r="F13" s="264" t="s">
        <v>696</v>
      </c>
      <c r="G13" s="265">
        <v>0.2</v>
      </c>
      <c r="H13" s="266"/>
      <c r="I13" s="267"/>
      <c r="J13" s="6"/>
      <c r="K13" s="6"/>
      <c r="L13" s="6"/>
      <c r="M13" s="6"/>
      <c r="N13" s="6"/>
      <c r="O13" s="6"/>
      <c r="P13" s="6"/>
      <c r="Q13" s="6"/>
      <c r="R13" s="6"/>
      <c r="S13" s="6"/>
      <c r="T13" s="6"/>
      <c r="U13" s="6"/>
    </row>
    <row r="14" spans="1:21">
      <c r="A14" s="245" t="s">
        <v>728</v>
      </c>
      <c r="B14" s="246" t="s">
        <v>729</v>
      </c>
      <c r="C14" s="280" t="s">
        <v>694</v>
      </c>
      <c r="D14" s="248">
        <v>21</v>
      </c>
      <c r="E14" s="248" t="s">
        <v>717</v>
      </c>
      <c r="F14" s="248" t="s">
        <v>696</v>
      </c>
      <c r="G14" s="268">
        <v>0.4</v>
      </c>
      <c r="H14" s="250" t="s">
        <v>146</v>
      </c>
      <c r="I14" s="251"/>
      <c r="J14" s="6"/>
      <c r="K14" s="6"/>
      <c r="L14" s="6"/>
      <c r="M14" s="6"/>
      <c r="N14" s="6"/>
      <c r="O14" s="6"/>
      <c r="P14" s="6"/>
      <c r="Q14" s="6"/>
      <c r="R14" s="6"/>
      <c r="S14" s="6"/>
      <c r="T14" s="6"/>
      <c r="U14" s="6"/>
    </row>
    <row r="15" spans="1:21">
      <c r="A15" s="231" t="s">
        <v>730</v>
      </c>
      <c r="B15" s="232" t="s">
        <v>731</v>
      </c>
      <c r="C15" s="273" t="s">
        <v>694</v>
      </c>
      <c r="D15" s="234">
        <v>17</v>
      </c>
      <c r="E15" s="234" t="s">
        <v>717</v>
      </c>
      <c r="F15" s="234" t="s">
        <v>696</v>
      </c>
      <c r="G15" s="235">
        <v>0.4</v>
      </c>
      <c r="H15" s="236" t="s">
        <v>146</v>
      </c>
      <c r="I15" s="237"/>
      <c r="J15" s="6"/>
      <c r="K15" s="6"/>
      <c r="L15" s="6"/>
      <c r="M15" s="6"/>
      <c r="N15" s="6"/>
      <c r="O15" s="6"/>
      <c r="P15" s="6"/>
      <c r="Q15" s="6"/>
      <c r="R15" s="6"/>
      <c r="S15" s="6"/>
      <c r="T15" s="6"/>
      <c r="U15" s="6"/>
    </row>
    <row r="16" spans="1:21">
      <c r="A16" s="238" t="s">
        <v>732</v>
      </c>
      <c r="B16" s="239" t="s">
        <v>733</v>
      </c>
      <c r="C16" s="281" t="s">
        <v>694</v>
      </c>
      <c r="D16" s="241">
        <v>7</v>
      </c>
      <c r="E16" s="241" t="s">
        <v>717</v>
      </c>
      <c r="F16" s="241" t="s">
        <v>696</v>
      </c>
      <c r="G16" s="242">
        <v>0.4</v>
      </c>
      <c r="H16" s="243" t="s">
        <v>146</v>
      </c>
      <c r="I16" s="244"/>
      <c r="J16" s="6"/>
      <c r="K16" s="6"/>
      <c r="L16" s="6"/>
      <c r="M16" s="6"/>
      <c r="N16" s="6"/>
      <c r="O16" s="6"/>
      <c r="P16" s="6"/>
      <c r="Q16" s="6"/>
      <c r="R16" s="6"/>
      <c r="S16" s="6"/>
      <c r="T16" s="6"/>
      <c r="U16" s="6"/>
    </row>
    <row r="17" spans="1:21">
      <c r="A17" s="254" t="s">
        <v>734</v>
      </c>
      <c r="B17" s="255" t="s">
        <v>735</v>
      </c>
      <c r="C17" s="272" t="s">
        <v>694</v>
      </c>
      <c r="D17" s="257">
        <v>50</v>
      </c>
      <c r="E17" s="257" t="s">
        <v>706</v>
      </c>
      <c r="F17" s="257" t="s">
        <v>696</v>
      </c>
      <c r="G17" s="271">
        <v>0.3</v>
      </c>
      <c r="H17" s="259"/>
      <c r="I17" s="260"/>
      <c r="J17" s="6"/>
      <c r="K17" s="6"/>
      <c r="L17" s="6"/>
      <c r="M17" s="6"/>
      <c r="N17" s="6"/>
      <c r="O17" s="6"/>
      <c r="P17" s="6"/>
      <c r="Q17" s="6"/>
      <c r="R17" s="6"/>
      <c r="S17" s="6"/>
      <c r="T17" s="6"/>
      <c r="U17" s="6"/>
    </row>
    <row r="18" spans="1:21">
      <c r="A18" s="231" t="s">
        <v>736</v>
      </c>
      <c r="B18" s="232" t="s">
        <v>737</v>
      </c>
      <c r="C18" s="273" t="s">
        <v>694</v>
      </c>
      <c r="D18" s="234">
        <v>60</v>
      </c>
      <c r="E18" s="234"/>
      <c r="F18" s="234"/>
      <c r="G18" s="252"/>
      <c r="H18" s="236"/>
      <c r="I18" s="237"/>
      <c r="J18" s="6"/>
      <c r="K18" s="6"/>
      <c r="L18" s="6"/>
      <c r="M18" s="6"/>
      <c r="N18" s="6"/>
      <c r="O18" s="6"/>
      <c r="P18" s="6"/>
      <c r="Q18" s="6"/>
      <c r="R18" s="6"/>
      <c r="S18" s="6"/>
      <c r="T18" s="6"/>
      <c r="U18" s="6"/>
    </row>
    <row r="19" spans="1:21">
      <c r="A19" s="231" t="s">
        <v>738</v>
      </c>
      <c r="B19" s="232" t="s">
        <v>739</v>
      </c>
      <c r="C19" s="273" t="s">
        <v>694</v>
      </c>
      <c r="D19" s="234">
        <v>50</v>
      </c>
      <c r="E19" s="234"/>
      <c r="F19" s="234"/>
      <c r="G19" s="252"/>
      <c r="H19" s="236"/>
      <c r="I19" s="237"/>
      <c r="J19" s="6"/>
      <c r="K19" s="6"/>
      <c r="L19" s="6"/>
      <c r="M19" s="6"/>
      <c r="N19" s="6"/>
      <c r="O19" s="6"/>
      <c r="P19" s="6"/>
      <c r="Q19" s="6"/>
      <c r="R19" s="6"/>
      <c r="S19" s="6"/>
      <c r="T19" s="6"/>
      <c r="U19" s="6"/>
    </row>
    <row r="20" spans="1:21">
      <c r="A20" s="261" t="s">
        <v>740</v>
      </c>
      <c r="B20" s="262" t="s">
        <v>741</v>
      </c>
      <c r="C20" s="274" t="s">
        <v>694</v>
      </c>
      <c r="D20" s="264">
        <v>48</v>
      </c>
      <c r="E20" s="264"/>
      <c r="F20" s="264"/>
      <c r="G20" s="269"/>
      <c r="H20" s="266"/>
      <c r="I20" s="267"/>
      <c r="J20" s="6"/>
      <c r="K20" s="6"/>
      <c r="L20" s="6"/>
      <c r="M20" s="6"/>
      <c r="N20" s="6"/>
      <c r="O20" s="6"/>
      <c r="P20" s="6"/>
      <c r="Q20" s="6"/>
      <c r="R20" s="6"/>
      <c r="S20" s="6"/>
      <c r="T20" s="6"/>
      <c r="U20" s="6"/>
    </row>
    <row r="21" spans="1:21">
      <c r="A21" s="245" t="s">
        <v>742</v>
      </c>
      <c r="B21" s="246" t="s">
        <v>743</v>
      </c>
      <c r="C21" s="280" t="s">
        <v>694</v>
      </c>
      <c r="D21" s="248">
        <v>11</v>
      </c>
      <c r="E21" s="248"/>
      <c r="F21" s="248"/>
      <c r="G21" s="249"/>
      <c r="H21" s="250"/>
      <c r="I21" s="251"/>
      <c r="J21" s="6"/>
      <c r="K21" s="6"/>
      <c r="L21" s="6"/>
      <c r="M21" s="6"/>
      <c r="N21" s="6"/>
      <c r="O21" s="6"/>
      <c r="P21" s="6"/>
      <c r="Q21" s="6"/>
      <c r="R21" s="6"/>
      <c r="S21" s="6"/>
      <c r="T21" s="6"/>
      <c r="U21" s="6"/>
    </row>
    <row r="22" spans="1:21">
      <c r="A22" s="231" t="s">
        <v>744</v>
      </c>
      <c r="B22" s="232" t="s">
        <v>745</v>
      </c>
      <c r="C22" s="273" t="s">
        <v>694</v>
      </c>
      <c r="D22" s="234">
        <v>10</v>
      </c>
      <c r="E22" s="234"/>
      <c r="F22" s="234"/>
      <c r="G22" s="252"/>
      <c r="H22" s="236"/>
      <c r="I22" s="237"/>
      <c r="J22" s="6"/>
      <c r="K22" s="6"/>
      <c r="L22" s="6"/>
      <c r="M22" s="6"/>
      <c r="N22" s="6"/>
      <c r="O22" s="6"/>
      <c r="P22" s="6"/>
      <c r="Q22" s="6"/>
      <c r="R22" s="6"/>
      <c r="S22" s="6"/>
      <c r="T22" s="6"/>
      <c r="U22" s="6"/>
    </row>
    <row r="23" spans="1:21">
      <c r="A23" s="238" t="s">
        <v>746</v>
      </c>
      <c r="B23" s="239" t="s">
        <v>747</v>
      </c>
      <c r="C23" s="281" t="s">
        <v>694</v>
      </c>
      <c r="D23" s="241">
        <v>8</v>
      </c>
      <c r="E23" s="241"/>
      <c r="F23" s="241"/>
      <c r="G23" s="253"/>
      <c r="H23" s="243"/>
      <c r="I23" s="244"/>
      <c r="J23" s="6"/>
      <c r="K23" s="6"/>
      <c r="L23" s="6"/>
      <c r="M23" s="6"/>
      <c r="N23" s="6"/>
      <c r="O23" s="6"/>
      <c r="P23" s="6"/>
      <c r="Q23" s="6"/>
      <c r="R23" s="6"/>
      <c r="S23" s="6"/>
      <c r="T23" s="6"/>
      <c r="U23" s="6"/>
    </row>
    <row r="24" spans="1:21">
      <c r="A24" s="254" t="s">
        <v>748</v>
      </c>
      <c r="B24" s="255" t="s">
        <v>749</v>
      </c>
      <c r="C24" s="272" t="s">
        <v>694</v>
      </c>
      <c r="D24" s="257">
        <v>19</v>
      </c>
      <c r="E24" s="257"/>
      <c r="F24" s="257"/>
      <c r="G24" s="258"/>
      <c r="H24" s="259"/>
      <c r="I24" s="260"/>
      <c r="J24" s="6"/>
      <c r="K24" s="6"/>
      <c r="L24" s="6"/>
      <c r="M24" s="6"/>
      <c r="N24" s="6"/>
      <c r="O24" s="6"/>
      <c r="P24" s="6"/>
      <c r="Q24" s="6"/>
      <c r="R24" s="6"/>
      <c r="S24" s="6"/>
      <c r="T24" s="6"/>
      <c r="U24" s="6"/>
    </row>
    <row r="25" spans="1:21">
      <c r="A25" s="231" t="s">
        <v>750</v>
      </c>
      <c r="B25" s="232" t="s">
        <v>751</v>
      </c>
      <c r="C25" s="273" t="s">
        <v>694</v>
      </c>
      <c r="D25" s="234">
        <v>24</v>
      </c>
      <c r="E25" s="234"/>
      <c r="F25" s="234"/>
      <c r="G25" s="252"/>
      <c r="H25" s="236"/>
      <c r="I25" s="237"/>
      <c r="J25" s="6"/>
      <c r="K25" s="6"/>
      <c r="L25" s="6"/>
      <c r="M25" s="6"/>
      <c r="N25" s="6"/>
      <c r="O25" s="6"/>
      <c r="P25" s="6"/>
      <c r="Q25" s="6"/>
      <c r="R25" s="6"/>
      <c r="S25" s="6"/>
      <c r="T25" s="6"/>
      <c r="U25" s="6"/>
    </row>
    <row r="26" spans="1:21">
      <c r="A26" s="261" t="s">
        <v>752</v>
      </c>
      <c r="B26" s="262" t="s">
        <v>753</v>
      </c>
      <c r="C26" s="274" t="s">
        <v>694</v>
      </c>
      <c r="D26" s="264"/>
      <c r="E26" s="264"/>
      <c r="F26" s="264"/>
      <c r="G26" s="269"/>
      <c r="H26" s="266"/>
      <c r="I26" s="267"/>
      <c r="J26" s="6"/>
      <c r="K26" s="6"/>
      <c r="L26" s="6"/>
      <c r="M26" s="6"/>
      <c r="N26" s="6"/>
      <c r="O26" s="6"/>
      <c r="P26" s="6"/>
      <c r="Q26" s="6"/>
      <c r="R26" s="6"/>
      <c r="S26" s="6"/>
      <c r="T26" s="6"/>
      <c r="U26" s="6"/>
    </row>
    <row r="27" spans="1:21">
      <c r="A27" s="245" t="s">
        <v>754</v>
      </c>
      <c r="B27" s="246" t="s">
        <v>755</v>
      </c>
      <c r="C27" s="280" t="s">
        <v>694</v>
      </c>
      <c r="D27" s="248">
        <v>40</v>
      </c>
      <c r="E27" s="248"/>
      <c r="F27" s="248"/>
      <c r="G27" s="249"/>
      <c r="H27" s="250"/>
      <c r="I27" s="251"/>
      <c r="J27" s="6"/>
      <c r="K27" s="6"/>
      <c r="L27" s="6"/>
      <c r="M27" s="6"/>
      <c r="N27" s="6"/>
      <c r="O27" s="6"/>
      <c r="P27" s="6"/>
      <c r="Q27" s="6"/>
      <c r="R27" s="6"/>
      <c r="S27" s="6"/>
      <c r="T27" s="6"/>
      <c r="U27" s="6"/>
    </row>
    <row r="28" spans="1:21">
      <c r="A28" s="231" t="s">
        <v>756</v>
      </c>
      <c r="B28" s="232" t="s">
        <v>757</v>
      </c>
      <c r="C28" s="273" t="s">
        <v>694</v>
      </c>
      <c r="D28" s="234">
        <v>30</v>
      </c>
      <c r="E28" s="234"/>
      <c r="F28" s="234"/>
      <c r="G28" s="252"/>
      <c r="H28" s="236"/>
      <c r="I28" s="237"/>
      <c r="J28" s="6"/>
      <c r="K28" s="6"/>
      <c r="L28" s="6"/>
      <c r="M28" s="6"/>
      <c r="N28" s="6"/>
      <c r="O28" s="6"/>
      <c r="P28" s="6"/>
      <c r="Q28" s="6"/>
      <c r="R28" s="6"/>
      <c r="S28" s="6"/>
      <c r="T28" s="6"/>
      <c r="U28" s="6"/>
    </row>
    <row r="29" spans="1:21">
      <c r="A29" s="238" t="s">
        <v>758</v>
      </c>
      <c r="B29" s="239" t="s">
        <v>759</v>
      </c>
      <c r="C29" s="281" t="s">
        <v>694</v>
      </c>
      <c r="D29" s="241"/>
      <c r="E29" s="241"/>
      <c r="F29" s="241"/>
      <c r="G29" s="253"/>
      <c r="H29" s="243"/>
      <c r="I29" s="244"/>
      <c r="J29" s="6"/>
      <c r="K29" s="6"/>
      <c r="L29" s="6"/>
      <c r="M29" s="6"/>
      <c r="N29" s="6"/>
      <c r="O29" s="6"/>
      <c r="P29" s="6"/>
      <c r="Q29" s="6"/>
      <c r="R29" s="6"/>
      <c r="S29" s="6"/>
      <c r="T29" s="6"/>
      <c r="U29" s="6"/>
    </row>
    <row r="30" spans="1:21">
      <c r="A30" s="254" t="s">
        <v>760</v>
      </c>
      <c r="B30" s="255" t="s">
        <v>761</v>
      </c>
      <c r="C30" s="278" t="s">
        <v>762</v>
      </c>
      <c r="D30" s="257">
        <v>11</v>
      </c>
      <c r="E30" s="257" t="s">
        <v>763</v>
      </c>
      <c r="F30" s="257" t="s">
        <v>696</v>
      </c>
      <c r="G30" s="271">
        <v>0.45</v>
      </c>
      <c r="H30" s="259" t="s">
        <v>764</v>
      </c>
      <c r="I30" s="260" t="s">
        <v>765</v>
      </c>
      <c r="J30" s="6"/>
      <c r="K30" s="6"/>
      <c r="L30" s="6"/>
      <c r="M30" s="6"/>
      <c r="N30" s="6"/>
      <c r="O30" s="6"/>
      <c r="P30" s="6"/>
      <c r="Q30" s="6"/>
      <c r="R30" s="6"/>
      <c r="S30" s="6"/>
      <c r="T30" s="6"/>
      <c r="U30" s="6"/>
    </row>
    <row r="31" spans="1:21">
      <c r="A31" s="231" t="s">
        <v>766</v>
      </c>
      <c r="B31" s="232" t="s">
        <v>767</v>
      </c>
      <c r="C31" s="276" t="s">
        <v>762</v>
      </c>
      <c r="D31" s="234">
        <v>18</v>
      </c>
      <c r="E31" s="234"/>
      <c r="F31" s="234" t="s">
        <v>696</v>
      </c>
      <c r="G31" s="252"/>
      <c r="H31" s="236" t="s">
        <v>764</v>
      </c>
      <c r="I31" s="237"/>
      <c r="J31" s="6"/>
      <c r="K31" s="6"/>
      <c r="L31" s="6"/>
      <c r="M31" s="6"/>
      <c r="N31" s="6"/>
      <c r="O31" s="6"/>
      <c r="P31" s="6"/>
      <c r="Q31" s="6"/>
      <c r="R31" s="6"/>
      <c r="S31" s="6"/>
      <c r="T31" s="6"/>
      <c r="U31" s="6"/>
    </row>
    <row r="32" spans="1:21">
      <c r="A32" s="231" t="s">
        <v>768</v>
      </c>
      <c r="B32" s="232" t="s">
        <v>769</v>
      </c>
      <c r="C32" s="276" t="s">
        <v>762</v>
      </c>
      <c r="D32" s="234">
        <v>19</v>
      </c>
      <c r="E32" s="234"/>
      <c r="F32" s="234" t="s">
        <v>696</v>
      </c>
      <c r="G32" s="252"/>
      <c r="H32" s="236" t="s">
        <v>764</v>
      </c>
      <c r="I32" s="237"/>
      <c r="J32" s="6"/>
      <c r="K32" s="6"/>
      <c r="L32" s="6"/>
      <c r="M32" s="6"/>
      <c r="N32" s="6"/>
      <c r="O32" s="6"/>
      <c r="P32" s="6"/>
      <c r="Q32" s="6"/>
      <c r="R32" s="6"/>
      <c r="S32" s="6"/>
      <c r="T32" s="6"/>
      <c r="U32" s="6"/>
    </row>
    <row r="33" spans="1:21">
      <c r="A33" s="261" t="s">
        <v>770</v>
      </c>
      <c r="B33" s="262" t="s">
        <v>771</v>
      </c>
      <c r="C33" s="279" t="s">
        <v>762</v>
      </c>
      <c r="D33" s="264">
        <v>17</v>
      </c>
      <c r="E33" s="264"/>
      <c r="F33" s="264" t="s">
        <v>696</v>
      </c>
      <c r="G33" s="269"/>
      <c r="H33" s="266" t="s">
        <v>764</v>
      </c>
      <c r="I33" s="267"/>
      <c r="J33" s="6"/>
      <c r="K33" s="6"/>
      <c r="L33" s="6"/>
      <c r="M33" s="6"/>
      <c r="N33" s="6"/>
      <c r="O33" s="6"/>
      <c r="P33" s="6"/>
      <c r="Q33" s="6"/>
      <c r="R33" s="6"/>
      <c r="S33" s="6"/>
      <c r="T33" s="6"/>
      <c r="U33" s="6"/>
    </row>
    <row r="34" spans="1:21">
      <c r="A34" s="245" t="s">
        <v>772</v>
      </c>
      <c r="B34" s="246" t="s">
        <v>773</v>
      </c>
      <c r="C34" s="280" t="s">
        <v>774</v>
      </c>
      <c r="D34" s="248"/>
      <c r="E34" s="248"/>
      <c r="F34" s="248"/>
      <c r="G34" s="249"/>
      <c r="H34" s="250"/>
      <c r="I34" s="251"/>
      <c r="J34" s="6"/>
      <c r="K34" s="6"/>
      <c r="L34" s="6"/>
      <c r="M34" s="6"/>
      <c r="N34" s="6"/>
      <c r="O34" s="6"/>
      <c r="P34" s="6"/>
      <c r="Q34" s="6"/>
      <c r="R34" s="6"/>
      <c r="S34" s="6"/>
      <c r="T34" s="6"/>
      <c r="U34" s="6"/>
    </row>
    <row r="35" spans="1:21">
      <c r="A35" s="231" t="s">
        <v>775</v>
      </c>
      <c r="B35" s="232" t="s">
        <v>776</v>
      </c>
      <c r="C35" s="273" t="s">
        <v>774</v>
      </c>
      <c r="D35" s="234"/>
      <c r="E35" s="234"/>
      <c r="F35" s="234"/>
      <c r="G35" s="252"/>
      <c r="H35" s="236"/>
      <c r="I35" s="237"/>
      <c r="J35" s="6"/>
      <c r="K35" s="6"/>
      <c r="L35" s="6"/>
      <c r="M35" s="6"/>
      <c r="N35" s="6"/>
      <c r="O35" s="6"/>
      <c r="P35" s="6"/>
      <c r="Q35" s="6"/>
      <c r="R35" s="6"/>
      <c r="S35" s="6"/>
      <c r="T35" s="6"/>
      <c r="U35" s="6"/>
    </row>
    <row r="36" spans="1:21">
      <c r="A36" s="231" t="s">
        <v>777</v>
      </c>
      <c r="B36" s="232" t="s">
        <v>778</v>
      </c>
      <c r="C36" s="273" t="s">
        <v>774</v>
      </c>
      <c r="D36" s="234"/>
      <c r="E36" s="234"/>
      <c r="F36" s="234"/>
      <c r="G36" s="252"/>
      <c r="H36" s="236"/>
      <c r="I36" s="237"/>
      <c r="J36" s="6"/>
      <c r="K36" s="6"/>
      <c r="L36" s="6"/>
      <c r="M36" s="6"/>
      <c r="N36" s="6"/>
      <c r="O36" s="6"/>
      <c r="P36" s="6"/>
      <c r="Q36" s="6"/>
      <c r="R36" s="6"/>
      <c r="S36" s="6"/>
      <c r="T36" s="6"/>
      <c r="U36" s="6"/>
    </row>
    <row r="37" spans="1:21">
      <c r="A37" s="231" t="s">
        <v>779</v>
      </c>
      <c r="B37" s="232" t="s">
        <v>780</v>
      </c>
      <c r="C37" s="273" t="s">
        <v>774</v>
      </c>
      <c r="D37" s="234"/>
      <c r="E37" s="234"/>
      <c r="F37" s="234"/>
      <c r="G37" s="252"/>
      <c r="H37" s="236"/>
      <c r="I37" s="237"/>
      <c r="J37" s="6"/>
      <c r="K37" s="6"/>
      <c r="L37" s="6"/>
      <c r="M37" s="6"/>
      <c r="N37" s="6"/>
      <c r="O37" s="6"/>
      <c r="P37" s="6"/>
      <c r="Q37" s="6"/>
      <c r="R37" s="6"/>
      <c r="S37" s="6"/>
      <c r="T37" s="6"/>
      <c r="U37" s="6"/>
    </row>
    <row r="38" spans="1:21">
      <c r="A38" s="238" t="s">
        <v>781</v>
      </c>
      <c r="B38" s="239" t="s">
        <v>782</v>
      </c>
      <c r="C38" s="281" t="s">
        <v>774</v>
      </c>
      <c r="D38" s="241"/>
      <c r="E38" s="241"/>
      <c r="F38" s="241"/>
      <c r="G38" s="253"/>
      <c r="H38" s="243"/>
      <c r="I38" s="244"/>
      <c r="J38" s="6"/>
      <c r="K38" s="6"/>
      <c r="L38" s="6"/>
      <c r="M38" s="6"/>
      <c r="N38" s="6"/>
      <c r="O38" s="6"/>
      <c r="P38" s="6"/>
      <c r="Q38" s="6"/>
      <c r="R38" s="6"/>
      <c r="S38" s="6"/>
      <c r="T38" s="6"/>
      <c r="U38" s="6"/>
    </row>
    <row r="39" spans="1:21">
      <c r="A39" s="282" t="s">
        <v>783</v>
      </c>
      <c r="B39" s="283" t="s">
        <v>784</v>
      </c>
      <c r="C39" s="284" t="s">
        <v>774</v>
      </c>
      <c r="D39" s="285"/>
      <c r="E39" s="285"/>
      <c r="F39" s="285"/>
      <c r="G39" s="286"/>
      <c r="H39" s="270"/>
      <c r="I39" s="287"/>
      <c r="J39" s="6"/>
      <c r="K39" s="6"/>
      <c r="L39" s="6"/>
      <c r="M39" s="6"/>
      <c r="N39" s="6"/>
      <c r="O39" s="6"/>
      <c r="P39" s="6"/>
      <c r="Q39" s="6"/>
      <c r="R39" s="6"/>
      <c r="S39" s="6"/>
      <c r="T39" s="6"/>
      <c r="U39" s="6"/>
    </row>
    <row r="40" spans="1:21">
      <c r="A40" s="245" t="s">
        <v>785</v>
      </c>
      <c r="B40" s="246" t="s">
        <v>786</v>
      </c>
      <c r="C40" s="280" t="s">
        <v>774</v>
      </c>
      <c r="D40" s="248"/>
      <c r="E40" s="248" t="s">
        <v>717</v>
      </c>
      <c r="F40" s="248"/>
      <c r="G40" s="268">
        <v>0.5</v>
      </c>
      <c r="H40" s="250"/>
      <c r="I40" s="251"/>
      <c r="J40" s="6"/>
      <c r="K40" s="6"/>
      <c r="L40" s="6"/>
      <c r="M40" s="6"/>
      <c r="N40" s="6"/>
      <c r="O40" s="6"/>
      <c r="P40" s="6"/>
      <c r="Q40" s="6"/>
      <c r="R40" s="6"/>
      <c r="S40" s="6"/>
      <c r="T40" s="6"/>
      <c r="U40" s="6"/>
    </row>
    <row r="41" spans="1:21">
      <c r="A41" s="231" t="s">
        <v>787</v>
      </c>
      <c r="B41" s="232" t="s">
        <v>788</v>
      </c>
      <c r="C41" s="273" t="s">
        <v>774</v>
      </c>
      <c r="D41" s="234"/>
      <c r="E41" s="234" t="s">
        <v>789</v>
      </c>
      <c r="F41" s="234"/>
      <c r="G41" s="235">
        <v>0.5</v>
      </c>
      <c r="H41" s="236"/>
      <c r="I41" s="237"/>
      <c r="J41" s="6"/>
      <c r="K41" s="6"/>
      <c r="L41" s="6"/>
      <c r="M41" s="6"/>
      <c r="N41" s="6"/>
      <c r="O41" s="6"/>
      <c r="P41" s="6"/>
      <c r="Q41" s="6"/>
      <c r="R41" s="6"/>
      <c r="S41" s="6"/>
      <c r="T41" s="6"/>
      <c r="U41" s="6"/>
    </row>
    <row r="42" spans="1:21">
      <c r="A42" s="231" t="s">
        <v>790</v>
      </c>
      <c r="B42" s="232" t="s">
        <v>791</v>
      </c>
      <c r="C42" s="273" t="s">
        <v>774</v>
      </c>
      <c r="D42" s="234"/>
      <c r="E42" s="234"/>
      <c r="F42" s="234"/>
      <c r="G42" s="252"/>
      <c r="H42" s="236"/>
      <c r="I42" s="237"/>
      <c r="J42" s="6"/>
      <c r="K42" s="6"/>
      <c r="L42" s="6"/>
      <c r="M42" s="6"/>
      <c r="N42" s="6"/>
      <c r="O42" s="6"/>
      <c r="P42" s="6"/>
      <c r="Q42" s="6"/>
      <c r="R42" s="6"/>
      <c r="S42" s="6"/>
      <c r="T42" s="6"/>
      <c r="U42" s="6"/>
    </row>
    <row r="43" spans="1:21">
      <c r="A43" s="231" t="s">
        <v>792</v>
      </c>
      <c r="B43" s="232" t="s">
        <v>793</v>
      </c>
      <c r="C43" s="273" t="s">
        <v>774</v>
      </c>
      <c r="D43" s="234"/>
      <c r="E43" s="234"/>
      <c r="F43" s="234"/>
      <c r="G43" s="252"/>
      <c r="H43" s="236"/>
      <c r="I43" s="237"/>
      <c r="J43" s="6"/>
      <c r="K43" s="6"/>
      <c r="L43" s="6"/>
      <c r="M43" s="6"/>
      <c r="N43" s="6"/>
      <c r="O43" s="6"/>
      <c r="P43" s="6"/>
      <c r="Q43" s="6"/>
      <c r="R43" s="6"/>
      <c r="S43" s="6"/>
      <c r="T43" s="6"/>
      <c r="U43" s="6"/>
    </row>
    <row r="44" spans="1:21">
      <c r="A44" s="238" t="s">
        <v>794</v>
      </c>
      <c r="B44" s="239" t="s">
        <v>795</v>
      </c>
      <c r="C44" s="281" t="s">
        <v>774</v>
      </c>
      <c r="D44" s="241"/>
      <c r="E44" s="241"/>
      <c r="F44" s="241"/>
      <c r="G44" s="253"/>
      <c r="H44" s="243"/>
      <c r="I44" s="244"/>
      <c r="J44" s="6"/>
      <c r="K44" s="6"/>
      <c r="L44" s="6"/>
      <c r="M44" s="6"/>
      <c r="N44" s="6"/>
      <c r="O44" s="6"/>
      <c r="P44" s="6"/>
      <c r="Q44" s="6"/>
      <c r="R44" s="6"/>
      <c r="S44" s="6"/>
      <c r="T44" s="6"/>
      <c r="U44" s="6"/>
    </row>
    <row r="45" spans="1:21">
      <c r="A45" s="254" t="s">
        <v>796</v>
      </c>
      <c r="B45" s="255" t="s">
        <v>797</v>
      </c>
      <c r="C45" s="272" t="s">
        <v>774</v>
      </c>
      <c r="D45" s="257"/>
      <c r="E45" s="257"/>
      <c r="F45" s="257"/>
      <c r="G45" s="258"/>
      <c r="H45" s="259"/>
      <c r="I45" s="260"/>
      <c r="J45" s="6"/>
      <c r="K45" s="6"/>
      <c r="L45" s="6"/>
      <c r="M45" s="6"/>
      <c r="N45" s="6"/>
      <c r="O45" s="6"/>
      <c r="P45" s="6"/>
      <c r="Q45" s="6"/>
      <c r="R45" s="6"/>
      <c r="S45" s="6"/>
      <c r="T45" s="6"/>
      <c r="U45" s="6"/>
    </row>
    <row r="46" spans="1:21">
      <c r="A46" s="231" t="s">
        <v>798</v>
      </c>
      <c r="B46" s="232" t="s">
        <v>799</v>
      </c>
      <c r="C46" s="273" t="s">
        <v>774</v>
      </c>
      <c r="D46" s="234"/>
      <c r="E46" s="234"/>
      <c r="F46" s="234"/>
      <c r="G46" s="252"/>
      <c r="H46" s="236"/>
      <c r="I46" s="237"/>
      <c r="J46" s="6"/>
      <c r="K46" s="6"/>
      <c r="L46" s="6"/>
      <c r="M46" s="6"/>
      <c r="N46" s="6"/>
      <c r="O46" s="6"/>
      <c r="P46" s="6"/>
      <c r="Q46" s="6"/>
      <c r="R46" s="6"/>
      <c r="S46" s="6"/>
      <c r="T46" s="6"/>
      <c r="U46" s="6"/>
    </row>
    <row r="47" spans="1:21">
      <c r="A47" s="261" t="s">
        <v>800</v>
      </c>
      <c r="B47" s="262" t="s">
        <v>801</v>
      </c>
      <c r="C47" s="274" t="s">
        <v>774</v>
      </c>
      <c r="D47" s="264"/>
      <c r="E47" s="264"/>
      <c r="F47" s="264"/>
      <c r="G47" s="269"/>
      <c r="H47" s="266"/>
      <c r="I47" s="267"/>
      <c r="J47" s="6"/>
      <c r="K47" s="6"/>
      <c r="L47" s="6"/>
      <c r="M47" s="6"/>
      <c r="N47" s="6"/>
      <c r="O47" s="6"/>
      <c r="P47" s="6"/>
      <c r="Q47" s="6"/>
      <c r="R47" s="6"/>
      <c r="S47" s="6"/>
      <c r="T47" s="6"/>
      <c r="U47" s="6"/>
    </row>
    <row r="48" spans="1:21">
      <c r="A48" s="245" t="s">
        <v>802</v>
      </c>
      <c r="B48" s="246" t="s">
        <v>803</v>
      </c>
      <c r="C48" s="280" t="s">
        <v>774</v>
      </c>
      <c r="D48" s="248"/>
      <c r="E48" s="248"/>
      <c r="F48" s="248"/>
      <c r="G48" s="249"/>
      <c r="H48" s="250"/>
      <c r="I48" s="251"/>
      <c r="J48" s="6"/>
      <c r="K48" s="6"/>
      <c r="L48" s="6"/>
      <c r="M48" s="6"/>
      <c r="N48" s="6"/>
      <c r="O48" s="6"/>
      <c r="P48" s="6"/>
      <c r="Q48" s="6"/>
      <c r="R48" s="6"/>
      <c r="S48" s="6"/>
      <c r="T48" s="6"/>
      <c r="U48" s="6"/>
    </row>
    <row r="49" spans="1:21">
      <c r="A49" s="231" t="s">
        <v>804</v>
      </c>
      <c r="B49" s="232" t="s">
        <v>805</v>
      </c>
      <c r="C49" s="273" t="s">
        <v>774</v>
      </c>
      <c r="D49" s="234"/>
      <c r="E49" s="234"/>
      <c r="F49" s="234"/>
      <c r="G49" s="252"/>
      <c r="H49" s="236"/>
      <c r="I49" s="237"/>
      <c r="J49" s="6"/>
      <c r="K49" s="6"/>
      <c r="L49" s="6"/>
      <c r="M49" s="6"/>
      <c r="N49" s="6"/>
      <c r="O49" s="6"/>
      <c r="P49" s="6"/>
      <c r="Q49" s="6"/>
      <c r="R49" s="6"/>
      <c r="S49" s="6"/>
      <c r="T49" s="6"/>
      <c r="U49" s="6"/>
    </row>
    <row r="50" spans="1:21">
      <c r="A50" s="231" t="s">
        <v>806</v>
      </c>
      <c r="B50" s="232" t="s">
        <v>807</v>
      </c>
      <c r="C50" s="273" t="s">
        <v>774</v>
      </c>
      <c r="D50" s="234"/>
      <c r="E50" s="234"/>
      <c r="F50" s="234"/>
      <c r="G50" s="252"/>
      <c r="H50" s="236"/>
      <c r="I50" s="237"/>
      <c r="J50" s="6"/>
      <c r="K50" s="6"/>
      <c r="L50" s="6"/>
      <c r="M50" s="6"/>
      <c r="N50" s="6"/>
      <c r="O50" s="6"/>
      <c r="P50" s="6"/>
      <c r="Q50" s="6"/>
      <c r="R50" s="6"/>
      <c r="S50" s="6"/>
      <c r="T50" s="6"/>
      <c r="U50" s="6"/>
    </row>
    <row r="51" spans="1:21">
      <c r="A51" s="238" t="s">
        <v>808</v>
      </c>
      <c r="B51" s="239" t="s">
        <v>809</v>
      </c>
      <c r="C51" s="281" t="s">
        <v>774</v>
      </c>
      <c r="D51" s="241"/>
      <c r="E51" s="241"/>
      <c r="F51" s="241"/>
      <c r="G51" s="253"/>
      <c r="H51" s="243"/>
      <c r="I51" s="244"/>
      <c r="J51" s="6"/>
      <c r="K51" s="6"/>
      <c r="L51" s="6"/>
      <c r="M51" s="6"/>
      <c r="N51" s="6"/>
      <c r="O51" s="6"/>
      <c r="P51" s="6"/>
      <c r="Q51" s="6"/>
      <c r="R51" s="6"/>
      <c r="S51" s="6"/>
      <c r="T51" s="6"/>
      <c r="U51" s="6"/>
    </row>
    <row r="52" spans="1:21">
      <c r="A52" s="245" t="s">
        <v>810</v>
      </c>
      <c r="B52" s="246" t="s">
        <v>811</v>
      </c>
      <c r="C52" s="275" t="s">
        <v>812</v>
      </c>
      <c r="D52" s="248"/>
      <c r="E52" s="248"/>
      <c r="F52" s="248"/>
      <c r="G52" s="249"/>
      <c r="H52" s="250"/>
      <c r="I52" s="251"/>
      <c r="J52" s="6"/>
      <c r="K52" s="6"/>
      <c r="L52" s="6"/>
      <c r="M52" s="6"/>
      <c r="N52" s="6"/>
      <c r="O52" s="6"/>
      <c r="P52" s="6"/>
      <c r="Q52" s="6"/>
      <c r="R52" s="6"/>
      <c r="S52" s="6"/>
      <c r="T52" s="6"/>
      <c r="U52" s="6"/>
    </row>
    <row r="53" spans="1:21">
      <c r="A53" s="231" t="s">
        <v>813</v>
      </c>
      <c r="B53" s="232" t="s">
        <v>814</v>
      </c>
      <c r="C53" s="276" t="s">
        <v>812</v>
      </c>
      <c r="D53" s="234"/>
      <c r="E53" s="234"/>
      <c r="F53" s="234"/>
      <c r="G53" s="252"/>
      <c r="H53" s="236"/>
      <c r="I53" s="237"/>
      <c r="J53" s="6"/>
      <c r="K53" s="6"/>
      <c r="L53" s="6"/>
      <c r="M53" s="6"/>
      <c r="N53" s="6"/>
      <c r="O53" s="6"/>
      <c r="P53" s="6"/>
      <c r="Q53" s="6"/>
      <c r="R53" s="6"/>
      <c r="S53" s="6"/>
      <c r="T53" s="6"/>
      <c r="U53" s="6"/>
    </row>
    <row r="54" spans="1:21">
      <c r="A54" s="238" t="s">
        <v>815</v>
      </c>
      <c r="B54" s="239" t="s">
        <v>816</v>
      </c>
      <c r="C54" s="277" t="s">
        <v>812</v>
      </c>
      <c r="D54" s="241"/>
      <c r="E54" s="241"/>
      <c r="F54" s="241"/>
      <c r="G54" s="253"/>
      <c r="H54" s="243"/>
      <c r="I54" s="244"/>
      <c r="J54" s="6"/>
      <c r="K54" s="6"/>
      <c r="L54" s="6"/>
      <c r="M54" s="6"/>
      <c r="N54" s="6"/>
      <c r="O54" s="6"/>
      <c r="P54" s="6"/>
      <c r="Q54" s="6"/>
      <c r="R54" s="6"/>
      <c r="S54" s="6"/>
      <c r="T54" s="6"/>
      <c r="U54" s="6"/>
    </row>
    <row r="55" spans="1:21">
      <c r="A55" s="254" t="s">
        <v>817</v>
      </c>
      <c r="B55" s="255" t="s">
        <v>818</v>
      </c>
      <c r="C55" s="278" t="s">
        <v>812</v>
      </c>
      <c r="D55" s="257"/>
      <c r="E55" s="257"/>
      <c r="F55" s="257"/>
      <c r="G55" s="258"/>
      <c r="H55" s="259"/>
      <c r="I55" s="260"/>
      <c r="J55" s="6"/>
      <c r="K55" s="6"/>
      <c r="L55" s="6"/>
      <c r="M55" s="6"/>
      <c r="N55" s="6"/>
      <c r="O55" s="6"/>
      <c r="P55" s="6"/>
      <c r="Q55" s="6"/>
      <c r="R55" s="6"/>
      <c r="S55" s="6"/>
      <c r="T55" s="6"/>
      <c r="U55" s="6"/>
    </row>
    <row r="56" spans="1:21">
      <c r="A56" s="231" t="s">
        <v>819</v>
      </c>
      <c r="B56" s="232" t="s">
        <v>820</v>
      </c>
      <c r="C56" s="276" t="s">
        <v>812</v>
      </c>
      <c r="D56" s="234"/>
      <c r="E56" s="234"/>
      <c r="F56" s="234"/>
      <c r="G56" s="252"/>
      <c r="H56" s="236"/>
      <c r="I56" s="237"/>
      <c r="J56" s="6"/>
      <c r="K56" s="6"/>
      <c r="L56" s="6"/>
      <c r="M56" s="6"/>
      <c r="N56" s="6"/>
      <c r="O56" s="6"/>
      <c r="P56" s="6"/>
      <c r="Q56" s="6"/>
      <c r="R56" s="6"/>
      <c r="S56" s="6"/>
      <c r="T56" s="6"/>
      <c r="U56" s="6"/>
    </row>
    <row r="57" spans="1:21">
      <c r="A57" s="261" t="s">
        <v>821</v>
      </c>
      <c r="B57" s="262" t="s">
        <v>822</v>
      </c>
      <c r="C57" s="279" t="s">
        <v>812</v>
      </c>
      <c r="D57" s="264"/>
      <c r="E57" s="264"/>
      <c r="F57" s="264"/>
      <c r="G57" s="269"/>
      <c r="H57" s="266"/>
      <c r="I57" s="267"/>
      <c r="J57" s="6"/>
      <c r="K57" s="6"/>
      <c r="L57" s="6"/>
      <c r="M57" s="6"/>
      <c r="N57" s="6"/>
      <c r="O57" s="6"/>
      <c r="P57" s="6"/>
      <c r="Q57" s="6"/>
      <c r="R57" s="6"/>
      <c r="S57" s="6"/>
      <c r="T57" s="6"/>
      <c r="U57" s="6"/>
    </row>
    <row r="58" spans="1:21">
      <c r="A58" s="245" t="s">
        <v>823</v>
      </c>
      <c r="B58" s="246" t="s">
        <v>824</v>
      </c>
      <c r="C58" s="280" t="s">
        <v>825</v>
      </c>
      <c r="D58" s="248"/>
      <c r="E58" s="248"/>
      <c r="F58" s="248"/>
      <c r="G58" s="249"/>
      <c r="H58" s="250"/>
      <c r="I58" s="251"/>
      <c r="J58" s="6"/>
      <c r="K58" s="6"/>
      <c r="L58" s="6"/>
      <c r="M58" s="6"/>
      <c r="N58" s="6"/>
      <c r="O58" s="6"/>
      <c r="P58" s="6"/>
      <c r="Q58" s="6"/>
      <c r="R58" s="6"/>
      <c r="S58" s="6"/>
      <c r="T58" s="6"/>
      <c r="U58" s="6"/>
    </row>
    <row r="59" spans="1:21">
      <c r="A59" s="231" t="s">
        <v>826</v>
      </c>
      <c r="B59" s="232" t="s">
        <v>827</v>
      </c>
      <c r="C59" s="273" t="s">
        <v>825</v>
      </c>
      <c r="D59" s="234"/>
      <c r="E59" s="234"/>
      <c r="F59" s="234"/>
      <c r="G59" s="252"/>
      <c r="H59" s="236"/>
      <c r="I59" s="237"/>
      <c r="J59" s="6"/>
      <c r="K59" s="6"/>
      <c r="L59" s="6"/>
      <c r="M59" s="6"/>
      <c r="N59" s="6"/>
      <c r="O59" s="6"/>
      <c r="P59" s="6"/>
      <c r="Q59" s="6"/>
      <c r="R59" s="6"/>
      <c r="S59" s="6"/>
      <c r="T59" s="6"/>
      <c r="U59" s="6"/>
    </row>
    <row r="60" spans="1:21">
      <c r="A60" s="238" t="s">
        <v>828</v>
      </c>
      <c r="B60" s="239" t="s">
        <v>829</v>
      </c>
      <c r="C60" s="281" t="s">
        <v>825</v>
      </c>
      <c r="D60" s="241"/>
      <c r="E60" s="241"/>
      <c r="F60" s="241"/>
      <c r="G60" s="253"/>
      <c r="H60" s="243"/>
      <c r="I60" s="244"/>
      <c r="J60" s="6"/>
      <c r="K60" s="6"/>
      <c r="L60" s="6"/>
      <c r="M60" s="6"/>
      <c r="N60" s="6"/>
      <c r="O60" s="6"/>
      <c r="P60" s="6"/>
      <c r="Q60" s="6"/>
      <c r="R60" s="6"/>
      <c r="S60" s="6"/>
      <c r="T60" s="6"/>
      <c r="U60" s="6"/>
    </row>
    <row r="61" spans="1:21">
      <c r="A61" s="254" t="s">
        <v>830</v>
      </c>
      <c r="B61" s="255" t="s">
        <v>831</v>
      </c>
      <c r="C61" s="272" t="s">
        <v>825</v>
      </c>
      <c r="D61" s="257"/>
      <c r="E61" s="257"/>
      <c r="F61" s="257"/>
      <c r="G61" s="258"/>
      <c r="H61" s="259"/>
      <c r="I61" s="260"/>
      <c r="J61" s="6"/>
      <c r="K61" s="6"/>
      <c r="L61" s="6"/>
      <c r="M61" s="6"/>
      <c r="N61" s="6"/>
      <c r="O61" s="6"/>
      <c r="P61" s="6"/>
      <c r="Q61" s="6"/>
      <c r="R61" s="6"/>
      <c r="S61" s="6"/>
      <c r="T61" s="6"/>
      <c r="U61" s="6"/>
    </row>
    <row r="62" spans="1:21">
      <c r="A62" s="231" t="s">
        <v>832</v>
      </c>
      <c r="B62" s="232" t="s">
        <v>833</v>
      </c>
      <c r="C62" s="273" t="s">
        <v>825</v>
      </c>
      <c r="D62" s="234"/>
      <c r="E62" s="234"/>
      <c r="F62" s="234"/>
      <c r="G62" s="252"/>
      <c r="H62" s="236"/>
      <c r="I62" s="237"/>
      <c r="J62" s="6"/>
      <c r="K62" s="6"/>
      <c r="L62" s="6"/>
      <c r="M62" s="6"/>
      <c r="N62" s="6"/>
      <c r="O62" s="6"/>
      <c r="P62" s="6"/>
      <c r="Q62" s="6"/>
      <c r="R62" s="6"/>
      <c r="S62" s="6"/>
      <c r="T62" s="6"/>
      <c r="U62" s="6"/>
    </row>
    <row r="63" spans="1:21">
      <c r="A63" s="261" t="s">
        <v>834</v>
      </c>
      <c r="B63" s="262" t="s">
        <v>835</v>
      </c>
      <c r="C63" s="274" t="s">
        <v>825</v>
      </c>
      <c r="D63" s="264"/>
      <c r="E63" s="264"/>
      <c r="F63" s="264"/>
      <c r="G63" s="269"/>
      <c r="H63" s="266"/>
      <c r="I63" s="267"/>
      <c r="J63" s="6"/>
      <c r="K63" s="6"/>
      <c r="L63" s="6"/>
      <c r="M63" s="6"/>
      <c r="N63" s="6"/>
      <c r="O63" s="6"/>
      <c r="P63" s="6"/>
      <c r="Q63" s="6"/>
      <c r="R63" s="6"/>
      <c r="S63" s="6"/>
      <c r="T63" s="6"/>
      <c r="U63" s="6"/>
    </row>
    <row r="64" spans="1:21">
      <c r="A64" s="245" t="s">
        <v>836</v>
      </c>
      <c r="B64" s="246" t="s">
        <v>837</v>
      </c>
      <c r="C64" s="280" t="s">
        <v>838</v>
      </c>
      <c r="D64" s="248"/>
      <c r="E64" s="248"/>
      <c r="F64" s="248"/>
      <c r="G64" s="249"/>
      <c r="H64" s="250"/>
      <c r="I64" s="251"/>
      <c r="J64" s="6"/>
      <c r="K64" s="6"/>
      <c r="L64" s="6"/>
      <c r="M64" s="6"/>
      <c r="N64" s="6"/>
      <c r="O64" s="6"/>
      <c r="P64" s="6"/>
      <c r="Q64" s="6"/>
      <c r="R64" s="6"/>
      <c r="S64" s="6"/>
      <c r="T64" s="6"/>
      <c r="U64" s="6"/>
    </row>
    <row r="65" spans="1:21">
      <c r="A65" s="231" t="s">
        <v>839</v>
      </c>
      <c r="B65" s="232" t="s">
        <v>840</v>
      </c>
      <c r="C65" s="273" t="s">
        <v>838</v>
      </c>
      <c r="D65" s="234"/>
      <c r="E65" s="234"/>
      <c r="F65" s="234"/>
      <c r="G65" s="252"/>
      <c r="H65" s="236"/>
      <c r="I65" s="237"/>
      <c r="J65" s="6"/>
      <c r="K65" s="6"/>
      <c r="L65" s="6"/>
      <c r="M65" s="6"/>
      <c r="N65" s="6"/>
      <c r="O65" s="6"/>
      <c r="P65" s="6"/>
      <c r="Q65" s="6"/>
      <c r="R65" s="6"/>
      <c r="S65" s="6"/>
      <c r="T65" s="6"/>
      <c r="U65" s="6"/>
    </row>
    <row r="66" spans="1:21">
      <c r="A66" s="238" t="s">
        <v>841</v>
      </c>
      <c r="B66" s="239" t="s">
        <v>842</v>
      </c>
      <c r="C66" s="281" t="s">
        <v>838</v>
      </c>
      <c r="D66" s="241"/>
      <c r="E66" s="241"/>
      <c r="F66" s="241"/>
      <c r="G66" s="253"/>
      <c r="H66" s="243"/>
      <c r="I66" s="244"/>
      <c r="J66" s="6"/>
      <c r="K66" s="6"/>
      <c r="L66" s="6"/>
      <c r="M66" s="6"/>
      <c r="N66" s="6"/>
      <c r="O66" s="6"/>
      <c r="P66" s="6"/>
      <c r="Q66" s="6"/>
      <c r="R66" s="6"/>
      <c r="S66" s="6"/>
      <c r="T66" s="6"/>
      <c r="U66" s="6"/>
    </row>
    <row r="67" spans="1:21">
      <c r="A67" s="106"/>
      <c r="B67" s="220"/>
      <c r="C67" s="106"/>
      <c r="D67" s="106"/>
      <c r="E67" s="106"/>
      <c r="F67" s="106"/>
      <c r="G67" s="221"/>
      <c r="H67" s="221"/>
      <c r="I67" s="221"/>
      <c r="J67" s="6"/>
      <c r="K67" s="6"/>
      <c r="L67" s="6"/>
      <c r="M67" s="6"/>
      <c r="N67" s="6"/>
      <c r="O67" s="6"/>
      <c r="P67" s="6"/>
      <c r="Q67" s="6"/>
      <c r="R67" s="6"/>
      <c r="S67" s="6"/>
      <c r="T67" s="6"/>
      <c r="U67" s="6"/>
    </row>
    <row r="68" spans="1:21">
      <c r="A68" s="82"/>
      <c r="B68" s="83"/>
      <c r="C68" s="82"/>
      <c r="D68" s="82"/>
      <c r="E68" s="82"/>
      <c r="F68" s="82"/>
      <c r="G68" s="222"/>
      <c r="H68" s="222"/>
      <c r="I68" s="222"/>
      <c r="J68" s="6"/>
      <c r="K68" s="6"/>
      <c r="L68" s="6"/>
      <c r="M68" s="6"/>
      <c r="N68" s="6"/>
      <c r="O68" s="6"/>
      <c r="P68" s="6"/>
      <c r="Q68" s="6"/>
      <c r="R68" s="6"/>
      <c r="S68" s="6"/>
      <c r="T68" s="6"/>
      <c r="U68" s="6"/>
    </row>
    <row r="69" spans="1:21">
      <c r="A69" s="82"/>
      <c r="B69" s="83"/>
      <c r="C69" s="82"/>
      <c r="D69" s="82"/>
      <c r="E69" s="82"/>
      <c r="F69" s="82"/>
      <c r="G69" s="222"/>
      <c r="H69" s="222"/>
      <c r="I69" s="222"/>
      <c r="J69" s="6"/>
      <c r="K69" s="6"/>
      <c r="L69" s="6"/>
      <c r="M69" s="6"/>
      <c r="N69" s="6"/>
      <c r="O69" s="6"/>
      <c r="P69" s="6"/>
      <c r="Q69" s="6"/>
      <c r="R69" s="6"/>
      <c r="S69" s="6"/>
      <c r="T69" s="6"/>
      <c r="U69" s="6"/>
    </row>
    <row r="70" spans="1:21">
      <c r="A70" s="82"/>
      <c r="B70" s="83"/>
      <c r="C70" s="82"/>
      <c r="D70" s="82"/>
      <c r="E70" s="82"/>
      <c r="F70" s="82"/>
      <c r="G70" s="222"/>
      <c r="H70" s="222"/>
      <c r="I70" s="222"/>
      <c r="J70" s="6"/>
      <c r="K70" s="6"/>
      <c r="L70" s="6"/>
      <c r="M70" s="6"/>
      <c r="N70" s="6"/>
      <c r="O70" s="6"/>
      <c r="P70" s="6"/>
      <c r="Q70" s="6"/>
      <c r="R70" s="6"/>
      <c r="S70" s="6"/>
      <c r="T70" s="6"/>
      <c r="U70" s="6"/>
    </row>
    <row r="71" spans="1:21">
      <c r="A71" s="82"/>
      <c r="B71" s="83"/>
      <c r="C71" s="82"/>
      <c r="D71" s="82"/>
      <c r="E71" s="82"/>
      <c r="F71" s="82"/>
      <c r="G71" s="222"/>
      <c r="H71" s="222"/>
      <c r="I71" s="222"/>
      <c r="J71" s="6"/>
      <c r="K71" s="6"/>
      <c r="L71" s="6"/>
      <c r="M71" s="6"/>
      <c r="N71" s="6"/>
      <c r="O71" s="6"/>
      <c r="P71" s="6"/>
      <c r="Q71" s="6"/>
      <c r="R71" s="6"/>
      <c r="S71" s="6"/>
      <c r="T71" s="6"/>
      <c r="U71" s="6"/>
    </row>
    <row r="72" spans="1:21">
      <c r="A72" s="82"/>
      <c r="B72" s="83"/>
      <c r="C72" s="82"/>
      <c r="D72" s="82"/>
      <c r="E72" s="82"/>
      <c r="F72" s="82"/>
      <c r="G72" s="222"/>
      <c r="H72" s="222"/>
      <c r="I72" s="222"/>
      <c r="J72" s="6"/>
      <c r="K72" s="6"/>
      <c r="L72" s="6"/>
      <c r="M72" s="6"/>
      <c r="N72" s="6"/>
      <c r="O72" s="6"/>
      <c r="P72" s="6"/>
      <c r="Q72" s="6"/>
      <c r="R72" s="6"/>
      <c r="S72" s="6"/>
      <c r="T72" s="6"/>
      <c r="U72" s="6"/>
    </row>
    <row r="73" spans="1:21">
      <c r="A73" s="82"/>
      <c r="B73" s="83"/>
      <c r="C73" s="82"/>
      <c r="D73" s="82"/>
      <c r="E73" s="82"/>
      <c r="F73" s="82"/>
      <c r="G73" s="222"/>
      <c r="H73" s="222"/>
      <c r="I73" s="222"/>
      <c r="J73" s="6"/>
      <c r="K73" s="6"/>
      <c r="L73" s="6"/>
      <c r="M73" s="6"/>
      <c r="N73" s="6"/>
      <c r="O73" s="6"/>
      <c r="P73" s="6"/>
      <c r="Q73" s="6"/>
      <c r="R73" s="6"/>
      <c r="S73" s="6"/>
      <c r="T73" s="6"/>
      <c r="U73" s="6"/>
    </row>
    <row r="74" spans="1:21">
      <c r="A74" s="82"/>
      <c r="B74" s="83"/>
      <c r="C74" s="82"/>
      <c r="D74" s="82"/>
      <c r="E74" s="82"/>
      <c r="F74" s="82"/>
      <c r="G74" s="222"/>
      <c r="H74" s="222"/>
      <c r="I74" s="222"/>
      <c r="J74" s="6"/>
      <c r="K74" s="6"/>
      <c r="L74" s="6"/>
      <c r="M74" s="6"/>
      <c r="N74" s="6"/>
      <c r="O74" s="6"/>
      <c r="P74" s="6"/>
      <c r="Q74" s="6"/>
      <c r="R74" s="6"/>
      <c r="S74" s="6"/>
      <c r="T74" s="6"/>
      <c r="U74" s="6"/>
    </row>
    <row r="75" spans="1:21">
      <c r="A75" s="82"/>
      <c r="B75" s="83"/>
      <c r="C75" s="82"/>
      <c r="D75" s="82"/>
      <c r="E75" s="82"/>
      <c r="F75" s="82"/>
      <c r="G75" s="222"/>
      <c r="H75" s="222"/>
      <c r="I75" s="222"/>
      <c r="J75" s="6"/>
      <c r="K75" s="6"/>
      <c r="L75" s="6"/>
      <c r="M75" s="6"/>
      <c r="N75" s="6"/>
      <c r="O75" s="6"/>
      <c r="P75" s="6"/>
      <c r="Q75" s="6"/>
      <c r="R75" s="6"/>
      <c r="S75" s="6"/>
      <c r="T75" s="6"/>
      <c r="U75" s="6"/>
    </row>
    <row r="76" spans="1:21">
      <c r="A76" s="82"/>
      <c r="B76" s="83"/>
      <c r="C76" s="82"/>
      <c r="D76" s="82"/>
      <c r="E76" s="82"/>
      <c r="F76" s="82"/>
      <c r="G76" s="222"/>
      <c r="H76" s="222"/>
      <c r="I76" s="222"/>
      <c r="J76" s="6"/>
      <c r="K76" s="6"/>
      <c r="L76" s="6"/>
      <c r="M76" s="6"/>
      <c r="N76" s="6"/>
      <c r="O76" s="6"/>
      <c r="P76" s="6"/>
      <c r="Q76" s="6"/>
      <c r="R76" s="6"/>
      <c r="S76" s="6"/>
      <c r="T76" s="6"/>
      <c r="U76" s="6"/>
    </row>
    <row r="77" spans="1:21">
      <c r="A77" s="82"/>
      <c r="B77" s="83"/>
      <c r="C77" s="82"/>
      <c r="D77" s="82"/>
      <c r="E77" s="82"/>
      <c r="F77" s="82"/>
      <c r="G77" s="222"/>
      <c r="H77" s="222"/>
      <c r="I77" s="222"/>
      <c r="J77" s="6"/>
      <c r="K77" s="6"/>
      <c r="L77" s="6"/>
      <c r="M77" s="6"/>
      <c r="N77" s="6"/>
      <c r="O77" s="6"/>
      <c r="P77" s="6"/>
      <c r="Q77" s="6"/>
      <c r="R77" s="6"/>
      <c r="S77" s="6"/>
      <c r="T77" s="6"/>
      <c r="U77" s="6"/>
    </row>
    <row r="78" spans="1:21">
      <c r="A78" s="82"/>
      <c r="B78" s="83"/>
      <c r="C78" s="82"/>
      <c r="D78" s="82"/>
      <c r="E78" s="82"/>
      <c r="F78" s="82"/>
      <c r="G78" s="222"/>
      <c r="H78" s="222"/>
      <c r="I78" s="222"/>
      <c r="J78" s="6"/>
      <c r="K78" s="6"/>
      <c r="L78" s="6"/>
      <c r="M78" s="6"/>
      <c r="N78" s="6"/>
      <c r="O78" s="6"/>
      <c r="P78" s="6"/>
      <c r="Q78" s="6"/>
      <c r="R78" s="6"/>
      <c r="S78" s="6"/>
      <c r="T78" s="6"/>
      <c r="U78" s="6"/>
    </row>
    <row r="79" spans="1:21">
      <c r="A79" s="82"/>
      <c r="B79" s="83"/>
      <c r="C79" s="82"/>
      <c r="D79" s="82"/>
      <c r="E79" s="82"/>
      <c r="F79" s="82"/>
      <c r="G79" s="222"/>
      <c r="H79" s="222"/>
      <c r="I79" s="222"/>
      <c r="J79" s="6"/>
      <c r="K79" s="6"/>
      <c r="L79" s="6"/>
      <c r="M79" s="6"/>
      <c r="N79" s="6"/>
      <c r="O79" s="6"/>
      <c r="P79" s="6"/>
      <c r="Q79" s="6"/>
      <c r="R79" s="6"/>
      <c r="S79" s="6"/>
      <c r="T79" s="6"/>
      <c r="U79" s="6"/>
    </row>
    <row r="80" spans="1:21">
      <c r="A80" s="82"/>
      <c r="B80" s="83"/>
      <c r="C80" s="82"/>
      <c r="D80" s="82"/>
      <c r="E80" s="82"/>
      <c r="F80" s="82"/>
      <c r="G80" s="222"/>
      <c r="H80" s="222"/>
      <c r="I80" s="222"/>
      <c r="J80" s="6"/>
      <c r="K80" s="6"/>
      <c r="L80" s="6"/>
      <c r="M80" s="6"/>
      <c r="N80" s="6"/>
      <c r="O80" s="6"/>
      <c r="P80" s="6"/>
      <c r="Q80" s="6"/>
      <c r="R80" s="6"/>
      <c r="S80" s="6"/>
      <c r="T80" s="6"/>
      <c r="U80" s="6"/>
    </row>
    <row r="81" spans="1:21">
      <c r="A81" s="82"/>
      <c r="B81" s="83"/>
      <c r="C81" s="82"/>
      <c r="D81" s="82"/>
      <c r="E81" s="82"/>
      <c r="F81" s="82"/>
      <c r="G81" s="222"/>
      <c r="H81" s="222"/>
      <c r="I81" s="222"/>
      <c r="J81" s="6"/>
      <c r="K81" s="6"/>
      <c r="L81" s="6"/>
      <c r="M81" s="6"/>
      <c r="N81" s="6"/>
      <c r="O81" s="6"/>
      <c r="P81" s="6"/>
      <c r="Q81" s="6"/>
      <c r="R81" s="6"/>
      <c r="S81" s="6"/>
      <c r="T81" s="6"/>
      <c r="U81" s="6"/>
    </row>
    <row r="82" spans="1:21">
      <c r="A82" s="82"/>
      <c r="B82" s="83"/>
      <c r="C82" s="82"/>
      <c r="D82" s="82"/>
      <c r="E82" s="82"/>
      <c r="F82" s="82"/>
      <c r="G82" s="222"/>
      <c r="H82" s="222"/>
      <c r="I82" s="222"/>
      <c r="J82" s="6"/>
      <c r="K82" s="6"/>
      <c r="L82" s="6"/>
      <c r="M82" s="6"/>
      <c r="N82" s="6"/>
      <c r="O82" s="6"/>
      <c r="P82" s="6"/>
      <c r="Q82" s="6"/>
      <c r="R82" s="6"/>
      <c r="S82" s="6"/>
      <c r="T82" s="6"/>
      <c r="U82" s="6"/>
    </row>
    <row r="83" spans="1:21">
      <c r="A83" s="82"/>
      <c r="B83" s="83"/>
      <c r="C83" s="82"/>
      <c r="D83" s="82"/>
      <c r="E83" s="82"/>
      <c r="F83" s="82"/>
      <c r="G83" s="222"/>
      <c r="H83" s="222"/>
      <c r="I83" s="222"/>
      <c r="J83" s="6"/>
      <c r="K83" s="6"/>
      <c r="L83" s="6"/>
      <c r="M83" s="6"/>
      <c r="N83" s="6"/>
      <c r="O83" s="6"/>
      <c r="P83" s="6"/>
      <c r="Q83" s="6"/>
      <c r="R83" s="6"/>
      <c r="S83" s="6"/>
      <c r="T83" s="6"/>
      <c r="U83" s="6"/>
    </row>
    <row r="84" spans="1:21">
      <c r="A84" s="82"/>
      <c r="B84" s="83"/>
      <c r="C84" s="82"/>
      <c r="D84" s="82"/>
      <c r="E84" s="82"/>
      <c r="F84" s="82"/>
      <c r="G84" s="222"/>
      <c r="H84" s="222"/>
      <c r="I84" s="222"/>
      <c r="J84" s="6"/>
      <c r="K84" s="6"/>
      <c r="L84" s="6"/>
      <c r="M84" s="6"/>
      <c r="N84" s="6"/>
      <c r="O84" s="6"/>
      <c r="P84" s="6"/>
      <c r="Q84" s="6"/>
      <c r="R84" s="6"/>
      <c r="S84" s="6"/>
      <c r="T84" s="6"/>
      <c r="U84" s="6"/>
    </row>
    <row r="85" spans="1:21">
      <c r="A85" s="82"/>
      <c r="B85" s="83"/>
      <c r="C85" s="82"/>
      <c r="D85" s="82"/>
      <c r="E85" s="82"/>
      <c r="F85" s="82"/>
      <c r="G85" s="222"/>
      <c r="H85" s="222"/>
      <c r="I85" s="222"/>
      <c r="J85" s="6"/>
      <c r="K85" s="6"/>
      <c r="L85" s="6"/>
      <c r="M85" s="6"/>
      <c r="N85" s="6"/>
      <c r="O85" s="6"/>
      <c r="P85" s="6"/>
      <c r="Q85" s="6"/>
      <c r="R85" s="6"/>
      <c r="S85" s="6"/>
      <c r="T85" s="6"/>
      <c r="U85" s="6"/>
    </row>
    <row r="86" spans="1:21">
      <c r="A86" s="82"/>
      <c r="B86" s="83"/>
      <c r="C86" s="82"/>
      <c r="D86" s="82"/>
      <c r="E86" s="82"/>
      <c r="F86" s="82"/>
      <c r="G86" s="222"/>
      <c r="H86" s="222"/>
      <c r="I86" s="222"/>
      <c r="J86" s="6"/>
      <c r="K86" s="6"/>
      <c r="L86" s="6"/>
      <c r="M86" s="6"/>
      <c r="N86" s="6"/>
      <c r="O86" s="6"/>
      <c r="P86" s="6"/>
      <c r="Q86" s="6"/>
      <c r="R86" s="6"/>
      <c r="S86" s="6"/>
      <c r="T86" s="6"/>
      <c r="U86" s="6"/>
    </row>
    <row r="87" spans="1:21">
      <c r="A87" s="82"/>
      <c r="B87" s="83"/>
      <c r="C87" s="82"/>
      <c r="D87" s="82"/>
      <c r="E87" s="82"/>
      <c r="F87" s="82"/>
      <c r="G87" s="222"/>
      <c r="H87" s="222"/>
      <c r="I87" s="222"/>
      <c r="J87" s="6"/>
      <c r="K87" s="6"/>
      <c r="L87" s="6"/>
      <c r="M87" s="6"/>
      <c r="N87" s="6"/>
      <c r="O87" s="6"/>
      <c r="P87" s="6"/>
      <c r="Q87" s="6"/>
      <c r="R87" s="6"/>
      <c r="S87" s="6"/>
      <c r="T87" s="6"/>
      <c r="U87" s="6"/>
    </row>
    <row r="88" spans="1:21">
      <c r="A88" s="82"/>
      <c r="B88" s="83"/>
      <c r="C88" s="82"/>
      <c r="D88" s="82"/>
      <c r="E88" s="82"/>
      <c r="F88" s="82"/>
      <c r="G88" s="222"/>
      <c r="H88" s="222"/>
      <c r="I88" s="222"/>
      <c r="J88" s="6"/>
      <c r="K88" s="6"/>
      <c r="L88" s="6"/>
      <c r="M88" s="6"/>
      <c r="N88" s="6"/>
      <c r="O88" s="6"/>
      <c r="P88" s="6"/>
      <c r="Q88" s="6"/>
      <c r="R88" s="6"/>
      <c r="S88" s="6"/>
      <c r="T88" s="6"/>
      <c r="U88" s="6"/>
    </row>
    <row r="89" spans="1:21">
      <c r="A89" s="82"/>
      <c r="B89" s="83"/>
      <c r="C89" s="82"/>
      <c r="D89" s="82"/>
      <c r="E89" s="82"/>
      <c r="F89" s="82"/>
      <c r="G89" s="222"/>
      <c r="H89" s="222"/>
      <c r="I89" s="222"/>
      <c r="J89" s="6"/>
      <c r="K89" s="6"/>
      <c r="L89" s="6"/>
      <c r="M89" s="6"/>
      <c r="N89" s="6"/>
      <c r="O89" s="6"/>
      <c r="P89" s="6"/>
      <c r="Q89" s="6"/>
      <c r="R89" s="6"/>
      <c r="S89" s="6"/>
      <c r="T89" s="6"/>
      <c r="U89" s="6"/>
    </row>
    <row r="90" spans="1:21">
      <c r="A90" s="82"/>
      <c r="B90" s="83"/>
      <c r="C90" s="82"/>
      <c r="D90" s="82"/>
      <c r="E90" s="82"/>
      <c r="F90" s="82"/>
      <c r="G90" s="222"/>
      <c r="H90" s="222"/>
      <c r="I90" s="222"/>
      <c r="J90" s="6"/>
      <c r="K90" s="6"/>
      <c r="L90" s="6"/>
      <c r="M90" s="6"/>
      <c r="N90" s="6"/>
      <c r="O90" s="6"/>
      <c r="P90" s="6"/>
      <c r="Q90" s="6"/>
      <c r="R90" s="6"/>
      <c r="S90" s="6"/>
      <c r="T90" s="6"/>
      <c r="U90" s="6"/>
    </row>
    <row r="91" spans="1:21">
      <c r="A91" s="82"/>
      <c r="B91" s="83"/>
      <c r="C91" s="82"/>
      <c r="D91" s="82"/>
      <c r="E91" s="82"/>
      <c r="F91" s="82"/>
      <c r="G91" s="222"/>
      <c r="H91" s="222"/>
      <c r="I91" s="222"/>
      <c r="J91" s="6"/>
      <c r="K91" s="6"/>
      <c r="L91" s="6"/>
      <c r="M91" s="6"/>
      <c r="N91" s="6"/>
      <c r="O91" s="6"/>
      <c r="P91" s="6"/>
      <c r="Q91" s="6"/>
      <c r="R91" s="6"/>
      <c r="S91" s="6"/>
      <c r="T91" s="6"/>
      <c r="U91" s="6"/>
    </row>
    <row r="92" spans="1:21">
      <c r="A92" s="82"/>
      <c r="B92" s="83"/>
      <c r="C92" s="82"/>
      <c r="D92" s="82"/>
      <c r="E92" s="82"/>
      <c r="F92" s="82"/>
      <c r="G92" s="222"/>
      <c r="H92" s="222"/>
      <c r="I92" s="222"/>
      <c r="J92" s="6"/>
      <c r="K92" s="6"/>
      <c r="L92" s="6"/>
      <c r="M92" s="6"/>
      <c r="N92" s="6"/>
      <c r="O92" s="6"/>
      <c r="P92" s="6"/>
      <c r="Q92" s="6"/>
      <c r="R92" s="6"/>
      <c r="S92" s="6"/>
      <c r="T92" s="6"/>
      <c r="U92" s="6"/>
    </row>
    <row r="93" spans="1:21">
      <c r="A93" s="82"/>
      <c r="B93" s="83"/>
      <c r="C93" s="82"/>
      <c r="D93" s="82"/>
      <c r="E93" s="82"/>
      <c r="F93" s="82"/>
      <c r="G93" s="222"/>
      <c r="H93" s="222"/>
      <c r="I93" s="222"/>
      <c r="J93" s="6"/>
      <c r="K93" s="6"/>
      <c r="L93" s="6"/>
      <c r="M93" s="6"/>
      <c r="N93" s="6"/>
      <c r="O93" s="6"/>
      <c r="P93" s="6"/>
      <c r="Q93" s="6"/>
      <c r="R93" s="6"/>
      <c r="S93" s="6"/>
      <c r="T93" s="6"/>
      <c r="U93" s="6"/>
    </row>
    <row r="94" spans="1:21">
      <c r="A94" s="82"/>
      <c r="B94" s="83"/>
      <c r="C94" s="82"/>
      <c r="D94" s="82"/>
      <c r="E94" s="82"/>
      <c r="F94" s="82"/>
      <c r="G94" s="222"/>
      <c r="H94" s="222"/>
      <c r="I94" s="222"/>
      <c r="J94" s="6"/>
      <c r="K94" s="6"/>
      <c r="L94" s="6"/>
      <c r="M94" s="6"/>
      <c r="N94" s="6"/>
      <c r="O94" s="6"/>
      <c r="P94" s="6"/>
      <c r="Q94" s="6"/>
      <c r="R94" s="6"/>
      <c r="S94" s="6"/>
      <c r="T94" s="6"/>
      <c r="U94" s="6"/>
    </row>
    <row r="95" spans="1:21">
      <c r="A95" s="82"/>
      <c r="B95" s="83"/>
      <c r="C95" s="82"/>
      <c r="D95" s="82"/>
      <c r="E95" s="82"/>
      <c r="F95" s="82"/>
      <c r="G95" s="222"/>
      <c r="H95" s="222"/>
      <c r="I95" s="222"/>
      <c r="J95" s="6"/>
      <c r="K95" s="6"/>
      <c r="L95" s="6"/>
      <c r="M95" s="6"/>
      <c r="N95" s="6"/>
      <c r="O95" s="6"/>
      <c r="P95" s="6"/>
      <c r="Q95" s="6"/>
      <c r="R95" s="6"/>
      <c r="S95" s="6"/>
      <c r="T95" s="6"/>
      <c r="U95" s="6"/>
    </row>
    <row r="96" spans="1:21">
      <c r="A96" s="82"/>
      <c r="B96" s="83"/>
      <c r="C96" s="82"/>
      <c r="D96" s="82"/>
      <c r="E96" s="82"/>
      <c r="F96" s="82"/>
      <c r="G96" s="222"/>
      <c r="H96" s="222"/>
      <c r="I96" s="222"/>
      <c r="J96" s="6"/>
      <c r="K96" s="6"/>
      <c r="L96" s="6"/>
      <c r="M96" s="6"/>
      <c r="N96" s="6"/>
      <c r="O96" s="6"/>
      <c r="P96" s="6"/>
      <c r="Q96" s="6"/>
      <c r="R96" s="6"/>
      <c r="S96" s="6"/>
      <c r="T96" s="6"/>
      <c r="U96" s="6"/>
    </row>
    <row r="97" spans="1:21">
      <c r="A97" s="82"/>
      <c r="B97" s="83"/>
      <c r="C97" s="82"/>
      <c r="D97" s="82"/>
      <c r="E97" s="82"/>
      <c r="F97" s="82"/>
      <c r="G97" s="222"/>
      <c r="H97" s="222"/>
      <c r="I97" s="222"/>
      <c r="J97" s="6"/>
      <c r="K97" s="6"/>
      <c r="L97" s="6"/>
      <c r="M97" s="6"/>
      <c r="N97" s="6"/>
      <c r="O97" s="6"/>
      <c r="P97" s="6"/>
      <c r="Q97" s="6"/>
      <c r="R97" s="6"/>
      <c r="S97" s="6"/>
      <c r="T97" s="6"/>
      <c r="U97" s="6"/>
    </row>
    <row r="98" spans="1:21">
      <c r="A98" s="82"/>
      <c r="B98" s="83"/>
      <c r="C98" s="82"/>
      <c r="D98" s="82"/>
      <c r="E98" s="82"/>
      <c r="F98" s="82"/>
      <c r="G98" s="222"/>
      <c r="H98" s="222"/>
      <c r="I98" s="222"/>
      <c r="J98" s="6"/>
      <c r="K98" s="6"/>
      <c r="L98" s="6"/>
      <c r="M98" s="6"/>
      <c r="N98" s="6"/>
      <c r="O98" s="6"/>
      <c r="P98" s="6"/>
      <c r="Q98" s="6"/>
      <c r="R98" s="6"/>
      <c r="S98" s="6"/>
      <c r="T98" s="6"/>
      <c r="U98" s="6"/>
    </row>
    <row r="99" spans="1:21">
      <c r="A99" s="82"/>
      <c r="B99" s="83"/>
      <c r="C99" s="82"/>
      <c r="D99" s="82"/>
      <c r="E99" s="82"/>
      <c r="F99" s="82"/>
      <c r="G99" s="222"/>
      <c r="H99" s="222"/>
      <c r="I99" s="222"/>
      <c r="J99" s="6"/>
      <c r="K99" s="6"/>
      <c r="L99" s="6"/>
      <c r="M99" s="6"/>
      <c r="N99" s="6"/>
      <c r="O99" s="6"/>
      <c r="P99" s="6"/>
      <c r="Q99" s="6"/>
      <c r="R99" s="6"/>
      <c r="S99" s="6"/>
      <c r="T99" s="6"/>
      <c r="U99" s="6"/>
    </row>
    <row r="100" spans="1:21">
      <c r="A100" s="82"/>
      <c r="B100" s="83"/>
      <c r="C100" s="82"/>
      <c r="D100" s="82"/>
      <c r="E100" s="82"/>
      <c r="F100" s="82"/>
      <c r="G100" s="222"/>
      <c r="H100" s="222"/>
      <c r="I100" s="222"/>
      <c r="J100" s="6"/>
      <c r="K100" s="6"/>
      <c r="L100" s="6"/>
      <c r="M100" s="6"/>
      <c r="N100" s="6"/>
      <c r="O100" s="6"/>
      <c r="P100" s="6"/>
      <c r="Q100" s="6"/>
      <c r="R100" s="6"/>
      <c r="S100" s="6"/>
      <c r="T100" s="6"/>
      <c r="U100" s="6"/>
    </row>
    <row r="101" spans="1:21">
      <c r="A101" s="82"/>
      <c r="B101" s="83"/>
      <c r="C101" s="82"/>
      <c r="D101" s="82"/>
      <c r="E101" s="82"/>
      <c r="F101" s="82"/>
      <c r="G101" s="222"/>
      <c r="H101" s="222"/>
      <c r="I101" s="222"/>
      <c r="J101" s="6"/>
      <c r="K101" s="6"/>
      <c r="L101" s="6"/>
      <c r="M101" s="6"/>
      <c r="N101" s="6"/>
      <c r="O101" s="6"/>
      <c r="P101" s="6"/>
      <c r="Q101" s="6"/>
      <c r="R101" s="6"/>
      <c r="S101" s="6"/>
      <c r="T101" s="6"/>
      <c r="U101" s="6"/>
    </row>
    <row r="102" spans="1:21">
      <c r="A102" s="82"/>
      <c r="B102" s="83"/>
      <c r="C102" s="82"/>
      <c r="D102" s="82"/>
      <c r="E102" s="82"/>
      <c r="F102" s="82"/>
      <c r="G102" s="222"/>
      <c r="H102" s="222"/>
      <c r="I102" s="222"/>
      <c r="J102" s="6"/>
      <c r="K102" s="6"/>
      <c r="L102" s="6"/>
      <c r="M102" s="6"/>
      <c r="N102" s="6"/>
      <c r="O102" s="6"/>
      <c r="P102" s="6"/>
      <c r="Q102" s="6"/>
      <c r="R102" s="6"/>
      <c r="S102" s="6"/>
      <c r="T102" s="6"/>
      <c r="U102" s="6"/>
    </row>
    <row r="103" spans="1:21">
      <c r="A103" s="82"/>
      <c r="B103" s="83"/>
      <c r="C103" s="82"/>
      <c r="D103" s="82"/>
      <c r="E103" s="82"/>
      <c r="F103" s="82"/>
      <c r="G103" s="222"/>
      <c r="H103" s="222"/>
      <c r="I103" s="222"/>
      <c r="J103" s="6"/>
      <c r="K103" s="6"/>
      <c r="L103" s="6"/>
      <c r="M103" s="6"/>
      <c r="N103" s="6"/>
      <c r="O103" s="6"/>
      <c r="P103" s="6"/>
      <c r="Q103" s="6"/>
      <c r="R103" s="6"/>
      <c r="S103" s="6"/>
      <c r="T103" s="6"/>
      <c r="U103" s="6"/>
    </row>
    <row r="104" spans="1:21">
      <c r="A104" s="82"/>
      <c r="B104" s="83"/>
      <c r="C104" s="82"/>
      <c r="D104" s="82"/>
      <c r="E104" s="82"/>
      <c r="F104" s="82"/>
      <c r="G104" s="222"/>
      <c r="H104" s="222"/>
      <c r="I104" s="222"/>
      <c r="J104" s="6"/>
      <c r="K104" s="6"/>
      <c r="L104" s="6"/>
      <c r="M104" s="6"/>
      <c r="N104" s="6"/>
      <c r="O104" s="6"/>
      <c r="P104" s="6"/>
      <c r="Q104" s="6"/>
      <c r="R104" s="6"/>
      <c r="S104" s="6"/>
      <c r="T104" s="6"/>
      <c r="U104" s="6"/>
    </row>
    <row r="105" spans="1:21">
      <c r="A105" s="82"/>
      <c r="B105" s="83"/>
      <c r="C105" s="82"/>
      <c r="D105" s="82"/>
      <c r="E105" s="82"/>
      <c r="F105" s="82"/>
      <c r="G105" s="222"/>
      <c r="H105" s="222"/>
      <c r="I105" s="222"/>
      <c r="J105" s="6"/>
      <c r="K105" s="6"/>
      <c r="L105" s="6"/>
      <c r="M105" s="6"/>
      <c r="N105" s="6"/>
      <c r="O105" s="6"/>
      <c r="P105" s="6"/>
      <c r="Q105" s="6"/>
      <c r="R105" s="6"/>
      <c r="S105" s="6"/>
      <c r="T105" s="6"/>
      <c r="U105" s="6"/>
    </row>
    <row r="106" spans="1:21">
      <c r="A106" s="82"/>
      <c r="B106" s="83"/>
      <c r="C106" s="82"/>
      <c r="D106" s="82"/>
      <c r="E106" s="82"/>
      <c r="F106" s="82"/>
      <c r="G106" s="222"/>
      <c r="H106" s="222"/>
      <c r="I106" s="222"/>
      <c r="J106" s="6"/>
      <c r="K106" s="6"/>
      <c r="L106" s="6"/>
      <c r="M106" s="6"/>
      <c r="N106" s="6"/>
      <c r="O106" s="6"/>
      <c r="P106" s="6"/>
      <c r="Q106" s="6"/>
      <c r="R106" s="6"/>
      <c r="S106" s="6"/>
      <c r="T106" s="6"/>
      <c r="U106" s="6"/>
    </row>
    <row r="107" spans="1:21">
      <c r="A107" s="82"/>
      <c r="B107" s="83"/>
      <c r="C107" s="82"/>
      <c r="D107" s="82"/>
      <c r="E107" s="82"/>
      <c r="F107" s="82"/>
      <c r="G107" s="222"/>
      <c r="H107" s="222"/>
      <c r="I107" s="222"/>
      <c r="J107" s="6"/>
      <c r="K107" s="6"/>
      <c r="L107" s="6"/>
      <c r="M107" s="6"/>
      <c r="N107" s="6"/>
      <c r="O107" s="6"/>
      <c r="P107" s="6"/>
      <c r="Q107" s="6"/>
      <c r="R107" s="6"/>
      <c r="S107" s="6"/>
      <c r="T107" s="6"/>
      <c r="U107" s="6"/>
    </row>
    <row r="108" spans="1:21">
      <c r="A108" s="82"/>
      <c r="B108" s="83"/>
      <c r="C108" s="82"/>
      <c r="D108" s="82"/>
      <c r="E108" s="82"/>
      <c r="F108" s="82"/>
      <c r="G108" s="222"/>
      <c r="H108" s="222"/>
      <c r="I108" s="222"/>
      <c r="J108" s="6"/>
      <c r="K108" s="6"/>
      <c r="L108" s="6"/>
      <c r="M108" s="6"/>
      <c r="N108" s="6"/>
      <c r="O108" s="6"/>
      <c r="P108" s="6"/>
      <c r="Q108" s="6"/>
      <c r="R108" s="6"/>
      <c r="S108" s="6"/>
      <c r="T108" s="6"/>
      <c r="U108" s="6"/>
    </row>
    <row r="109" spans="1:21">
      <c r="A109" s="82"/>
      <c r="B109" s="83"/>
      <c r="C109" s="82"/>
      <c r="D109" s="82"/>
      <c r="E109" s="82"/>
      <c r="F109" s="82"/>
      <c r="G109" s="222"/>
      <c r="H109" s="222"/>
      <c r="I109" s="222"/>
      <c r="J109" s="6"/>
      <c r="K109" s="6"/>
      <c r="L109" s="6"/>
      <c r="M109" s="6"/>
      <c r="N109" s="6"/>
      <c r="O109" s="6"/>
      <c r="P109" s="6"/>
      <c r="Q109" s="6"/>
      <c r="R109" s="6"/>
      <c r="S109" s="6"/>
      <c r="T109" s="6"/>
      <c r="U109" s="6"/>
    </row>
    <row r="110" spans="1:21">
      <c r="A110" s="82"/>
      <c r="B110" s="83"/>
      <c r="C110" s="82"/>
      <c r="D110" s="82"/>
      <c r="E110" s="82"/>
      <c r="F110" s="82"/>
      <c r="G110" s="222"/>
      <c r="H110" s="222"/>
      <c r="I110" s="222"/>
      <c r="J110" s="6"/>
      <c r="K110" s="6"/>
      <c r="L110" s="6"/>
      <c r="M110" s="6"/>
      <c r="N110" s="6"/>
      <c r="O110" s="6"/>
      <c r="P110" s="6"/>
      <c r="Q110" s="6"/>
      <c r="R110" s="6"/>
      <c r="S110" s="6"/>
      <c r="T110" s="6"/>
      <c r="U110" s="6"/>
    </row>
    <row r="111" spans="1:21">
      <c r="A111" s="82"/>
      <c r="B111" s="83"/>
      <c r="C111" s="82"/>
      <c r="D111" s="82"/>
      <c r="E111" s="82"/>
      <c r="F111" s="82"/>
      <c r="G111" s="222"/>
      <c r="H111" s="222"/>
      <c r="I111" s="222"/>
      <c r="J111" s="6"/>
      <c r="K111" s="6"/>
      <c r="L111" s="6"/>
      <c r="M111" s="6"/>
      <c r="N111" s="6"/>
      <c r="O111" s="6"/>
      <c r="P111" s="6"/>
      <c r="Q111" s="6"/>
      <c r="R111" s="6"/>
      <c r="S111" s="6"/>
      <c r="T111" s="6"/>
      <c r="U111" s="6"/>
    </row>
    <row r="112" spans="1:21">
      <c r="A112" s="82"/>
      <c r="B112" s="83"/>
      <c r="C112" s="82"/>
      <c r="D112" s="82"/>
      <c r="E112" s="82"/>
      <c r="F112" s="82"/>
      <c r="G112" s="222"/>
      <c r="H112" s="222"/>
      <c r="I112" s="222"/>
      <c r="J112" s="6"/>
      <c r="K112" s="6"/>
      <c r="L112" s="6"/>
      <c r="M112" s="6"/>
      <c r="N112" s="6"/>
      <c r="O112" s="6"/>
      <c r="P112" s="6"/>
      <c r="Q112" s="6"/>
      <c r="R112" s="6"/>
      <c r="S112" s="6"/>
      <c r="T112" s="6"/>
      <c r="U112" s="6"/>
    </row>
    <row r="113" spans="1:21">
      <c r="A113" s="82"/>
      <c r="B113" s="83"/>
      <c r="C113" s="82"/>
      <c r="D113" s="82"/>
      <c r="E113" s="82"/>
      <c r="F113" s="82"/>
      <c r="G113" s="222"/>
      <c r="H113" s="222"/>
      <c r="I113" s="222"/>
      <c r="J113" s="6"/>
      <c r="K113" s="6"/>
      <c r="L113" s="6"/>
      <c r="M113" s="6"/>
      <c r="N113" s="6"/>
      <c r="O113" s="6"/>
      <c r="P113" s="6"/>
      <c r="Q113" s="6"/>
      <c r="R113" s="6"/>
      <c r="S113" s="6"/>
      <c r="T113" s="6"/>
      <c r="U113" s="6"/>
    </row>
    <row r="114" spans="1:21">
      <c r="A114" s="82"/>
      <c r="B114" s="83"/>
      <c r="C114" s="82"/>
      <c r="D114" s="82"/>
      <c r="E114" s="82"/>
      <c r="F114" s="82"/>
      <c r="G114" s="222"/>
      <c r="H114" s="222"/>
      <c r="I114" s="222"/>
      <c r="J114" s="6"/>
      <c r="K114" s="6"/>
      <c r="L114" s="6"/>
      <c r="M114" s="6"/>
      <c r="N114" s="6"/>
      <c r="O114" s="6"/>
      <c r="P114" s="6"/>
      <c r="Q114" s="6"/>
      <c r="R114" s="6"/>
      <c r="S114" s="6"/>
      <c r="T114" s="6"/>
      <c r="U114" s="6"/>
    </row>
    <row r="115" spans="1:21">
      <c r="A115" s="82"/>
      <c r="B115" s="83"/>
      <c r="C115" s="82"/>
      <c r="D115" s="82"/>
      <c r="E115" s="82"/>
      <c r="F115" s="82"/>
      <c r="G115" s="222"/>
      <c r="H115" s="222"/>
      <c r="I115" s="222"/>
      <c r="J115" s="6"/>
      <c r="K115" s="6"/>
      <c r="L115" s="6"/>
      <c r="M115" s="6"/>
      <c r="N115" s="6"/>
      <c r="O115" s="6"/>
      <c r="P115" s="6"/>
      <c r="Q115" s="6"/>
      <c r="R115" s="6"/>
      <c r="S115" s="6"/>
      <c r="T115" s="6"/>
      <c r="U115" s="6"/>
    </row>
    <row r="116" spans="1:21">
      <c r="A116" s="82"/>
      <c r="B116" s="83"/>
      <c r="C116" s="82"/>
      <c r="D116" s="82"/>
      <c r="E116" s="82"/>
      <c r="F116" s="82"/>
      <c r="G116" s="222"/>
      <c r="H116" s="222"/>
      <c r="I116" s="222"/>
      <c r="J116" s="6"/>
      <c r="K116" s="6"/>
      <c r="L116" s="6"/>
      <c r="M116" s="6"/>
      <c r="N116" s="6"/>
      <c r="O116" s="6"/>
      <c r="P116" s="6"/>
      <c r="Q116" s="6"/>
      <c r="R116" s="6"/>
      <c r="S116" s="6"/>
      <c r="T116" s="6"/>
      <c r="U116" s="6"/>
    </row>
    <row r="117" spans="1:21">
      <c r="A117" s="82"/>
      <c r="B117" s="83"/>
      <c r="C117" s="82"/>
      <c r="D117" s="82"/>
      <c r="E117" s="82"/>
      <c r="F117" s="82"/>
      <c r="G117" s="222"/>
      <c r="H117" s="222"/>
      <c r="I117" s="222"/>
      <c r="J117" s="6"/>
      <c r="K117" s="6"/>
      <c r="L117" s="6"/>
      <c r="M117" s="6"/>
      <c r="N117" s="6"/>
      <c r="O117" s="6"/>
      <c r="P117" s="6"/>
      <c r="Q117" s="6"/>
      <c r="R117" s="6"/>
      <c r="S117" s="6"/>
      <c r="T117" s="6"/>
      <c r="U117" s="6"/>
    </row>
    <row r="118" spans="1:21">
      <c r="A118" s="82"/>
      <c r="B118" s="83"/>
      <c r="C118" s="82"/>
      <c r="D118" s="82"/>
      <c r="E118" s="82"/>
      <c r="F118" s="82"/>
      <c r="G118" s="222"/>
      <c r="H118" s="222"/>
      <c r="I118" s="222"/>
      <c r="J118" s="6"/>
      <c r="K118" s="6"/>
      <c r="L118" s="6"/>
      <c r="M118" s="6"/>
      <c r="N118" s="6"/>
      <c r="O118" s="6"/>
      <c r="P118" s="6"/>
      <c r="Q118" s="6"/>
      <c r="R118" s="6"/>
      <c r="S118" s="6"/>
      <c r="T118" s="6"/>
      <c r="U118" s="6"/>
    </row>
    <row r="119" spans="1:21">
      <c r="A119" s="82"/>
      <c r="B119" s="83"/>
      <c r="C119" s="82"/>
      <c r="D119" s="82"/>
      <c r="E119" s="82"/>
      <c r="F119" s="82"/>
      <c r="G119" s="222"/>
      <c r="H119" s="222"/>
      <c r="I119" s="222"/>
      <c r="J119" s="6"/>
      <c r="K119" s="6"/>
      <c r="L119" s="6"/>
      <c r="M119" s="6"/>
      <c r="N119" s="6"/>
      <c r="O119" s="6"/>
      <c r="P119" s="6"/>
      <c r="Q119" s="6"/>
      <c r="R119" s="6"/>
      <c r="S119" s="6"/>
      <c r="T119" s="6"/>
      <c r="U119" s="6"/>
    </row>
    <row r="120" spans="1:21">
      <c r="A120" s="82"/>
      <c r="B120" s="83"/>
      <c r="C120" s="82"/>
      <c r="D120" s="82"/>
      <c r="E120" s="82"/>
      <c r="F120" s="82"/>
      <c r="G120" s="222"/>
      <c r="H120" s="222"/>
      <c r="I120" s="222"/>
      <c r="J120" s="6"/>
      <c r="K120" s="6"/>
      <c r="L120" s="6"/>
      <c r="M120" s="6"/>
      <c r="N120" s="6"/>
      <c r="O120" s="6"/>
      <c r="P120" s="6"/>
      <c r="Q120" s="6"/>
      <c r="R120" s="6"/>
      <c r="S120" s="6"/>
      <c r="T120" s="6"/>
      <c r="U120" s="6"/>
    </row>
    <row r="121" spans="1:21">
      <c r="A121" s="82"/>
      <c r="B121" s="83"/>
      <c r="C121" s="82"/>
      <c r="D121" s="82"/>
      <c r="E121" s="82"/>
      <c r="F121" s="82"/>
      <c r="G121" s="222"/>
      <c r="H121" s="222"/>
      <c r="I121" s="222"/>
      <c r="J121" s="6"/>
      <c r="K121" s="6"/>
      <c r="L121" s="6"/>
      <c r="M121" s="6"/>
      <c r="N121" s="6"/>
      <c r="O121" s="6"/>
      <c r="P121" s="6"/>
      <c r="Q121" s="6"/>
      <c r="R121" s="6"/>
      <c r="S121" s="6"/>
      <c r="T121" s="6"/>
      <c r="U121" s="6"/>
    </row>
    <row r="122" spans="1:21">
      <c r="A122" s="82"/>
      <c r="B122" s="83"/>
      <c r="C122" s="82"/>
      <c r="D122" s="82"/>
      <c r="E122" s="82"/>
      <c r="F122" s="82"/>
      <c r="G122" s="222"/>
      <c r="H122" s="222"/>
      <c r="I122" s="222"/>
      <c r="J122" s="6"/>
      <c r="K122" s="6"/>
      <c r="L122" s="6"/>
      <c r="M122" s="6"/>
      <c r="N122" s="6"/>
      <c r="O122" s="6"/>
      <c r="P122" s="6"/>
      <c r="Q122" s="6"/>
      <c r="R122" s="6"/>
      <c r="S122" s="6"/>
      <c r="T122" s="6"/>
      <c r="U122" s="6"/>
    </row>
    <row r="123" spans="1:21">
      <c r="A123" s="82"/>
      <c r="B123" s="83"/>
      <c r="C123" s="82"/>
      <c r="D123" s="82"/>
      <c r="E123" s="82"/>
      <c r="F123" s="82"/>
      <c r="G123" s="222"/>
      <c r="H123" s="222"/>
      <c r="I123" s="222"/>
      <c r="J123" s="6"/>
      <c r="K123" s="6"/>
      <c r="L123" s="6"/>
      <c r="M123" s="6"/>
      <c r="N123" s="6"/>
      <c r="O123" s="6"/>
      <c r="P123" s="6"/>
      <c r="Q123" s="6"/>
      <c r="R123" s="6"/>
      <c r="S123" s="6"/>
      <c r="T123" s="6"/>
      <c r="U123" s="6"/>
    </row>
    <row r="124" spans="1:21">
      <c r="A124" s="82"/>
      <c r="B124" s="83"/>
      <c r="C124" s="82"/>
      <c r="D124" s="82"/>
      <c r="E124" s="82"/>
      <c r="F124" s="82"/>
      <c r="G124" s="222"/>
      <c r="H124" s="222"/>
      <c r="I124" s="222"/>
      <c r="J124" s="6"/>
      <c r="K124" s="6"/>
      <c r="L124" s="6"/>
      <c r="M124" s="6"/>
      <c r="N124" s="6"/>
      <c r="O124" s="6"/>
      <c r="P124" s="6"/>
      <c r="Q124" s="6"/>
      <c r="R124" s="6"/>
      <c r="S124" s="6"/>
      <c r="T124" s="6"/>
      <c r="U124" s="6"/>
    </row>
    <row r="125" spans="1:21">
      <c r="A125" s="82"/>
      <c r="B125" s="83"/>
      <c r="C125" s="82"/>
      <c r="D125" s="82"/>
      <c r="E125" s="82"/>
      <c r="F125" s="82"/>
      <c r="G125" s="222"/>
      <c r="H125" s="222"/>
      <c r="I125" s="222"/>
      <c r="J125" s="6"/>
      <c r="K125" s="6"/>
      <c r="L125" s="6"/>
      <c r="M125" s="6"/>
      <c r="N125" s="6"/>
      <c r="O125" s="6"/>
      <c r="P125" s="6"/>
      <c r="Q125" s="6"/>
      <c r="R125" s="6"/>
      <c r="S125" s="6"/>
      <c r="T125" s="6"/>
      <c r="U125" s="6"/>
    </row>
    <row r="126" spans="1:21">
      <c r="A126" s="82"/>
      <c r="B126" s="83"/>
      <c r="C126" s="82"/>
      <c r="D126" s="82"/>
      <c r="E126" s="82"/>
      <c r="F126" s="82"/>
      <c r="G126" s="222"/>
      <c r="H126" s="222"/>
      <c r="I126" s="222"/>
      <c r="J126" s="6"/>
      <c r="K126" s="6"/>
      <c r="L126" s="6"/>
      <c r="M126" s="6"/>
      <c r="N126" s="6"/>
      <c r="O126" s="6"/>
      <c r="P126" s="6"/>
      <c r="Q126" s="6"/>
      <c r="R126" s="6"/>
      <c r="S126" s="6"/>
      <c r="T126" s="6"/>
      <c r="U126" s="6"/>
    </row>
    <row r="127" spans="1:21">
      <c r="A127" s="82"/>
      <c r="B127" s="83"/>
      <c r="C127" s="82"/>
      <c r="D127" s="82"/>
      <c r="E127" s="82"/>
      <c r="F127" s="82"/>
      <c r="G127" s="222"/>
      <c r="H127" s="222"/>
      <c r="I127" s="222"/>
      <c r="J127" s="6"/>
      <c r="K127" s="6"/>
      <c r="L127" s="6"/>
      <c r="M127" s="6"/>
      <c r="N127" s="6"/>
      <c r="O127" s="6"/>
      <c r="P127" s="6"/>
      <c r="Q127" s="6"/>
      <c r="R127" s="6"/>
      <c r="S127" s="6"/>
      <c r="T127" s="6"/>
      <c r="U127" s="6"/>
    </row>
    <row r="128" spans="1:21">
      <c r="A128" s="82"/>
      <c r="B128" s="83"/>
      <c r="C128" s="82"/>
      <c r="D128" s="82"/>
      <c r="E128" s="82"/>
      <c r="F128" s="82"/>
      <c r="G128" s="222"/>
      <c r="H128" s="222"/>
      <c r="I128" s="222"/>
      <c r="J128" s="6"/>
      <c r="K128" s="6"/>
      <c r="L128" s="6"/>
      <c r="M128" s="6"/>
      <c r="N128" s="6"/>
      <c r="O128" s="6"/>
      <c r="P128" s="6"/>
      <c r="Q128" s="6"/>
      <c r="R128" s="6"/>
      <c r="S128" s="6"/>
      <c r="T128" s="6"/>
      <c r="U128" s="6"/>
    </row>
    <row r="129" spans="1:21">
      <c r="A129" s="82"/>
      <c r="B129" s="83"/>
      <c r="C129" s="82"/>
      <c r="D129" s="82"/>
      <c r="E129" s="82"/>
      <c r="F129" s="82"/>
      <c r="G129" s="222"/>
      <c r="H129" s="222"/>
      <c r="I129" s="222"/>
      <c r="J129" s="6"/>
      <c r="K129" s="6"/>
      <c r="L129" s="6"/>
      <c r="M129" s="6"/>
      <c r="N129" s="6"/>
      <c r="O129" s="6"/>
      <c r="P129" s="6"/>
      <c r="Q129" s="6"/>
      <c r="R129" s="6"/>
      <c r="S129" s="6"/>
      <c r="T129" s="6"/>
      <c r="U129" s="6"/>
    </row>
    <row r="130" spans="1:21">
      <c r="A130" s="82"/>
      <c r="B130" s="83"/>
      <c r="C130" s="82"/>
      <c r="D130" s="82"/>
      <c r="E130" s="82"/>
      <c r="F130" s="82"/>
      <c r="G130" s="222"/>
      <c r="H130" s="222"/>
      <c r="I130" s="222"/>
      <c r="J130" s="6"/>
      <c r="K130" s="6"/>
      <c r="L130" s="6"/>
      <c r="M130" s="6"/>
      <c r="N130" s="6"/>
      <c r="O130" s="6"/>
      <c r="P130" s="6"/>
      <c r="Q130" s="6"/>
      <c r="R130" s="6"/>
      <c r="S130" s="6"/>
      <c r="T130" s="6"/>
      <c r="U130" s="6"/>
    </row>
    <row r="131" spans="1:21">
      <c r="A131" s="82"/>
      <c r="B131" s="83"/>
      <c r="C131" s="82"/>
      <c r="D131" s="82"/>
      <c r="E131" s="82"/>
      <c r="F131" s="82"/>
      <c r="G131" s="222"/>
      <c r="H131" s="222"/>
      <c r="I131" s="222"/>
      <c r="J131" s="6"/>
      <c r="K131" s="6"/>
      <c r="L131" s="6"/>
      <c r="M131" s="6"/>
      <c r="N131" s="6"/>
      <c r="O131" s="6"/>
      <c r="P131" s="6"/>
      <c r="Q131" s="6"/>
      <c r="R131" s="6"/>
      <c r="S131" s="6"/>
      <c r="T131" s="6"/>
      <c r="U131" s="6"/>
    </row>
    <row r="132" spans="1:21">
      <c r="A132" s="82"/>
      <c r="B132" s="83"/>
      <c r="C132" s="82"/>
      <c r="D132" s="82"/>
      <c r="E132" s="82"/>
      <c r="F132" s="82"/>
      <c r="G132" s="222"/>
      <c r="H132" s="222"/>
      <c r="I132" s="222"/>
      <c r="J132" s="6"/>
      <c r="K132" s="6"/>
      <c r="L132" s="6"/>
      <c r="M132" s="6"/>
      <c r="N132" s="6"/>
      <c r="O132" s="6"/>
      <c r="P132" s="6"/>
      <c r="Q132" s="6"/>
      <c r="R132" s="6"/>
      <c r="S132" s="6"/>
      <c r="T132" s="6"/>
      <c r="U132" s="6"/>
    </row>
    <row r="133" spans="1:21">
      <c r="A133" s="82"/>
      <c r="B133" s="83"/>
      <c r="C133" s="82"/>
      <c r="D133" s="82"/>
      <c r="E133" s="82"/>
      <c r="F133" s="82"/>
      <c r="G133" s="222"/>
      <c r="H133" s="222"/>
      <c r="I133" s="222"/>
      <c r="J133" s="6"/>
      <c r="K133" s="6"/>
      <c r="L133" s="6"/>
      <c r="M133" s="6"/>
      <c r="N133" s="6"/>
      <c r="O133" s="6"/>
      <c r="P133" s="6"/>
      <c r="Q133" s="6"/>
      <c r="R133" s="6"/>
      <c r="S133" s="6"/>
      <c r="T133" s="6"/>
      <c r="U133" s="6"/>
    </row>
    <row r="134" spans="1:21">
      <c r="A134" s="82"/>
      <c r="B134" s="83"/>
      <c r="C134" s="82"/>
      <c r="D134" s="82"/>
      <c r="E134" s="82"/>
      <c r="F134" s="82"/>
      <c r="G134" s="222"/>
      <c r="H134" s="222"/>
      <c r="I134" s="222"/>
      <c r="J134" s="6"/>
      <c r="K134" s="6"/>
      <c r="L134" s="6"/>
      <c r="M134" s="6"/>
      <c r="N134" s="6"/>
      <c r="O134" s="6"/>
      <c r="P134" s="6"/>
      <c r="Q134" s="6"/>
      <c r="R134" s="6"/>
      <c r="S134" s="6"/>
      <c r="T134" s="6"/>
      <c r="U134" s="6"/>
    </row>
    <row r="135" spans="1:21">
      <c r="A135" s="82"/>
      <c r="B135" s="83"/>
      <c r="C135" s="82"/>
      <c r="D135" s="82"/>
      <c r="E135" s="82"/>
      <c r="F135" s="82"/>
      <c r="G135" s="222"/>
      <c r="H135" s="222"/>
      <c r="I135" s="222"/>
      <c r="J135" s="6"/>
      <c r="K135" s="6"/>
      <c r="L135" s="6"/>
      <c r="M135" s="6"/>
      <c r="N135" s="6"/>
      <c r="O135" s="6"/>
      <c r="P135" s="6"/>
      <c r="Q135" s="6"/>
      <c r="R135" s="6"/>
      <c r="S135" s="6"/>
      <c r="T135" s="6"/>
      <c r="U135" s="6"/>
    </row>
    <row r="136" spans="1:21">
      <c r="A136" s="82"/>
      <c r="B136" s="83"/>
      <c r="C136" s="82"/>
      <c r="D136" s="82"/>
      <c r="E136" s="82"/>
      <c r="F136" s="82"/>
      <c r="G136" s="222"/>
      <c r="H136" s="222"/>
      <c r="I136" s="222"/>
      <c r="J136" s="6"/>
      <c r="K136" s="6"/>
      <c r="L136" s="6"/>
      <c r="M136" s="6"/>
      <c r="N136" s="6"/>
      <c r="O136" s="6"/>
      <c r="P136" s="6"/>
      <c r="Q136" s="6"/>
      <c r="R136" s="6"/>
      <c r="S136" s="6"/>
      <c r="T136" s="6"/>
      <c r="U136" s="6"/>
    </row>
    <row r="137" spans="1:21">
      <c r="A137" s="82"/>
      <c r="B137" s="83"/>
      <c r="C137" s="82"/>
      <c r="D137" s="82"/>
      <c r="E137" s="82"/>
      <c r="F137" s="82"/>
      <c r="G137" s="222"/>
      <c r="H137" s="222"/>
      <c r="I137" s="222"/>
      <c r="J137" s="6"/>
      <c r="K137" s="6"/>
      <c r="L137" s="6"/>
      <c r="M137" s="6"/>
      <c r="N137" s="6"/>
      <c r="O137" s="6"/>
      <c r="P137" s="6"/>
      <c r="Q137" s="6"/>
      <c r="R137" s="6"/>
      <c r="S137" s="6"/>
      <c r="T137" s="6"/>
      <c r="U137" s="6"/>
    </row>
    <row r="138" spans="1:21">
      <c r="A138" s="82"/>
      <c r="B138" s="83"/>
      <c r="C138" s="82"/>
      <c r="D138" s="82"/>
      <c r="E138" s="82"/>
      <c r="F138" s="82"/>
      <c r="G138" s="222"/>
      <c r="H138" s="222"/>
      <c r="I138" s="222"/>
      <c r="J138" s="6"/>
      <c r="K138" s="6"/>
      <c r="L138" s="6"/>
      <c r="M138" s="6"/>
      <c r="N138" s="6"/>
      <c r="O138" s="6"/>
      <c r="P138" s="6"/>
      <c r="Q138" s="6"/>
      <c r="R138" s="6"/>
      <c r="S138" s="6"/>
      <c r="T138" s="6"/>
      <c r="U138" s="6"/>
    </row>
    <row r="139" spans="1:21">
      <c r="A139" s="82"/>
      <c r="B139" s="83"/>
      <c r="C139" s="82"/>
      <c r="D139" s="82"/>
      <c r="E139" s="82"/>
      <c r="F139" s="82"/>
      <c r="G139" s="222"/>
      <c r="H139" s="222"/>
      <c r="I139" s="222"/>
      <c r="J139" s="6"/>
      <c r="K139" s="6"/>
      <c r="L139" s="6"/>
      <c r="M139" s="6"/>
      <c r="N139" s="6"/>
      <c r="O139" s="6"/>
      <c r="P139" s="6"/>
      <c r="Q139" s="6"/>
      <c r="R139" s="6"/>
      <c r="S139" s="6"/>
      <c r="T139" s="6"/>
      <c r="U139" s="6"/>
    </row>
    <row r="140" spans="1:21">
      <c r="A140" s="82"/>
      <c r="B140" s="83"/>
      <c r="C140" s="82"/>
      <c r="D140" s="82"/>
      <c r="E140" s="82"/>
      <c r="F140" s="82"/>
      <c r="G140" s="222"/>
      <c r="H140" s="222"/>
      <c r="I140" s="222"/>
      <c r="J140" s="6"/>
      <c r="K140" s="6"/>
      <c r="L140" s="6"/>
      <c r="M140" s="6"/>
      <c r="N140" s="6"/>
      <c r="O140" s="6"/>
      <c r="P140" s="6"/>
      <c r="Q140" s="6"/>
      <c r="R140" s="6"/>
      <c r="S140" s="6"/>
      <c r="T140" s="6"/>
      <c r="U140" s="6"/>
    </row>
    <row r="141" spans="1:21">
      <c r="A141" s="82"/>
      <c r="B141" s="83"/>
      <c r="C141" s="82"/>
      <c r="D141" s="82"/>
      <c r="E141" s="82"/>
      <c r="F141" s="82"/>
      <c r="G141" s="222"/>
      <c r="H141" s="222"/>
      <c r="I141" s="222"/>
      <c r="J141" s="6"/>
      <c r="K141" s="6"/>
      <c r="L141" s="6"/>
      <c r="M141" s="6"/>
      <c r="N141" s="6"/>
      <c r="O141" s="6"/>
      <c r="P141" s="6"/>
      <c r="Q141" s="6"/>
      <c r="R141" s="6"/>
      <c r="S141" s="6"/>
      <c r="T141" s="6"/>
      <c r="U141" s="6"/>
    </row>
    <row r="142" spans="1:21">
      <c r="A142" s="82"/>
      <c r="B142" s="83"/>
      <c r="C142" s="82"/>
      <c r="D142" s="82"/>
      <c r="E142" s="82"/>
      <c r="F142" s="82"/>
      <c r="G142" s="222"/>
      <c r="H142" s="222"/>
      <c r="I142" s="222"/>
      <c r="J142" s="6"/>
      <c r="K142" s="6"/>
      <c r="L142" s="6"/>
      <c r="M142" s="6"/>
      <c r="N142" s="6"/>
      <c r="O142" s="6"/>
      <c r="P142" s="6"/>
      <c r="Q142" s="6"/>
      <c r="R142" s="6"/>
      <c r="S142" s="6"/>
      <c r="T142" s="6"/>
      <c r="U142" s="6"/>
    </row>
    <row r="143" spans="1:21">
      <c r="A143" s="82"/>
      <c r="B143" s="83"/>
      <c r="C143" s="82"/>
      <c r="D143" s="82"/>
      <c r="E143" s="82"/>
      <c r="F143" s="82"/>
      <c r="G143" s="222"/>
      <c r="H143" s="222"/>
      <c r="I143" s="222"/>
      <c r="J143" s="6"/>
      <c r="K143" s="6"/>
      <c r="L143" s="6"/>
      <c r="M143" s="6"/>
      <c r="N143" s="6"/>
      <c r="O143" s="6"/>
      <c r="P143" s="6"/>
      <c r="Q143" s="6"/>
      <c r="R143" s="6"/>
      <c r="S143" s="6"/>
      <c r="T143" s="6"/>
      <c r="U143" s="6"/>
    </row>
    <row r="144" spans="1:21">
      <c r="A144" s="82"/>
      <c r="B144" s="83"/>
      <c r="C144" s="82"/>
      <c r="D144" s="82"/>
      <c r="E144" s="82"/>
      <c r="F144" s="82"/>
      <c r="G144" s="222"/>
      <c r="H144" s="222"/>
      <c r="I144" s="222"/>
      <c r="J144" s="6"/>
      <c r="K144" s="6"/>
      <c r="L144" s="6"/>
      <c r="M144" s="6"/>
      <c r="N144" s="6"/>
      <c r="O144" s="6"/>
      <c r="P144" s="6"/>
      <c r="Q144" s="6"/>
      <c r="R144" s="6"/>
      <c r="S144" s="6"/>
      <c r="T144" s="6"/>
      <c r="U144" s="6"/>
    </row>
    <row r="145" spans="1:21">
      <c r="A145" s="82"/>
      <c r="B145" s="83"/>
      <c r="C145" s="82"/>
      <c r="D145" s="82"/>
      <c r="E145" s="82"/>
      <c r="F145" s="82"/>
      <c r="G145" s="222"/>
      <c r="H145" s="222"/>
      <c r="I145" s="222"/>
      <c r="J145" s="6"/>
      <c r="K145" s="6"/>
      <c r="L145" s="6"/>
      <c r="M145" s="6"/>
      <c r="N145" s="6"/>
      <c r="O145" s="6"/>
      <c r="P145" s="6"/>
      <c r="Q145" s="6"/>
      <c r="R145" s="6"/>
      <c r="S145" s="6"/>
      <c r="T145" s="6"/>
      <c r="U145" s="6"/>
    </row>
    <row r="146" spans="1:21">
      <c r="A146" s="82"/>
      <c r="B146" s="83"/>
      <c r="C146" s="82"/>
      <c r="D146" s="82"/>
      <c r="E146" s="82"/>
      <c r="F146" s="82"/>
      <c r="G146" s="222"/>
      <c r="H146" s="222"/>
      <c r="I146" s="222"/>
      <c r="J146" s="6"/>
      <c r="K146" s="6"/>
      <c r="L146" s="6"/>
      <c r="M146" s="6"/>
      <c r="N146" s="6"/>
      <c r="O146" s="6"/>
      <c r="P146" s="6"/>
      <c r="Q146" s="6"/>
      <c r="R146" s="6"/>
      <c r="S146" s="6"/>
      <c r="T146" s="6"/>
      <c r="U146" s="6"/>
    </row>
    <row r="147" spans="1:21">
      <c r="A147" s="82"/>
      <c r="B147" s="83"/>
      <c r="C147" s="82"/>
      <c r="D147" s="82"/>
      <c r="E147" s="82"/>
      <c r="F147" s="82"/>
      <c r="G147" s="222"/>
      <c r="H147" s="222"/>
      <c r="I147" s="222"/>
      <c r="J147" s="6"/>
      <c r="K147" s="6"/>
      <c r="L147" s="6"/>
      <c r="M147" s="6"/>
      <c r="N147" s="6"/>
      <c r="O147" s="6"/>
      <c r="P147" s="6"/>
      <c r="Q147" s="6"/>
      <c r="R147" s="6"/>
      <c r="S147" s="6"/>
      <c r="T147" s="6"/>
      <c r="U147" s="6"/>
    </row>
    <row r="148" spans="1:21">
      <c r="A148" s="82"/>
      <c r="B148" s="83"/>
      <c r="C148" s="82"/>
      <c r="D148" s="82"/>
      <c r="E148" s="82"/>
      <c r="F148" s="82"/>
      <c r="G148" s="222"/>
      <c r="H148" s="222"/>
      <c r="I148" s="222"/>
      <c r="J148" s="6"/>
      <c r="K148" s="6"/>
      <c r="L148" s="6"/>
      <c r="M148" s="6"/>
      <c r="N148" s="6"/>
      <c r="O148" s="6"/>
      <c r="P148" s="6"/>
      <c r="Q148" s="6"/>
      <c r="R148" s="6"/>
      <c r="S148" s="6"/>
      <c r="T148" s="6"/>
      <c r="U148" s="6"/>
    </row>
    <row r="149" spans="1:21">
      <c r="A149" s="82"/>
      <c r="B149" s="83"/>
      <c r="C149" s="82"/>
      <c r="D149" s="82"/>
      <c r="E149" s="82"/>
      <c r="F149" s="82"/>
      <c r="G149" s="222"/>
      <c r="H149" s="222"/>
      <c r="I149" s="222"/>
      <c r="J149" s="6"/>
      <c r="K149" s="6"/>
      <c r="L149" s="6"/>
      <c r="M149" s="6"/>
      <c r="N149" s="6"/>
      <c r="O149" s="6"/>
      <c r="P149" s="6"/>
      <c r="Q149" s="6"/>
      <c r="R149" s="6"/>
      <c r="S149" s="6"/>
      <c r="T149" s="6"/>
      <c r="U149" s="6"/>
    </row>
    <row r="150" spans="1:21">
      <c r="A150" s="82"/>
      <c r="B150" s="83"/>
      <c r="C150" s="82"/>
      <c r="D150" s="82"/>
      <c r="E150" s="82"/>
      <c r="F150" s="82"/>
      <c r="G150" s="222"/>
      <c r="H150" s="222"/>
      <c r="I150" s="222"/>
      <c r="J150" s="6"/>
      <c r="K150" s="6"/>
      <c r="L150" s="6"/>
      <c r="M150" s="6"/>
      <c r="N150" s="6"/>
      <c r="O150" s="6"/>
      <c r="P150" s="6"/>
      <c r="Q150" s="6"/>
      <c r="R150" s="6"/>
      <c r="S150" s="6"/>
      <c r="T150" s="6"/>
      <c r="U150" s="6"/>
    </row>
    <row r="151" spans="1:21">
      <c r="A151" s="82"/>
      <c r="B151" s="83"/>
      <c r="C151" s="82"/>
      <c r="D151" s="82"/>
      <c r="E151" s="82"/>
      <c r="F151" s="82"/>
      <c r="G151" s="222"/>
      <c r="H151" s="222"/>
      <c r="I151" s="222"/>
      <c r="J151" s="6"/>
      <c r="K151" s="6"/>
      <c r="L151" s="6"/>
      <c r="M151" s="6"/>
      <c r="N151" s="6"/>
      <c r="O151" s="6"/>
      <c r="P151" s="6"/>
      <c r="Q151" s="6"/>
      <c r="R151" s="6"/>
      <c r="S151" s="6"/>
      <c r="T151" s="6"/>
      <c r="U151" s="6"/>
    </row>
    <row r="152" spans="1:21">
      <c r="A152" s="82"/>
      <c r="B152" s="83"/>
      <c r="C152" s="82"/>
      <c r="D152" s="82"/>
      <c r="E152" s="82"/>
      <c r="F152" s="82"/>
      <c r="G152" s="222"/>
      <c r="H152" s="222"/>
      <c r="I152" s="222"/>
      <c r="J152" s="6"/>
      <c r="K152" s="6"/>
      <c r="L152" s="6"/>
      <c r="M152" s="6"/>
      <c r="N152" s="6"/>
      <c r="O152" s="6"/>
      <c r="P152" s="6"/>
      <c r="Q152" s="6"/>
      <c r="R152" s="6"/>
      <c r="S152" s="6"/>
      <c r="T152" s="6"/>
      <c r="U152" s="6"/>
    </row>
    <row r="153" spans="1:21">
      <c r="A153" s="82"/>
      <c r="B153" s="83"/>
      <c r="C153" s="82"/>
      <c r="D153" s="82"/>
      <c r="E153" s="82"/>
      <c r="F153" s="82"/>
      <c r="G153" s="222"/>
      <c r="H153" s="222"/>
      <c r="I153" s="222"/>
      <c r="J153" s="6"/>
      <c r="K153" s="6"/>
      <c r="L153" s="6"/>
      <c r="M153" s="6"/>
      <c r="N153" s="6"/>
      <c r="O153" s="6"/>
      <c r="P153" s="6"/>
      <c r="Q153" s="6"/>
      <c r="R153" s="6"/>
      <c r="S153" s="6"/>
      <c r="T153" s="6"/>
      <c r="U153" s="6"/>
    </row>
    <row r="154" spans="1:21">
      <c r="A154" s="82"/>
      <c r="B154" s="83"/>
      <c r="C154" s="82"/>
      <c r="D154" s="82"/>
      <c r="E154" s="82"/>
      <c r="F154" s="82"/>
      <c r="G154" s="222"/>
      <c r="H154" s="222"/>
      <c r="I154" s="222"/>
      <c r="J154" s="6"/>
      <c r="K154" s="6"/>
      <c r="L154" s="6"/>
      <c r="M154" s="6"/>
      <c r="N154" s="6"/>
      <c r="O154" s="6"/>
      <c r="P154" s="6"/>
      <c r="Q154" s="6"/>
      <c r="R154" s="6"/>
      <c r="S154" s="6"/>
      <c r="T154" s="6"/>
      <c r="U154" s="6"/>
    </row>
    <row r="155" spans="1:21">
      <c r="A155" s="82"/>
      <c r="B155" s="83"/>
      <c r="C155" s="82"/>
      <c r="D155" s="82"/>
      <c r="E155" s="82"/>
      <c r="F155" s="82"/>
      <c r="G155" s="222"/>
      <c r="H155" s="222"/>
      <c r="I155" s="222"/>
      <c r="J155" s="6"/>
      <c r="K155" s="6"/>
      <c r="L155" s="6"/>
      <c r="M155" s="6"/>
      <c r="N155" s="6"/>
      <c r="O155" s="6"/>
      <c r="P155" s="6"/>
      <c r="Q155" s="6"/>
      <c r="R155" s="6"/>
      <c r="S155" s="6"/>
      <c r="T155" s="6"/>
      <c r="U155" s="6"/>
    </row>
    <row r="156" spans="1:21">
      <c r="A156" s="82"/>
      <c r="B156" s="83"/>
      <c r="C156" s="82"/>
      <c r="D156" s="82"/>
      <c r="E156" s="82"/>
      <c r="F156" s="82"/>
      <c r="G156" s="222"/>
      <c r="H156" s="222"/>
      <c r="I156" s="222"/>
      <c r="J156" s="6"/>
      <c r="K156" s="6"/>
      <c r="L156" s="6"/>
      <c r="M156" s="6"/>
      <c r="N156" s="6"/>
      <c r="O156" s="6"/>
      <c r="P156" s="6"/>
      <c r="Q156" s="6"/>
      <c r="R156" s="6"/>
      <c r="S156" s="6"/>
      <c r="T156" s="6"/>
      <c r="U156" s="6"/>
    </row>
    <row r="157" spans="1:21">
      <c r="A157" s="82"/>
      <c r="B157" s="83"/>
      <c r="C157" s="82"/>
      <c r="D157" s="82"/>
      <c r="E157" s="82"/>
      <c r="F157" s="82"/>
      <c r="G157" s="222"/>
      <c r="H157" s="222"/>
      <c r="I157" s="222"/>
      <c r="J157" s="6"/>
      <c r="K157" s="6"/>
      <c r="L157" s="6"/>
      <c r="M157" s="6"/>
      <c r="N157" s="6"/>
      <c r="O157" s="6"/>
      <c r="P157" s="6"/>
      <c r="Q157" s="6"/>
      <c r="R157" s="6"/>
      <c r="S157" s="6"/>
      <c r="T157" s="6"/>
      <c r="U157" s="6"/>
    </row>
    <row r="158" spans="1:21">
      <c r="A158" s="82"/>
      <c r="B158" s="83"/>
      <c r="C158" s="82"/>
      <c r="D158" s="82"/>
      <c r="E158" s="82"/>
      <c r="F158" s="82"/>
      <c r="G158" s="222"/>
      <c r="H158" s="222"/>
      <c r="I158" s="222"/>
      <c r="J158" s="6"/>
      <c r="K158" s="6"/>
      <c r="L158" s="6"/>
      <c r="M158" s="6"/>
      <c r="N158" s="6"/>
      <c r="O158" s="6"/>
      <c r="P158" s="6"/>
      <c r="Q158" s="6"/>
      <c r="R158" s="6"/>
      <c r="S158" s="6"/>
      <c r="T158" s="6"/>
      <c r="U158" s="6"/>
    </row>
    <row r="159" spans="1:21">
      <c r="A159" s="82"/>
      <c r="B159" s="83"/>
      <c r="C159" s="82"/>
      <c r="D159" s="82"/>
      <c r="E159" s="82"/>
      <c r="F159" s="82"/>
      <c r="G159" s="222"/>
      <c r="H159" s="222"/>
      <c r="I159" s="222"/>
      <c r="J159" s="6"/>
      <c r="K159" s="6"/>
      <c r="L159" s="6"/>
      <c r="M159" s="6"/>
      <c r="N159" s="6"/>
      <c r="O159" s="6"/>
      <c r="P159" s="6"/>
      <c r="Q159" s="6"/>
      <c r="R159" s="6"/>
      <c r="S159" s="6"/>
      <c r="T159" s="6"/>
      <c r="U159" s="6"/>
    </row>
    <row r="160" spans="1:21">
      <c r="A160" s="82"/>
      <c r="B160" s="83"/>
      <c r="C160" s="82"/>
      <c r="D160" s="82"/>
      <c r="E160" s="82"/>
      <c r="F160" s="82"/>
      <c r="G160" s="222"/>
      <c r="H160" s="222"/>
      <c r="I160" s="222"/>
      <c r="J160" s="6"/>
      <c r="K160" s="6"/>
      <c r="L160" s="6"/>
      <c r="M160" s="6"/>
      <c r="N160" s="6"/>
      <c r="O160" s="6"/>
      <c r="P160" s="6"/>
      <c r="Q160" s="6"/>
      <c r="R160" s="6"/>
      <c r="S160" s="6"/>
      <c r="T160" s="6"/>
      <c r="U160" s="6"/>
    </row>
    <row r="161" spans="1:21">
      <c r="A161" s="82"/>
      <c r="B161" s="83"/>
      <c r="C161" s="82"/>
      <c r="D161" s="82"/>
      <c r="E161" s="82"/>
      <c r="F161" s="82"/>
      <c r="G161" s="222"/>
      <c r="H161" s="222"/>
      <c r="I161" s="222"/>
      <c r="J161" s="6"/>
      <c r="K161" s="6"/>
      <c r="L161" s="6"/>
      <c r="M161" s="6"/>
      <c r="N161" s="6"/>
      <c r="O161" s="6"/>
      <c r="P161" s="6"/>
      <c r="Q161" s="6"/>
      <c r="R161" s="6"/>
      <c r="S161" s="6"/>
      <c r="T161" s="6"/>
      <c r="U161" s="6"/>
    </row>
    <row r="162" spans="1:21">
      <c r="A162" s="82"/>
      <c r="B162" s="83"/>
      <c r="C162" s="82"/>
      <c r="D162" s="82"/>
      <c r="E162" s="82"/>
      <c r="F162" s="82"/>
      <c r="G162" s="222"/>
      <c r="H162" s="222"/>
      <c r="I162" s="222"/>
      <c r="J162" s="6"/>
      <c r="K162" s="6"/>
      <c r="L162" s="6"/>
      <c r="M162" s="6"/>
      <c r="N162" s="6"/>
      <c r="O162" s="6"/>
      <c r="P162" s="6"/>
      <c r="Q162" s="6"/>
      <c r="R162" s="6"/>
      <c r="S162" s="6"/>
      <c r="T162" s="6"/>
      <c r="U162" s="6"/>
    </row>
    <row r="163" spans="1:21">
      <c r="A163" s="82"/>
      <c r="B163" s="83"/>
      <c r="C163" s="82"/>
      <c r="D163" s="82"/>
      <c r="E163" s="82"/>
      <c r="F163" s="82"/>
      <c r="G163" s="222"/>
      <c r="H163" s="222"/>
      <c r="I163" s="222"/>
      <c r="J163" s="6"/>
      <c r="K163" s="6"/>
      <c r="L163" s="6"/>
      <c r="M163" s="6"/>
      <c r="N163" s="6"/>
      <c r="O163" s="6"/>
      <c r="P163" s="6"/>
      <c r="Q163" s="6"/>
      <c r="R163" s="6"/>
      <c r="S163" s="6"/>
      <c r="T163" s="6"/>
      <c r="U163" s="6"/>
    </row>
    <row r="164" spans="1:21">
      <c r="A164" s="82"/>
      <c r="B164" s="83"/>
      <c r="C164" s="82"/>
      <c r="D164" s="82"/>
      <c r="E164" s="82"/>
      <c r="F164" s="82"/>
      <c r="G164" s="222"/>
      <c r="H164" s="222"/>
      <c r="I164" s="222"/>
      <c r="J164" s="6"/>
      <c r="K164" s="6"/>
      <c r="L164" s="6"/>
      <c r="M164" s="6"/>
      <c r="N164" s="6"/>
      <c r="O164" s="6"/>
      <c r="P164" s="6"/>
      <c r="Q164" s="6"/>
      <c r="R164" s="6"/>
      <c r="S164" s="6"/>
      <c r="T164" s="6"/>
      <c r="U164" s="6"/>
    </row>
    <row r="165" spans="1:21">
      <c r="A165" s="82"/>
      <c r="B165" s="83"/>
      <c r="C165" s="82"/>
      <c r="D165" s="82"/>
      <c r="E165" s="82"/>
      <c r="F165" s="82"/>
      <c r="G165" s="222"/>
      <c r="H165" s="222"/>
      <c r="I165" s="222"/>
      <c r="J165" s="6"/>
      <c r="K165" s="6"/>
      <c r="L165" s="6"/>
      <c r="M165" s="6"/>
      <c r="N165" s="6"/>
      <c r="O165" s="6"/>
      <c r="P165" s="6"/>
      <c r="Q165" s="6"/>
      <c r="R165" s="6"/>
      <c r="S165" s="6"/>
      <c r="T165" s="6"/>
      <c r="U165" s="6"/>
    </row>
    <row r="166" spans="1:21">
      <c r="A166" s="82"/>
      <c r="B166" s="83"/>
      <c r="C166" s="82"/>
      <c r="D166" s="82"/>
      <c r="E166" s="82"/>
      <c r="F166" s="82"/>
      <c r="G166" s="222"/>
      <c r="H166" s="222"/>
      <c r="I166" s="222"/>
      <c r="J166" s="6"/>
      <c r="K166" s="6"/>
      <c r="L166" s="6"/>
      <c r="M166" s="6"/>
      <c r="N166" s="6"/>
      <c r="O166" s="6"/>
      <c r="P166" s="6"/>
      <c r="Q166" s="6"/>
      <c r="R166" s="6"/>
      <c r="S166" s="6"/>
      <c r="T166" s="6"/>
      <c r="U166" s="6"/>
    </row>
    <row r="167" spans="1:21">
      <c r="A167" s="82"/>
      <c r="B167" s="83"/>
      <c r="C167" s="82"/>
      <c r="D167" s="82"/>
      <c r="E167" s="82"/>
      <c r="F167" s="82"/>
      <c r="G167" s="222"/>
      <c r="H167" s="222"/>
      <c r="I167" s="222"/>
      <c r="J167" s="6"/>
      <c r="K167" s="6"/>
      <c r="L167" s="6"/>
      <c r="M167" s="6"/>
      <c r="N167" s="6"/>
      <c r="O167" s="6"/>
      <c r="P167" s="6"/>
      <c r="Q167" s="6"/>
      <c r="R167" s="6"/>
      <c r="S167" s="6"/>
      <c r="T167" s="6"/>
      <c r="U167" s="6"/>
    </row>
    <row r="168" spans="1:21">
      <c r="A168" s="82"/>
      <c r="B168" s="83"/>
      <c r="C168" s="82"/>
      <c r="D168" s="82"/>
      <c r="E168" s="82"/>
      <c r="F168" s="82"/>
      <c r="G168" s="222"/>
      <c r="H168" s="222"/>
      <c r="I168" s="222"/>
      <c r="J168" s="6"/>
      <c r="K168" s="6"/>
      <c r="L168" s="6"/>
      <c r="M168" s="6"/>
      <c r="N168" s="6"/>
      <c r="O168" s="6"/>
      <c r="P168" s="6"/>
      <c r="Q168" s="6"/>
      <c r="R168" s="6"/>
      <c r="S168" s="6"/>
      <c r="T168" s="6"/>
      <c r="U168" s="6"/>
    </row>
    <row r="169" spans="1:21">
      <c r="A169" s="82"/>
      <c r="B169" s="83"/>
      <c r="C169" s="82"/>
      <c r="D169" s="82"/>
      <c r="E169" s="82"/>
      <c r="F169" s="82"/>
      <c r="G169" s="222"/>
      <c r="H169" s="222"/>
      <c r="I169" s="222"/>
      <c r="J169" s="6"/>
      <c r="K169" s="6"/>
      <c r="L169" s="6"/>
      <c r="M169" s="6"/>
      <c r="N169" s="6"/>
      <c r="O169" s="6"/>
      <c r="P169" s="6"/>
      <c r="Q169" s="6"/>
      <c r="R169" s="6"/>
      <c r="S169" s="6"/>
      <c r="T169" s="6"/>
      <c r="U169" s="6"/>
    </row>
    <row r="170" spans="1:21">
      <c r="A170" s="82"/>
      <c r="B170" s="83"/>
      <c r="C170" s="82"/>
      <c r="D170" s="82"/>
      <c r="E170" s="82"/>
      <c r="F170" s="82"/>
      <c r="G170" s="222"/>
      <c r="H170" s="222"/>
      <c r="I170" s="222"/>
      <c r="J170" s="6"/>
      <c r="K170" s="6"/>
      <c r="L170" s="6"/>
      <c r="M170" s="6"/>
      <c r="N170" s="6"/>
      <c r="O170" s="6"/>
      <c r="P170" s="6"/>
      <c r="Q170" s="6"/>
      <c r="R170" s="6"/>
      <c r="S170" s="6"/>
      <c r="T170" s="6"/>
      <c r="U170" s="6"/>
    </row>
    <row r="171" spans="1:21">
      <c r="A171" s="82"/>
      <c r="B171" s="83"/>
      <c r="C171" s="82"/>
      <c r="D171" s="82"/>
      <c r="E171" s="82"/>
      <c r="F171" s="82"/>
      <c r="G171" s="222"/>
      <c r="H171" s="222"/>
      <c r="I171" s="222"/>
      <c r="J171" s="6"/>
      <c r="K171" s="6"/>
      <c r="L171" s="6"/>
      <c r="M171" s="6"/>
      <c r="N171" s="6"/>
      <c r="O171" s="6"/>
      <c r="P171" s="6"/>
      <c r="Q171" s="6"/>
      <c r="R171" s="6"/>
      <c r="S171" s="6"/>
      <c r="T171" s="6"/>
      <c r="U171" s="6"/>
    </row>
    <row r="172" spans="1:21">
      <c r="A172" s="82"/>
      <c r="B172" s="83"/>
      <c r="C172" s="82"/>
      <c r="D172" s="82"/>
      <c r="E172" s="82"/>
      <c r="F172" s="82"/>
      <c r="G172" s="222"/>
      <c r="H172" s="222"/>
      <c r="I172" s="222"/>
      <c r="J172" s="6"/>
      <c r="K172" s="6"/>
      <c r="L172" s="6"/>
      <c r="M172" s="6"/>
      <c r="N172" s="6"/>
      <c r="O172" s="6"/>
      <c r="P172" s="6"/>
      <c r="Q172" s="6"/>
      <c r="R172" s="6"/>
      <c r="S172" s="6"/>
      <c r="T172" s="6"/>
      <c r="U172" s="6"/>
    </row>
    <row r="173" spans="1:21">
      <c r="A173" s="82"/>
      <c r="B173" s="83"/>
      <c r="C173" s="82"/>
      <c r="D173" s="82"/>
      <c r="E173" s="82"/>
      <c r="F173" s="82"/>
      <c r="G173" s="222"/>
      <c r="H173" s="222"/>
      <c r="I173" s="222"/>
      <c r="J173" s="6"/>
      <c r="K173" s="6"/>
      <c r="L173" s="6"/>
      <c r="M173" s="6"/>
      <c r="N173" s="6"/>
      <c r="O173" s="6"/>
      <c r="P173" s="6"/>
      <c r="Q173" s="6"/>
      <c r="R173" s="6"/>
      <c r="S173" s="6"/>
      <c r="T173" s="6"/>
      <c r="U173" s="6"/>
    </row>
    <row r="174" spans="1:21">
      <c r="A174" s="82"/>
      <c r="B174" s="83"/>
      <c r="C174" s="82"/>
      <c r="D174" s="82"/>
      <c r="E174" s="82"/>
      <c r="F174" s="82"/>
      <c r="G174" s="222"/>
      <c r="H174" s="222"/>
      <c r="I174" s="222"/>
      <c r="J174" s="6"/>
      <c r="K174" s="6"/>
      <c r="L174" s="6"/>
      <c r="M174" s="6"/>
      <c r="N174" s="6"/>
      <c r="O174" s="6"/>
      <c r="P174" s="6"/>
      <c r="Q174" s="6"/>
      <c r="R174" s="6"/>
      <c r="S174" s="6"/>
      <c r="T174" s="6"/>
      <c r="U174" s="6"/>
    </row>
    <row r="175" spans="1:21">
      <c r="A175" s="82"/>
      <c r="B175" s="83"/>
      <c r="C175" s="82"/>
      <c r="D175" s="82"/>
      <c r="E175" s="82"/>
      <c r="F175" s="82"/>
      <c r="G175" s="222"/>
      <c r="H175" s="222"/>
      <c r="I175" s="222"/>
      <c r="J175" s="6"/>
      <c r="K175" s="6"/>
      <c r="L175" s="6"/>
      <c r="M175" s="6"/>
      <c r="N175" s="6"/>
      <c r="O175" s="6"/>
      <c r="P175" s="6"/>
      <c r="Q175" s="6"/>
      <c r="R175" s="6"/>
      <c r="S175" s="6"/>
      <c r="T175" s="6"/>
      <c r="U175" s="6"/>
    </row>
    <row r="176" spans="1:21">
      <c r="A176" s="82"/>
      <c r="B176" s="83"/>
      <c r="C176" s="82"/>
      <c r="D176" s="82"/>
      <c r="E176" s="82"/>
      <c r="F176" s="82"/>
      <c r="G176" s="222"/>
      <c r="H176" s="222"/>
      <c r="I176" s="222"/>
      <c r="J176" s="6"/>
      <c r="K176" s="6"/>
      <c r="L176" s="6"/>
      <c r="M176" s="6"/>
      <c r="N176" s="6"/>
      <c r="O176" s="6"/>
      <c r="P176" s="6"/>
      <c r="Q176" s="6"/>
      <c r="R176" s="6"/>
      <c r="S176" s="6"/>
      <c r="T176" s="6"/>
      <c r="U176" s="6"/>
    </row>
    <row r="177" spans="1:21">
      <c r="A177" s="82"/>
      <c r="B177" s="83"/>
      <c r="C177" s="82"/>
      <c r="D177" s="82"/>
      <c r="E177" s="82"/>
      <c r="F177" s="82"/>
      <c r="G177" s="222"/>
      <c r="H177" s="222"/>
      <c r="I177" s="222"/>
      <c r="J177" s="6"/>
      <c r="K177" s="6"/>
      <c r="L177" s="6"/>
      <c r="M177" s="6"/>
      <c r="N177" s="6"/>
      <c r="O177" s="6"/>
      <c r="P177" s="6"/>
      <c r="Q177" s="6"/>
      <c r="R177" s="6"/>
      <c r="S177" s="6"/>
      <c r="T177" s="6"/>
      <c r="U177" s="6"/>
    </row>
    <row r="178" spans="1:21">
      <c r="A178" s="82"/>
      <c r="B178" s="83"/>
      <c r="C178" s="82"/>
      <c r="D178" s="82"/>
      <c r="E178" s="82"/>
      <c r="F178" s="82"/>
      <c r="G178" s="222"/>
      <c r="H178" s="222"/>
      <c r="I178" s="222"/>
      <c r="J178" s="6"/>
      <c r="K178" s="6"/>
      <c r="L178" s="6"/>
      <c r="M178" s="6"/>
      <c r="N178" s="6"/>
      <c r="O178" s="6"/>
      <c r="P178" s="6"/>
      <c r="Q178" s="6"/>
      <c r="R178" s="6"/>
      <c r="S178" s="6"/>
      <c r="T178" s="6"/>
      <c r="U178" s="6"/>
    </row>
    <row r="179" spans="1:21">
      <c r="A179" s="82"/>
      <c r="B179" s="83"/>
      <c r="C179" s="82"/>
      <c r="D179" s="82"/>
      <c r="E179" s="82"/>
      <c r="F179" s="82"/>
      <c r="G179" s="222"/>
      <c r="H179" s="222"/>
      <c r="I179" s="222"/>
      <c r="J179" s="6"/>
      <c r="K179" s="6"/>
      <c r="L179" s="6"/>
      <c r="M179" s="6"/>
      <c r="N179" s="6"/>
      <c r="O179" s="6"/>
      <c r="P179" s="6"/>
      <c r="Q179" s="6"/>
      <c r="R179" s="6"/>
      <c r="S179" s="6"/>
      <c r="T179" s="6"/>
      <c r="U179" s="6"/>
    </row>
    <row r="180" spans="1:21">
      <c r="A180" s="82"/>
      <c r="B180" s="83"/>
      <c r="C180" s="82"/>
      <c r="D180" s="82"/>
      <c r="E180" s="82"/>
      <c r="F180" s="82"/>
      <c r="G180" s="222"/>
      <c r="H180" s="222"/>
      <c r="I180" s="222"/>
      <c r="J180" s="6"/>
      <c r="K180" s="6"/>
      <c r="L180" s="6"/>
      <c r="M180" s="6"/>
      <c r="N180" s="6"/>
      <c r="O180" s="6"/>
      <c r="P180" s="6"/>
      <c r="Q180" s="6"/>
      <c r="R180" s="6"/>
      <c r="S180" s="6"/>
      <c r="T180" s="6"/>
      <c r="U180" s="6"/>
    </row>
    <row r="181" spans="1:21">
      <c r="A181" s="82"/>
      <c r="B181" s="83"/>
      <c r="C181" s="82"/>
      <c r="D181" s="82"/>
      <c r="E181" s="82"/>
      <c r="F181" s="82"/>
      <c r="G181" s="222"/>
      <c r="H181" s="222"/>
      <c r="I181" s="222"/>
      <c r="J181" s="6"/>
      <c r="K181" s="6"/>
      <c r="L181" s="6"/>
      <c r="M181" s="6"/>
      <c r="N181" s="6"/>
      <c r="O181" s="6"/>
      <c r="P181" s="6"/>
      <c r="Q181" s="6"/>
      <c r="R181" s="6"/>
      <c r="S181" s="6"/>
      <c r="T181" s="6"/>
      <c r="U181" s="6"/>
    </row>
    <row r="182" spans="1:21">
      <c r="A182" s="82"/>
      <c r="B182" s="83"/>
      <c r="C182" s="82"/>
      <c r="D182" s="82"/>
      <c r="E182" s="82"/>
      <c r="F182" s="82"/>
      <c r="G182" s="222"/>
      <c r="H182" s="222"/>
      <c r="I182" s="222"/>
      <c r="J182" s="6"/>
      <c r="K182" s="6"/>
      <c r="L182" s="6"/>
      <c r="M182" s="6"/>
      <c r="N182" s="6"/>
      <c r="O182" s="6"/>
      <c r="P182" s="6"/>
      <c r="Q182" s="6"/>
      <c r="R182" s="6"/>
      <c r="S182" s="6"/>
      <c r="T182" s="6"/>
      <c r="U182" s="6"/>
    </row>
    <row r="183" spans="1:21">
      <c r="A183" s="82"/>
      <c r="B183" s="83"/>
      <c r="C183" s="82"/>
      <c r="D183" s="82"/>
      <c r="E183" s="82"/>
      <c r="F183" s="82"/>
      <c r="G183" s="222"/>
      <c r="H183" s="222"/>
      <c r="I183" s="222"/>
      <c r="J183" s="6"/>
      <c r="K183" s="6"/>
      <c r="L183" s="6"/>
      <c r="M183" s="6"/>
      <c r="N183" s="6"/>
      <c r="O183" s="6"/>
      <c r="P183" s="6"/>
      <c r="Q183" s="6"/>
      <c r="R183" s="6"/>
      <c r="S183" s="6"/>
      <c r="T183" s="6"/>
      <c r="U183" s="6"/>
    </row>
    <row r="184" spans="1:21">
      <c r="A184" s="82"/>
      <c r="B184" s="83"/>
      <c r="C184" s="82"/>
      <c r="D184" s="82"/>
      <c r="E184" s="82"/>
      <c r="F184" s="82"/>
      <c r="G184" s="222"/>
      <c r="H184" s="222"/>
      <c r="I184" s="222"/>
      <c r="J184" s="6"/>
      <c r="K184" s="6"/>
      <c r="L184" s="6"/>
      <c r="M184" s="6"/>
      <c r="N184" s="6"/>
      <c r="O184" s="6"/>
      <c r="P184" s="6"/>
      <c r="Q184" s="6"/>
      <c r="R184" s="6"/>
      <c r="S184" s="6"/>
      <c r="T184" s="6"/>
      <c r="U184" s="6"/>
    </row>
    <row r="185" spans="1:21">
      <c r="A185" s="82"/>
      <c r="B185" s="83"/>
      <c r="C185" s="82"/>
      <c r="D185" s="82"/>
      <c r="E185" s="82"/>
      <c r="F185" s="82"/>
      <c r="G185" s="222"/>
      <c r="H185" s="222"/>
      <c r="I185" s="222"/>
      <c r="J185" s="6"/>
      <c r="K185" s="6"/>
      <c r="L185" s="6"/>
      <c r="M185" s="6"/>
      <c r="N185" s="6"/>
      <c r="O185" s="6"/>
      <c r="P185" s="6"/>
      <c r="Q185" s="6"/>
      <c r="R185" s="6"/>
      <c r="S185" s="6"/>
      <c r="T185" s="6"/>
      <c r="U185" s="6"/>
    </row>
    <row r="186" spans="1:21">
      <c r="A186" s="82"/>
      <c r="B186" s="83"/>
      <c r="C186" s="82"/>
      <c r="D186" s="82"/>
      <c r="E186" s="82"/>
      <c r="F186" s="82"/>
      <c r="G186" s="222"/>
      <c r="H186" s="222"/>
      <c r="I186" s="222"/>
      <c r="J186" s="6"/>
      <c r="K186" s="6"/>
      <c r="L186" s="6"/>
      <c r="M186" s="6"/>
      <c r="N186" s="6"/>
      <c r="O186" s="6"/>
      <c r="P186" s="6"/>
      <c r="Q186" s="6"/>
      <c r="R186" s="6"/>
      <c r="S186" s="6"/>
      <c r="T186" s="6"/>
      <c r="U186" s="6"/>
    </row>
    <row r="187" spans="1:21">
      <c r="A187" s="82"/>
      <c r="B187" s="83"/>
      <c r="C187" s="82"/>
      <c r="D187" s="82"/>
      <c r="E187" s="82"/>
      <c r="F187" s="82"/>
      <c r="G187" s="222"/>
      <c r="H187" s="222"/>
      <c r="I187" s="222"/>
      <c r="J187" s="6"/>
      <c r="K187" s="6"/>
      <c r="L187" s="6"/>
      <c r="M187" s="6"/>
      <c r="N187" s="6"/>
      <c r="O187" s="6"/>
      <c r="P187" s="6"/>
      <c r="Q187" s="6"/>
      <c r="R187" s="6"/>
      <c r="S187" s="6"/>
      <c r="T187" s="6"/>
      <c r="U187" s="6"/>
    </row>
    <row r="188" spans="1:21">
      <c r="A188" s="82"/>
      <c r="B188" s="83"/>
      <c r="C188" s="82"/>
      <c r="D188" s="82"/>
      <c r="E188" s="82"/>
      <c r="F188" s="82"/>
      <c r="G188" s="222"/>
      <c r="H188" s="222"/>
      <c r="I188" s="222"/>
      <c r="J188" s="6"/>
      <c r="K188" s="6"/>
      <c r="L188" s="6"/>
      <c r="M188" s="6"/>
      <c r="N188" s="6"/>
      <c r="O188" s="6"/>
      <c r="P188" s="6"/>
      <c r="Q188" s="6"/>
      <c r="R188" s="6"/>
      <c r="S188" s="6"/>
      <c r="T188" s="6"/>
      <c r="U188" s="6"/>
    </row>
    <row r="189" spans="1:21">
      <c r="A189" s="82"/>
      <c r="B189" s="83"/>
      <c r="C189" s="82"/>
      <c r="D189" s="82"/>
      <c r="E189" s="82"/>
      <c r="F189" s="82"/>
      <c r="G189" s="222"/>
      <c r="H189" s="222"/>
      <c r="I189" s="222"/>
      <c r="J189" s="6"/>
      <c r="K189" s="6"/>
      <c r="L189" s="6"/>
      <c r="M189" s="6"/>
      <c r="N189" s="6"/>
      <c r="O189" s="6"/>
      <c r="P189" s="6"/>
      <c r="Q189" s="6"/>
      <c r="R189" s="6"/>
      <c r="S189" s="6"/>
      <c r="T189" s="6"/>
      <c r="U189" s="6"/>
    </row>
    <row r="190" spans="1:21">
      <c r="A190" s="82"/>
      <c r="B190" s="83"/>
      <c r="C190" s="82"/>
      <c r="D190" s="82"/>
      <c r="E190" s="82"/>
      <c r="F190" s="82"/>
      <c r="G190" s="222"/>
      <c r="H190" s="222"/>
      <c r="I190" s="222"/>
      <c r="J190" s="6"/>
      <c r="K190" s="6"/>
      <c r="L190" s="6"/>
      <c r="M190" s="6"/>
      <c r="N190" s="6"/>
      <c r="O190" s="6"/>
      <c r="P190" s="6"/>
      <c r="Q190" s="6"/>
      <c r="R190" s="6"/>
      <c r="S190" s="6"/>
      <c r="T190" s="6"/>
      <c r="U190" s="6"/>
    </row>
    <row r="191" spans="1:21">
      <c r="A191" s="82"/>
      <c r="B191" s="83"/>
      <c r="C191" s="82"/>
      <c r="D191" s="82"/>
      <c r="E191" s="82"/>
      <c r="F191" s="82"/>
      <c r="G191" s="222"/>
      <c r="H191" s="222"/>
      <c r="I191" s="222"/>
      <c r="J191" s="6"/>
      <c r="K191" s="6"/>
      <c r="L191" s="6"/>
      <c r="M191" s="6"/>
      <c r="N191" s="6"/>
      <c r="O191" s="6"/>
      <c r="P191" s="6"/>
      <c r="Q191" s="6"/>
      <c r="R191" s="6"/>
      <c r="S191" s="6"/>
      <c r="T191" s="6"/>
      <c r="U191" s="6"/>
    </row>
    <row r="192" spans="1:21">
      <c r="A192" s="82"/>
      <c r="B192" s="83"/>
      <c r="C192" s="82"/>
      <c r="D192" s="82"/>
      <c r="E192" s="82"/>
      <c r="F192" s="82"/>
      <c r="G192" s="222"/>
      <c r="H192" s="222"/>
      <c r="I192" s="222"/>
      <c r="J192" s="6"/>
      <c r="K192" s="6"/>
      <c r="L192" s="6"/>
      <c r="M192" s="6"/>
      <c r="N192" s="6"/>
      <c r="O192" s="6"/>
      <c r="P192" s="6"/>
      <c r="Q192" s="6"/>
      <c r="R192" s="6"/>
      <c r="S192" s="6"/>
      <c r="T192" s="6"/>
      <c r="U192" s="6"/>
    </row>
    <row r="193" spans="1:21">
      <c r="A193" s="82"/>
      <c r="B193" s="83"/>
      <c r="C193" s="82"/>
      <c r="D193" s="82"/>
      <c r="E193" s="82"/>
      <c r="F193" s="82"/>
      <c r="G193" s="222"/>
      <c r="H193" s="222"/>
      <c r="I193" s="222"/>
      <c r="J193" s="6"/>
      <c r="K193" s="6"/>
      <c r="L193" s="6"/>
      <c r="M193" s="6"/>
      <c r="N193" s="6"/>
      <c r="O193" s="6"/>
      <c r="P193" s="6"/>
      <c r="Q193" s="6"/>
      <c r="R193" s="6"/>
      <c r="S193" s="6"/>
      <c r="T193" s="6"/>
      <c r="U193" s="6"/>
    </row>
    <row r="194" spans="1:21">
      <c r="A194" s="82"/>
      <c r="B194" s="83"/>
      <c r="C194" s="82"/>
      <c r="D194" s="82"/>
      <c r="E194" s="82"/>
      <c r="F194" s="82"/>
      <c r="G194" s="222"/>
      <c r="H194" s="222"/>
      <c r="I194" s="222"/>
      <c r="J194" s="6"/>
      <c r="K194" s="6"/>
      <c r="L194" s="6"/>
      <c r="M194" s="6"/>
      <c r="N194" s="6"/>
      <c r="O194" s="6"/>
      <c r="P194" s="6"/>
      <c r="Q194" s="6"/>
      <c r="R194" s="6"/>
      <c r="S194" s="6"/>
      <c r="T194" s="6"/>
      <c r="U194" s="6"/>
    </row>
    <row r="195" spans="1:21">
      <c r="A195" s="82"/>
      <c r="B195" s="83"/>
      <c r="C195" s="82"/>
      <c r="D195" s="82"/>
      <c r="E195" s="82"/>
      <c r="F195" s="82"/>
      <c r="G195" s="222"/>
      <c r="H195" s="222"/>
      <c r="I195" s="222"/>
      <c r="J195" s="6"/>
      <c r="K195" s="6"/>
      <c r="L195" s="6"/>
      <c r="M195" s="6"/>
      <c r="N195" s="6"/>
      <c r="O195" s="6"/>
      <c r="P195" s="6"/>
      <c r="Q195" s="6"/>
      <c r="R195" s="6"/>
      <c r="S195" s="6"/>
      <c r="T195" s="6"/>
      <c r="U195" s="6"/>
    </row>
    <row r="196" spans="1:21">
      <c r="A196" s="82"/>
      <c r="B196" s="83"/>
      <c r="C196" s="82"/>
      <c r="D196" s="82"/>
      <c r="E196" s="82"/>
      <c r="F196" s="82"/>
      <c r="G196" s="222"/>
      <c r="H196" s="222"/>
      <c r="I196" s="222"/>
      <c r="J196" s="6"/>
      <c r="K196" s="6"/>
      <c r="L196" s="6"/>
      <c r="M196" s="6"/>
      <c r="N196" s="6"/>
      <c r="O196" s="6"/>
      <c r="P196" s="6"/>
      <c r="Q196" s="6"/>
      <c r="R196" s="6"/>
      <c r="S196" s="6"/>
      <c r="T196" s="6"/>
      <c r="U196" s="6"/>
    </row>
    <row r="197" spans="1:21">
      <c r="A197" s="82"/>
      <c r="B197" s="83"/>
      <c r="C197" s="82"/>
      <c r="D197" s="82"/>
      <c r="E197" s="82"/>
      <c r="F197" s="82"/>
      <c r="G197" s="222"/>
      <c r="H197" s="222"/>
      <c r="I197" s="222"/>
      <c r="J197" s="6"/>
      <c r="K197" s="6"/>
      <c r="L197" s="6"/>
      <c r="M197" s="6"/>
      <c r="N197" s="6"/>
      <c r="O197" s="6"/>
      <c r="P197" s="6"/>
      <c r="Q197" s="6"/>
      <c r="R197" s="6"/>
      <c r="S197" s="6"/>
      <c r="T197" s="6"/>
      <c r="U197" s="6"/>
    </row>
    <row r="198" spans="1:21">
      <c r="A198" s="82"/>
      <c r="B198" s="83"/>
      <c r="C198" s="82"/>
      <c r="D198" s="82"/>
      <c r="E198" s="82"/>
      <c r="F198" s="82"/>
      <c r="G198" s="222"/>
      <c r="H198" s="222"/>
      <c r="I198" s="222"/>
      <c r="J198" s="6"/>
      <c r="K198" s="6"/>
      <c r="L198" s="6"/>
      <c r="M198" s="6"/>
      <c r="N198" s="6"/>
      <c r="O198" s="6"/>
      <c r="P198" s="6"/>
      <c r="Q198" s="6"/>
      <c r="R198" s="6"/>
      <c r="S198" s="6"/>
      <c r="T198" s="6"/>
      <c r="U198" s="6"/>
    </row>
    <row r="199" spans="1:21">
      <c r="A199" s="82"/>
      <c r="B199" s="83"/>
      <c r="C199" s="82"/>
      <c r="D199" s="82"/>
      <c r="E199" s="82"/>
      <c r="F199" s="82"/>
      <c r="G199" s="222"/>
      <c r="H199" s="222"/>
      <c r="I199" s="222"/>
      <c r="J199" s="6"/>
      <c r="K199" s="6"/>
      <c r="L199" s="6"/>
      <c r="M199" s="6"/>
      <c r="N199" s="6"/>
      <c r="O199" s="6"/>
      <c r="P199" s="6"/>
      <c r="Q199" s="6"/>
      <c r="R199" s="6"/>
      <c r="S199" s="6"/>
      <c r="T199" s="6"/>
      <c r="U199" s="6"/>
    </row>
    <row r="200" spans="1:21">
      <c r="A200" s="82"/>
      <c r="B200" s="83"/>
      <c r="C200" s="82"/>
      <c r="D200" s="82"/>
      <c r="E200" s="82"/>
      <c r="F200" s="82"/>
      <c r="G200" s="222"/>
      <c r="H200" s="222"/>
      <c r="I200" s="222"/>
      <c r="J200" s="6"/>
      <c r="K200" s="6"/>
      <c r="L200" s="6"/>
      <c r="M200" s="6"/>
      <c r="N200" s="6"/>
      <c r="O200" s="6"/>
      <c r="P200" s="6"/>
      <c r="Q200" s="6"/>
      <c r="R200" s="6"/>
      <c r="S200" s="6"/>
      <c r="T200" s="6"/>
      <c r="U200" s="6"/>
    </row>
    <row r="201" spans="1:21">
      <c r="A201" s="82"/>
      <c r="B201" s="83"/>
      <c r="C201" s="82"/>
      <c r="D201" s="82"/>
      <c r="E201" s="82"/>
      <c r="F201" s="82"/>
      <c r="G201" s="222"/>
      <c r="H201" s="222"/>
      <c r="I201" s="222"/>
      <c r="J201" s="6"/>
      <c r="K201" s="6"/>
      <c r="L201" s="6"/>
      <c r="M201" s="6"/>
      <c r="N201" s="6"/>
      <c r="O201" s="6"/>
      <c r="P201" s="6"/>
      <c r="Q201" s="6"/>
      <c r="R201" s="6"/>
      <c r="S201" s="6"/>
      <c r="T201" s="6"/>
      <c r="U201" s="6"/>
    </row>
    <row r="202" spans="1:21">
      <c r="A202" s="82"/>
      <c r="B202" s="83"/>
      <c r="C202" s="82"/>
      <c r="D202" s="82"/>
      <c r="E202" s="82"/>
      <c r="F202" s="82"/>
      <c r="G202" s="222"/>
      <c r="H202" s="222"/>
      <c r="I202" s="222"/>
      <c r="J202" s="6"/>
      <c r="K202" s="6"/>
      <c r="L202" s="6"/>
      <c r="M202" s="6"/>
      <c r="N202" s="6"/>
      <c r="O202" s="6"/>
      <c r="P202" s="6"/>
      <c r="Q202" s="6"/>
      <c r="R202" s="6"/>
      <c r="S202" s="6"/>
      <c r="T202" s="6"/>
      <c r="U202" s="6"/>
    </row>
    <row r="203" spans="1:21">
      <c r="A203" s="82"/>
      <c r="B203" s="83"/>
      <c r="C203" s="82"/>
      <c r="D203" s="82"/>
      <c r="E203" s="82"/>
      <c r="F203" s="82"/>
      <c r="G203" s="222"/>
      <c r="H203" s="222"/>
      <c r="I203" s="222"/>
      <c r="J203" s="6"/>
      <c r="K203" s="6"/>
      <c r="L203" s="6"/>
      <c r="M203" s="6"/>
      <c r="N203" s="6"/>
      <c r="O203" s="6"/>
      <c r="P203" s="6"/>
      <c r="Q203" s="6"/>
      <c r="R203" s="6"/>
      <c r="S203" s="6"/>
      <c r="T203" s="6"/>
      <c r="U203" s="6"/>
    </row>
    <row r="204" spans="1:21">
      <c r="A204" s="82"/>
      <c r="B204" s="83"/>
      <c r="C204" s="82"/>
      <c r="D204" s="82"/>
      <c r="E204" s="82"/>
      <c r="F204" s="82"/>
      <c r="G204" s="222"/>
      <c r="H204" s="222"/>
      <c r="I204" s="222"/>
      <c r="J204" s="6"/>
      <c r="K204" s="6"/>
      <c r="L204" s="6"/>
      <c r="M204" s="6"/>
      <c r="N204" s="6"/>
      <c r="O204" s="6"/>
      <c r="P204" s="6"/>
      <c r="Q204" s="6"/>
      <c r="R204" s="6"/>
      <c r="S204" s="6"/>
      <c r="T204" s="6"/>
      <c r="U204" s="6"/>
    </row>
    <row r="205" spans="1:21">
      <c r="A205" s="82"/>
      <c r="B205" s="83"/>
      <c r="C205" s="82"/>
      <c r="D205" s="82"/>
      <c r="E205" s="82"/>
      <c r="F205" s="82"/>
      <c r="G205" s="222"/>
      <c r="H205" s="222"/>
      <c r="I205" s="222"/>
      <c r="J205" s="6"/>
      <c r="K205" s="6"/>
      <c r="L205" s="6"/>
      <c r="M205" s="6"/>
      <c r="N205" s="6"/>
      <c r="O205" s="6"/>
      <c r="P205" s="6"/>
      <c r="Q205" s="6"/>
      <c r="R205" s="6"/>
      <c r="S205" s="6"/>
      <c r="T205" s="6"/>
      <c r="U205" s="6"/>
    </row>
    <row r="206" spans="1:21">
      <c r="A206" s="82"/>
      <c r="B206" s="83"/>
      <c r="C206" s="82"/>
      <c r="D206" s="82"/>
      <c r="E206" s="82"/>
      <c r="F206" s="82"/>
      <c r="G206" s="222"/>
      <c r="H206" s="222"/>
      <c r="I206" s="222"/>
      <c r="J206" s="6"/>
      <c r="K206" s="6"/>
      <c r="L206" s="6"/>
      <c r="M206" s="6"/>
      <c r="N206" s="6"/>
      <c r="O206" s="6"/>
      <c r="P206" s="6"/>
      <c r="Q206" s="6"/>
      <c r="R206" s="6"/>
      <c r="S206" s="6"/>
      <c r="T206" s="6"/>
      <c r="U206" s="6"/>
    </row>
    <row r="207" spans="1:21">
      <c r="A207" s="82"/>
      <c r="B207" s="83"/>
      <c r="C207" s="82"/>
      <c r="D207" s="82"/>
      <c r="E207" s="82"/>
      <c r="F207" s="82"/>
      <c r="G207" s="222"/>
      <c r="H207" s="222"/>
      <c r="I207" s="222"/>
      <c r="J207" s="6"/>
      <c r="K207" s="6"/>
      <c r="L207" s="6"/>
      <c r="M207" s="6"/>
      <c r="N207" s="6"/>
      <c r="O207" s="6"/>
      <c r="P207" s="6"/>
      <c r="Q207" s="6"/>
      <c r="R207" s="6"/>
      <c r="S207" s="6"/>
      <c r="T207" s="6"/>
      <c r="U207" s="6"/>
    </row>
    <row r="208" spans="1:21">
      <c r="A208" s="82"/>
      <c r="B208" s="83"/>
      <c r="C208" s="82"/>
      <c r="D208" s="82"/>
      <c r="E208" s="82"/>
      <c r="F208" s="82"/>
      <c r="G208" s="222"/>
      <c r="H208" s="222"/>
      <c r="I208" s="222"/>
      <c r="J208" s="6"/>
      <c r="K208" s="6"/>
      <c r="L208" s="6"/>
      <c r="M208" s="6"/>
      <c r="N208" s="6"/>
      <c r="O208" s="6"/>
      <c r="P208" s="6"/>
      <c r="Q208" s="6"/>
      <c r="R208" s="6"/>
      <c r="S208" s="6"/>
      <c r="T208" s="6"/>
      <c r="U208" s="6"/>
    </row>
    <row r="209" spans="1:21">
      <c r="A209" s="82"/>
      <c r="B209" s="83"/>
      <c r="C209" s="82"/>
      <c r="D209" s="82"/>
      <c r="E209" s="82"/>
      <c r="F209" s="82"/>
      <c r="G209" s="222"/>
      <c r="H209" s="222"/>
      <c r="I209" s="222"/>
      <c r="J209" s="6"/>
      <c r="K209" s="6"/>
      <c r="L209" s="6"/>
      <c r="M209" s="6"/>
      <c r="N209" s="6"/>
      <c r="O209" s="6"/>
      <c r="P209" s="6"/>
      <c r="Q209" s="6"/>
      <c r="R209" s="6"/>
      <c r="S209" s="6"/>
      <c r="T209" s="6"/>
      <c r="U209" s="6"/>
    </row>
    <row r="210" spans="1:21">
      <c r="A210" s="82"/>
      <c r="B210" s="83"/>
      <c r="C210" s="82"/>
      <c r="D210" s="82"/>
      <c r="E210" s="82"/>
      <c r="F210" s="82"/>
      <c r="G210" s="222"/>
      <c r="H210" s="222"/>
      <c r="I210" s="222"/>
      <c r="J210" s="6"/>
      <c r="K210" s="6"/>
      <c r="L210" s="6"/>
      <c r="M210" s="6"/>
      <c r="N210" s="6"/>
      <c r="O210" s="6"/>
      <c r="P210" s="6"/>
      <c r="Q210" s="6"/>
      <c r="R210" s="6"/>
      <c r="S210" s="6"/>
      <c r="T210" s="6"/>
      <c r="U210" s="6"/>
    </row>
    <row r="211" spans="1:21">
      <c r="A211" s="82"/>
      <c r="B211" s="83"/>
      <c r="C211" s="82"/>
      <c r="D211" s="82"/>
      <c r="E211" s="82"/>
      <c r="F211" s="82"/>
      <c r="G211" s="222"/>
      <c r="H211" s="222"/>
      <c r="I211" s="222"/>
      <c r="J211" s="6"/>
      <c r="K211" s="6"/>
      <c r="L211" s="6"/>
      <c r="M211" s="6"/>
      <c r="N211" s="6"/>
      <c r="O211" s="6"/>
      <c r="P211" s="6"/>
      <c r="Q211" s="6"/>
      <c r="R211" s="6"/>
      <c r="S211" s="6"/>
      <c r="T211" s="6"/>
      <c r="U211" s="6"/>
    </row>
    <row r="212" spans="1:21">
      <c r="A212" s="82"/>
      <c r="B212" s="83"/>
      <c r="C212" s="82"/>
      <c r="D212" s="82"/>
      <c r="E212" s="82"/>
      <c r="F212" s="82"/>
      <c r="G212" s="222"/>
      <c r="H212" s="222"/>
      <c r="I212" s="222"/>
      <c r="J212" s="6"/>
      <c r="K212" s="6"/>
      <c r="L212" s="6"/>
      <c r="M212" s="6"/>
      <c r="N212" s="6"/>
      <c r="O212" s="6"/>
      <c r="P212" s="6"/>
      <c r="Q212" s="6"/>
      <c r="R212" s="6"/>
      <c r="S212" s="6"/>
      <c r="T212" s="6"/>
      <c r="U212" s="6"/>
    </row>
    <row r="213" spans="1:21">
      <c r="A213" s="82"/>
      <c r="B213" s="83"/>
      <c r="C213" s="82"/>
      <c r="D213" s="82"/>
      <c r="E213" s="82"/>
      <c r="F213" s="82"/>
      <c r="G213" s="222"/>
      <c r="H213" s="222"/>
      <c r="I213" s="222"/>
      <c r="J213" s="6"/>
      <c r="K213" s="6"/>
      <c r="L213" s="6"/>
      <c r="M213" s="6"/>
      <c r="N213" s="6"/>
      <c r="O213" s="6"/>
      <c r="P213" s="6"/>
      <c r="Q213" s="6"/>
      <c r="R213" s="6"/>
      <c r="S213" s="6"/>
      <c r="T213" s="6"/>
      <c r="U213" s="6"/>
    </row>
    <row r="214" spans="1:21">
      <c r="A214" s="82"/>
      <c r="B214" s="83"/>
      <c r="C214" s="82"/>
      <c r="D214" s="82"/>
      <c r="E214" s="82"/>
      <c r="F214" s="82"/>
      <c r="G214" s="222"/>
      <c r="H214" s="222"/>
      <c r="I214" s="222"/>
      <c r="J214" s="6"/>
      <c r="K214" s="6"/>
      <c r="L214" s="6"/>
      <c r="M214" s="6"/>
      <c r="N214" s="6"/>
      <c r="O214" s="6"/>
      <c r="P214" s="6"/>
      <c r="Q214" s="6"/>
      <c r="R214" s="6"/>
      <c r="S214" s="6"/>
      <c r="T214" s="6"/>
      <c r="U214" s="6"/>
    </row>
    <row r="215" spans="1:21">
      <c r="A215" s="82"/>
      <c r="B215" s="83"/>
      <c r="C215" s="82"/>
      <c r="D215" s="82"/>
      <c r="E215" s="82"/>
      <c r="F215" s="82"/>
      <c r="G215" s="222"/>
      <c r="H215" s="222"/>
      <c r="I215" s="222"/>
      <c r="J215" s="6"/>
      <c r="K215" s="6"/>
      <c r="L215" s="6"/>
      <c r="M215" s="6"/>
      <c r="N215" s="6"/>
      <c r="O215" s="6"/>
      <c r="P215" s="6"/>
      <c r="Q215" s="6"/>
      <c r="R215" s="6"/>
      <c r="S215" s="6"/>
      <c r="T215" s="6"/>
      <c r="U215" s="6"/>
    </row>
    <row r="216" spans="1:21">
      <c r="A216" s="82"/>
      <c r="B216" s="83"/>
      <c r="C216" s="82"/>
      <c r="D216" s="82"/>
      <c r="E216" s="82"/>
      <c r="F216" s="82"/>
      <c r="G216" s="222"/>
      <c r="H216" s="222"/>
      <c r="I216" s="222"/>
      <c r="J216" s="6"/>
      <c r="K216" s="6"/>
      <c r="L216" s="6"/>
      <c r="M216" s="6"/>
      <c r="N216" s="6"/>
      <c r="O216" s="6"/>
      <c r="P216" s="6"/>
      <c r="Q216" s="6"/>
      <c r="R216" s="6"/>
      <c r="S216" s="6"/>
      <c r="T216" s="6"/>
      <c r="U216" s="6"/>
    </row>
    <row r="217" spans="1:21">
      <c r="A217" s="82"/>
      <c r="B217" s="83"/>
      <c r="C217" s="82"/>
      <c r="D217" s="82"/>
      <c r="E217" s="82"/>
      <c r="F217" s="82"/>
      <c r="G217" s="222"/>
      <c r="H217" s="222"/>
      <c r="I217" s="222"/>
      <c r="J217" s="6"/>
      <c r="K217" s="6"/>
      <c r="L217" s="6"/>
      <c r="M217" s="6"/>
      <c r="N217" s="6"/>
      <c r="O217" s="6"/>
      <c r="P217" s="6"/>
      <c r="Q217" s="6"/>
      <c r="R217" s="6"/>
      <c r="S217" s="6"/>
      <c r="T217" s="6"/>
      <c r="U217" s="6"/>
    </row>
    <row r="218" spans="1:21">
      <c r="A218" s="82"/>
      <c r="B218" s="83"/>
      <c r="C218" s="82"/>
      <c r="D218" s="82"/>
      <c r="E218" s="82"/>
      <c r="F218" s="82"/>
      <c r="G218" s="222"/>
      <c r="H218" s="222"/>
      <c r="I218" s="222"/>
      <c r="J218" s="6"/>
      <c r="K218" s="6"/>
      <c r="L218" s="6"/>
      <c r="M218" s="6"/>
      <c r="N218" s="6"/>
      <c r="O218" s="6"/>
      <c r="P218" s="6"/>
      <c r="Q218" s="6"/>
      <c r="R218" s="6"/>
      <c r="S218" s="6"/>
      <c r="T218" s="6"/>
      <c r="U218" s="6"/>
    </row>
    <row r="219" spans="1:21">
      <c r="A219" s="82"/>
      <c r="B219" s="83"/>
      <c r="C219" s="82"/>
      <c r="D219" s="82"/>
      <c r="E219" s="82"/>
      <c r="F219" s="82"/>
      <c r="G219" s="222"/>
      <c r="H219" s="222"/>
      <c r="I219" s="222"/>
      <c r="J219" s="6"/>
      <c r="K219" s="6"/>
      <c r="L219" s="6"/>
      <c r="M219" s="6"/>
      <c r="N219" s="6"/>
      <c r="O219" s="6"/>
      <c r="P219" s="6"/>
      <c r="Q219" s="6"/>
      <c r="R219" s="6"/>
      <c r="S219" s="6"/>
      <c r="T219" s="6"/>
      <c r="U219" s="6"/>
    </row>
    <row r="220" spans="1:21">
      <c r="A220" s="82"/>
      <c r="B220" s="83"/>
      <c r="C220" s="82"/>
      <c r="D220" s="82"/>
      <c r="E220" s="82"/>
      <c r="F220" s="82"/>
      <c r="G220" s="222"/>
      <c r="H220" s="222"/>
      <c r="I220" s="222"/>
      <c r="J220" s="6"/>
      <c r="K220" s="6"/>
      <c r="L220" s="6"/>
      <c r="M220" s="6"/>
      <c r="N220" s="6"/>
      <c r="O220" s="6"/>
      <c r="P220" s="6"/>
      <c r="Q220" s="6"/>
      <c r="R220" s="6"/>
      <c r="S220" s="6"/>
      <c r="T220" s="6"/>
      <c r="U220" s="6"/>
    </row>
    <row r="221" spans="1:21">
      <c r="A221" s="82"/>
      <c r="B221" s="83"/>
      <c r="C221" s="82"/>
      <c r="D221" s="82"/>
      <c r="E221" s="82"/>
      <c r="F221" s="82"/>
      <c r="G221" s="222"/>
      <c r="H221" s="222"/>
      <c r="I221" s="222"/>
      <c r="J221" s="6"/>
      <c r="K221" s="6"/>
      <c r="L221" s="6"/>
      <c r="M221" s="6"/>
      <c r="N221" s="6"/>
      <c r="O221" s="6"/>
      <c r="P221" s="6"/>
      <c r="Q221" s="6"/>
      <c r="R221" s="6"/>
      <c r="S221" s="6"/>
      <c r="T221" s="6"/>
      <c r="U221" s="6"/>
    </row>
    <row r="222" spans="1:21">
      <c r="A222" s="82"/>
      <c r="B222" s="83"/>
      <c r="C222" s="82"/>
      <c r="D222" s="82"/>
      <c r="E222" s="82"/>
      <c r="F222" s="82"/>
      <c r="G222" s="222"/>
      <c r="H222" s="222"/>
      <c r="I222" s="222"/>
      <c r="J222" s="6"/>
      <c r="K222" s="6"/>
      <c r="L222" s="6"/>
      <c r="M222" s="6"/>
      <c r="N222" s="6"/>
      <c r="O222" s="6"/>
      <c r="P222" s="6"/>
      <c r="Q222" s="6"/>
      <c r="R222" s="6"/>
      <c r="S222" s="6"/>
      <c r="T222" s="6"/>
      <c r="U222" s="6"/>
    </row>
    <row r="223" spans="1:21">
      <c r="A223" s="82"/>
      <c r="B223" s="83"/>
      <c r="C223" s="82"/>
      <c r="D223" s="82"/>
      <c r="E223" s="82"/>
      <c r="F223" s="82"/>
      <c r="G223" s="222"/>
      <c r="H223" s="222"/>
      <c r="I223" s="222"/>
      <c r="J223" s="6"/>
      <c r="K223" s="6"/>
      <c r="L223" s="6"/>
      <c r="M223" s="6"/>
      <c r="N223" s="6"/>
      <c r="O223" s="6"/>
      <c r="P223" s="6"/>
      <c r="Q223" s="6"/>
      <c r="R223" s="6"/>
      <c r="S223" s="6"/>
      <c r="T223" s="6"/>
      <c r="U223" s="6"/>
    </row>
    <row r="224" spans="1:21">
      <c r="A224" s="82"/>
      <c r="B224" s="83"/>
      <c r="C224" s="82"/>
      <c r="D224" s="82"/>
      <c r="E224" s="82"/>
      <c r="F224" s="82"/>
      <c r="G224" s="222"/>
      <c r="H224" s="222"/>
      <c r="I224" s="222"/>
      <c r="J224" s="6"/>
      <c r="K224" s="6"/>
      <c r="L224" s="6"/>
      <c r="M224" s="6"/>
      <c r="N224" s="6"/>
      <c r="O224" s="6"/>
      <c r="P224" s="6"/>
      <c r="Q224" s="6"/>
      <c r="R224" s="6"/>
      <c r="S224" s="6"/>
      <c r="T224" s="6"/>
      <c r="U224" s="6"/>
    </row>
    <row r="225" spans="1:21">
      <c r="A225" s="82"/>
      <c r="B225" s="83"/>
      <c r="C225" s="82"/>
      <c r="D225" s="82"/>
      <c r="E225" s="82"/>
      <c r="F225" s="82"/>
      <c r="G225" s="222"/>
      <c r="H225" s="222"/>
      <c r="I225" s="222"/>
      <c r="J225" s="6"/>
      <c r="K225" s="6"/>
      <c r="L225" s="6"/>
      <c r="M225" s="6"/>
      <c r="N225" s="6"/>
      <c r="O225" s="6"/>
      <c r="P225" s="6"/>
      <c r="Q225" s="6"/>
      <c r="R225" s="6"/>
      <c r="S225" s="6"/>
      <c r="T225" s="6"/>
      <c r="U225" s="6"/>
    </row>
    <row r="226" spans="1:21">
      <c r="A226" s="82"/>
      <c r="B226" s="83"/>
      <c r="C226" s="82"/>
      <c r="D226" s="82"/>
      <c r="E226" s="82"/>
      <c r="F226" s="82"/>
      <c r="G226" s="222"/>
      <c r="H226" s="222"/>
      <c r="I226" s="222"/>
      <c r="J226" s="6"/>
      <c r="K226" s="6"/>
      <c r="L226" s="6"/>
      <c r="M226" s="6"/>
      <c r="N226" s="6"/>
      <c r="O226" s="6"/>
      <c r="P226" s="6"/>
      <c r="Q226" s="6"/>
      <c r="R226" s="6"/>
      <c r="S226" s="6"/>
      <c r="T226" s="6"/>
      <c r="U226" s="6"/>
    </row>
    <row r="227" spans="1:21">
      <c r="A227" s="82"/>
      <c r="B227" s="83"/>
      <c r="C227" s="82"/>
      <c r="D227" s="82"/>
      <c r="E227" s="82"/>
      <c r="F227" s="82"/>
      <c r="G227" s="222"/>
      <c r="H227" s="222"/>
      <c r="I227" s="222"/>
      <c r="J227" s="6"/>
      <c r="K227" s="6"/>
      <c r="L227" s="6"/>
      <c r="M227" s="6"/>
      <c r="N227" s="6"/>
      <c r="O227" s="6"/>
      <c r="P227" s="6"/>
      <c r="Q227" s="6"/>
      <c r="R227" s="6"/>
      <c r="S227" s="6"/>
      <c r="T227" s="6"/>
      <c r="U227" s="6"/>
    </row>
    <row r="228" spans="1:21">
      <c r="A228" s="82"/>
      <c r="B228" s="83"/>
      <c r="C228" s="82"/>
      <c r="D228" s="82"/>
      <c r="E228" s="82"/>
      <c r="F228" s="82"/>
      <c r="G228" s="222"/>
      <c r="H228" s="222"/>
      <c r="I228" s="222"/>
      <c r="J228" s="6"/>
      <c r="K228" s="6"/>
      <c r="L228" s="6"/>
      <c r="M228" s="6"/>
      <c r="N228" s="6"/>
      <c r="O228" s="6"/>
      <c r="P228" s="6"/>
      <c r="Q228" s="6"/>
      <c r="R228" s="6"/>
      <c r="S228" s="6"/>
      <c r="T228" s="6"/>
      <c r="U228" s="6"/>
    </row>
    <row r="229" spans="1:21">
      <c r="A229" s="82"/>
      <c r="B229" s="83"/>
      <c r="C229" s="82"/>
      <c r="D229" s="82"/>
      <c r="E229" s="82"/>
      <c r="F229" s="82"/>
      <c r="G229" s="222"/>
      <c r="H229" s="222"/>
      <c r="I229" s="222"/>
      <c r="J229" s="6"/>
      <c r="K229" s="6"/>
      <c r="L229" s="6"/>
      <c r="M229" s="6"/>
      <c r="N229" s="6"/>
      <c r="O229" s="6"/>
      <c r="P229" s="6"/>
      <c r="Q229" s="6"/>
      <c r="R229" s="6"/>
      <c r="S229" s="6"/>
      <c r="T229" s="6"/>
      <c r="U229" s="6"/>
    </row>
    <row r="230" spans="1:21">
      <c r="A230" s="82"/>
      <c r="B230" s="83"/>
      <c r="C230" s="82"/>
      <c r="D230" s="82"/>
      <c r="E230" s="82"/>
      <c r="F230" s="82"/>
      <c r="G230" s="222"/>
      <c r="H230" s="222"/>
      <c r="I230" s="222"/>
      <c r="J230" s="6"/>
      <c r="K230" s="6"/>
      <c r="L230" s="6"/>
      <c r="M230" s="6"/>
      <c r="N230" s="6"/>
      <c r="O230" s="6"/>
      <c r="P230" s="6"/>
      <c r="Q230" s="6"/>
      <c r="R230" s="6"/>
      <c r="S230" s="6"/>
      <c r="T230" s="6"/>
      <c r="U230" s="6"/>
    </row>
    <row r="231" spans="1:21">
      <c r="A231" s="82"/>
      <c r="B231" s="83"/>
      <c r="C231" s="82"/>
      <c r="D231" s="82"/>
      <c r="E231" s="82"/>
      <c r="F231" s="82"/>
      <c r="G231" s="222"/>
      <c r="H231" s="222"/>
      <c r="I231" s="222"/>
      <c r="J231" s="6"/>
      <c r="K231" s="6"/>
      <c r="L231" s="6"/>
      <c r="M231" s="6"/>
      <c r="N231" s="6"/>
      <c r="O231" s="6"/>
      <c r="P231" s="6"/>
      <c r="Q231" s="6"/>
      <c r="R231" s="6"/>
      <c r="S231" s="6"/>
      <c r="T231" s="6"/>
      <c r="U231" s="6"/>
    </row>
    <row r="232" spans="1:21">
      <c r="A232" s="82"/>
      <c r="B232" s="83"/>
      <c r="C232" s="82"/>
      <c r="D232" s="82"/>
      <c r="E232" s="82"/>
      <c r="F232" s="82"/>
      <c r="G232" s="222"/>
      <c r="H232" s="222"/>
      <c r="I232" s="222"/>
      <c r="J232" s="6"/>
      <c r="K232" s="6"/>
      <c r="L232" s="6"/>
      <c r="M232" s="6"/>
      <c r="N232" s="6"/>
      <c r="O232" s="6"/>
      <c r="P232" s="6"/>
      <c r="Q232" s="6"/>
      <c r="R232" s="6"/>
      <c r="S232" s="6"/>
      <c r="T232" s="6"/>
      <c r="U232" s="6"/>
    </row>
    <row r="233" spans="1:21">
      <c r="A233" s="82"/>
      <c r="B233" s="83"/>
      <c r="C233" s="82"/>
      <c r="D233" s="82"/>
      <c r="E233" s="82"/>
      <c r="F233" s="82"/>
      <c r="G233" s="222"/>
      <c r="H233" s="222"/>
      <c r="I233" s="222"/>
      <c r="J233" s="6"/>
      <c r="K233" s="6"/>
      <c r="L233" s="6"/>
      <c r="M233" s="6"/>
      <c r="N233" s="6"/>
      <c r="O233" s="6"/>
      <c r="P233" s="6"/>
      <c r="Q233" s="6"/>
      <c r="R233" s="6"/>
      <c r="S233" s="6"/>
      <c r="T233" s="6"/>
      <c r="U233" s="6"/>
    </row>
    <row r="234" spans="1:21">
      <c r="A234" s="82"/>
      <c r="B234" s="83"/>
      <c r="C234" s="82"/>
      <c r="D234" s="82"/>
      <c r="E234" s="82"/>
      <c r="F234" s="82"/>
      <c r="G234" s="222"/>
      <c r="H234" s="222"/>
      <c r="I234" s="222"/>
      <c r="J234" s="6"/>
      <c r="K234" s="6"/>
      <c r="L234" s="6"/>
      <c r="M234" s="6"/>
      <c r="N234" s="6"/>
      <c r="O234" s="6"/>
      <c r="P234" s="6"/>
      <c r="Q234" s="6"/>
      <c r="R234" s="6"/>
      <c r="S234" s="6"/>
      <c r="T234" s="6"/>
      <c r="U234" s="6"/>
    </row>
    <row r="235" spans="1:21">
      <c r="A235" s="82"/>
      <c r="B235" s="83"/>
      <c r="C235" s="82"/>
      <c r="D235" s="82"/>
      <c r="E235" s="82"/>
      <c r="F235" s="82"/>
      <c r="G235" s="222"/>
      <c r="H235" s="222"/>
      <c r="I235" s="222"/>
      <c r="J235" s="6"/>
      <c r="K235" s="6"/>
      <c r="L235" s="6"/>
      <c r="M235" s="6"/>
      <c r="N235" s="6"/>
      <c r="O235" s="6"/>
      <c r="P235" s="6"/>
      <c r="Q235" s="6"/>
      <c r="R235" s="6"/>
      <c r="S235" s="6"/>
      <c r="T235" s="6"/>
      <c r="U235" s="6"/>
    </row>
    <row r="236" spans="1:21">
      <c r="A236" s="82"/>
      <c r="B236" s="83"/>
      <c r="C236" s="82"/>
      <c r="D236" s="82"/>
      <c r="E236" s="82"/>
      <c r="F236" s="82"/>
      <c r="G236" s="222"/>
      <c r="H236" s="222"/>
      <c r="I236" s="222"/>
      <c r="J236" s="6"/>
      <c r="K236" s="6"/>
      <c r="L236" s="6"/>
      <c r="M236" s="6"/>
      <c r="N236" s="6"/>
      <c r="O236" s="6"/>
      <c r="P236" s="6"/>
      <c r="Q236" s="6"/>
      <c r="R236" s="6"/>
      <c r="S236" s="6"/>
      <c r="T236" s="6"/>
      <c r="U236" s="6"/>
    </row>
    <row r="237" spans="1:21">
      <c r="A237" s="82"/>
      <c r="B237" s="83"/>
      <c r="C237" s="82"/>
      <c r="D237" s="82"/>
      <c r="E237" s="82"/>
      <c r="F237" s="82"/>
      <c r="G237" s="222"/>
      <c r="H237" s="222"/>
      <c r="I237" s="222"/>
      <c r="J237" s="6"/>
      <c r="K237" s="6"/>
      <c r="L237" s="6"/>
      <c r="M237" s="6"/>
      <c r="N237" s="6"/>
      <c r="O237" s="6"/>
      <c r="P237" s="6"/>
      <c r="Q237" s="6"/>
      <c r="R237" s="6"/>
      <c r="S237" s="6"/>
      <c r="T237" s="6"/>
      <c r="U237" s="6"/>
    </row>
    <row r="238" spans="1:21">
      <c r="A238" s="82"/>
      <c r="B238" s="83"/>
      <c r="C238" s="82"/>
      <c r="D238" s="82"/>
      <c r="E238" s="82"/>
      <c r="F238" s="82"/>
      <c r="G238" s="222"/>
      <c r="H238" s="222"/>
      <c r="I238" s="222"/>
      <c r="J238" s="6"/>
      <c r="K238" s="6"/>
      <c r="L238" s="6"/>
      <c r="M238" s="6"/>
      <c r="N238" s="6"/>
      <c r="O238" s="6"/>
      <c r="P238" s="6"/>
      <c r="Q238" s="6"/>
      <c r="R238" s="6"/>
      <c r="S238" s="6"/>
      <c r="T238" s="6"/>
      <c r="U238" s="6"/>
    </row>
    <row r="239" spans="1:21">
      <c r="A239" s="82"/>
      <c r="B239" s="83"/>
      <c r="C239" s="82"/>
      <c r="D239" s="82"/>
      <c r="E239" s="82"/>
      <c r="F239" s="82"/>
      <c r="G239" s="222"/>
      <c r="H239" s="222"/>
      <c r="I239" s="222"/>
      <c r="J239" s="6"/>
      <c r="K239" s="6"/>
      <c r="L239" s="6"/>
      <c r="M239" s="6"/>
      <c r="N239" s="6"/>
      <c r="O239" s="6"/>
      <c r="P239" s="6"/>
      <c r="Q239" s="6"/>
      <c r="R239" s="6"/>
      <c r="S239" s="6"/>
      <c r="T239" s="6"/>
      <c r="U239" s="6"/>
    </row>
    <row r="240" spans="1:21">
      <c r="A240" s="82"/>
      <c r="B240" s="83"/>
      <c r="C240" s="82"/>
      <c r="D240" s="82"/>
      <c r="E240" s="82"/>
      <c r="F240" s="82"/>
      <c r="G240" s="222"/>
      <c r="H240" s="222"/>
      <c r="I240" s="222"/>
      <c r="J240" s="6"/>
      <c r="K240" s="6"/>
      <c r="L240" s="6"/>
      <c r="M240" s="6"/>
      <c r="N240" s="6"/>
      <c r="O240" s="6"/>
      <c r="P240" s="6"/>
      <c r="Q240" s="6"/>
      <c r="R240" s="6"/>
      <c r="S240" s="6"/>
      <c r="T240" s="6"/>
      <c r="U240" s="6"/>
    </row>
    <row r="241" spans="1:21">
      <c r="A241" s="82"/>
      <c r="B241" s="83"/>
      <c r="C241" s="82"/>
      <c r="D241" s="82"/>
      <c r="E241" s="82"/>
      <c r="F241" s="82"/>
      <c r="G241" s="222"/>
      <c r="H241" s="222"/>
      <c r="I241" s="222"/>
      <c r="J241" s="6"/>
      <c r="K241" s="6"/>
      <c r="L241" s="6"/>
      <c r="M241" s="6"/>
      <c r="N241" s="6"/>
      <c r="O241" s="6"/>
      <c r="P241" s="6"/>
      <c r="Q241" s="6"/>
      <c r="R241" s="6"/>
      <c r="S241" s="6"/>
      <c r="T241" s="6"/>
      <c r="U241" s="6"/>
    </row>
    <row r="242" spans="1:21">
      <c r="A242" s="82"/>
      <c r="B242" s="83"/>
      <c r="C242" s="82"/>
      <c r="D242" s="82"/>
      <c r="E242" s="82"/>
      <c r="F242" s="82"/>
      <c r="G242" s="222"/>
      <c r="H242" s="222"/>
      <c r="I242" s="222"/>
      <c r="J242" s="6"/>
      <c r="K242" s="6"/>
      <c r="L242" s="6"/>
      <c r="M242" s="6"/>
      <c r="N242" s="6"/>
      <c r="O242" s="6"/>
      <c r="P242" s="6"/>
      <c r="Q242" s="6"/>
      <c r="R242" s="6"/>
      <c r="S242" s="6"/>
      <c r="T242" s="6"/>
      <c r="U242" s="6"/>
    </row>
    <row r="243" spans="1:21">
      <c r="A243" s="82"/>
      <c r="B243" s="83"/>
      <c r="C243" s="82"/>
      <c r="D243" s="82"/>
      <c r="E243" s="82"/>
      <c r="F243" s="82"/>
      <c r="G243" s="222"/>
      <c r="H243" s="222"/>
      <c r="I243" s="222"/>
      <c r="J243" s="6"/>
      <c r="K243" s="6"/>
      <c r="L243" s="6"/>
      <c r="M243" s="6"/>
      <c r="N243" s="6"/>
      <c r="O243" s="6"/>
      <c r="P243" s="6"/>
      <c r="Q243" s="6"/>
      <c r="R243" s="6"/>
      <c r="S243" s="6"/>
      <c r="T243" s="6"/>
      <c r="U243" s="6"/>
    </row>
    <row r="244" spans="1:21">
      <c r="A244" s="82"/>
      <c r="B244" s="83"/>
      <c r="C244" s="82"/>
      <c r="D244" s="82"/>
      <c r="E244" s="82"/>
      <c r="F244" s="82"/>
      <c r="G244" s="222"/>
      <c r="H244" s="222"/>
      <c r="I244" s="222"/>
      <c r="J244" s="6"/>
      <c r="K244" s="6"/>
      <c r="L244" s="6"/>
      <c r="M244" s="6"/>
      <c r="N244" s="6"/>
      <c r="O244" s="6"/>
      <c r="P244" s="6"/>
      <c r="Q244" s="6"/>
      <c r="R244" s="6"/>
      <c r="S244" s="6"/>
      <c r="T244" s="6"/>
      <c r="U244" s="6"/>
    </row>
    <row r="245" spans="1:21">
      <c r="A245" s="82"/>
      <c r="B245" s="83"/>
      <c r="C245" s="82"/>
      <c r="D245" s="82"/>
      <c r="E245" s="82"/>
      <c r="F245" s="82"/>
      <c r="G245" s="222"/>
      <c r="H245" s="222"/>
      <c r="I245" s="222"/>
      <c r="J245" s="6"/>
      <c r="K245" s="6"/>
      <c r="L245" s="6"/>
      <c r="M245" s="6"/>
      <c r="N245" s="6"/>
      <c r="O245" s="6"/>
      <c r="P245" s="6"/>
      <c r="Q245" s="6"/>
      <c r="R245" s="6"/>
      <c r="S245" s="6"/>
      <c r="T245" s="6"/>
      <c r="U245" s="6"/>
    </row>
    <row r="246" spans="1:21">
      <c r="A246" s="82"/>
      <c r="B246" s="83"/>
      <c r="C246" s="82"/>
      <c r="D246" s="82"/>
      <c r="E246" s="82"/>
      <c r="F246" s="82"/>
      <c r="G246" s="222"/>
      <c r="H246" s="222"/>
      <c r="I246" s="222"/>
      <c r="J246" s="6"/>
      <c r="K246" s="6"/>
      <c r="L246" s="6"/>
      <c r="M246" s="6"/>
      <c r="N246" s="6"/>
      <c r="O246" s="6"/>
      <c r="P246" s="6"/>
      <c r="Q246" s="6"/>
      <c r="R246" s="6"/>
      <c r="S246" s="6"/>
      <c r="T246" s="6"/>
      <c r="U246" s="6"/>
    </row>
    <row r="247" spans="1:21">
      <c r="A247" s="82"/>
      <c r="B247" s="83"/>
      <c r="C247" s="82"/>
      <c r="D247" s="82"/>
      <c r="E247" s="82"/>
      <c r="F247" s="82"/>
      <c r="G247" s="222"/>
      <c r="H247" s="222"/>
      <c r="I247" s="222"/>
      <c r="J247" s="6"/>
      <c r="K247" s="6"/>
      <c r="L247" s="6"/>
      <c r="M247" s="6"/>
      <c r="N247" s="6"/>
      <c r="O247" s="6"/>
      <c r="P247" s="6"/>
      <c r="Q247" s="6"/>
      <c r="R247" s="6"/>
      <c r="S247" s="6"/>
      <c r="T247" s="6"/>
      <c r="U247" s="6"/>
    </row>
    <row r="248" spans="1:21">
      <c r="A248" s="82"/>
      <c r="B248" s="83"/>
      <c r="C248" s="82"/>
      <c r="D248" s="82"/>
      <c r="E248" s="82"/>
      <c r="F248" s="82"/>
      <c r="G248" s="222"/>
      <c r="H248" s="222"/>
      <c r="I248" s="222"/>
      <c r="J248" s="6"/>
      <c r="K248" s="6"/>
      <c r="L248" s="6"/>
      <c r="M248" s="6"/>
      <c r="N248" s="6"/>
      <c r="O248" s="6"/>
      <c r="P248" s="6"/>
      <c r="Q248" s="6"/>
      <c r="R248" s="6"/>
      <c r="S248" s="6"/>
      <c r="T248" s="6"/>
      <c r="U248" s="6"/>
    </row>
    <row r="249" spans="1:21">
      <c r="A249" s="82"/>
      <c r="B249" s="83"/>
      <c r="C249" s="82"/>
      <c r="D249" s="82"/>
      <c r="E249" s="82"/>
      <c r="F249" s="82"/>
      <c r="G249" s="222"/>
      <c r="H249" s="222"/>
      <c r="I249" s="222"/>
      <c r="J249" s="6"/>
      <c r="K249" s="6"/>
      <c r="L249" s="6"/>
      <c r="M249" s="6"/>
      <c r="N249" s="6"/>
      <c r="O249" s="6"/>
      <c r="P249" s="6"/>
      <c r="Q249" s="6"/>
      <c r="R249" s="6"/>
      <c r="S249" s="6"/>
      <c r="T249" s="6"/>
      <c r="U249" s="6"/>
    </row>
    <row r="250" spans="1:21">
      <c r="A250" s="82"/>
      <c r="B250" s="83"/>
      <c r="C250" s="82"/>
      <c r="D250" s="82"/>
      <c r="E250" s="82"/>
      <c r="F250" s="82"/>
      <c r="G250" s="222"/>
      <c r="H250" s="222"/>
      <c r="I250" s="222"/>
      <c r="J250" s="6"/>
      <c r="K250" s="6"/>
      <c r="L250" s="6"/>
      <c r="M250" s="6"/>
      <c r="N250" s="6"/>
      <c r="O250" s="6"/>
      <c r="P250" s="6"/>
      <c r="Q250" s="6"/>
      <c r="R250" s="6"/>
      <c r="S250" s="6"/>
      <c r="T250" s="6"/>
      <c r="U250" s="6"/>
    </row>
    <row r="251" spans="1:21">
      <c r="A251" s="82"/>
      <c r="B251" s="83"/>
      <c r="C251" s="82"/>
      <c r="D251" s="82"/>
      <c r="E251" s="82"/>
      <c r="F251" s="82"/>
      <c r="G251" s="222"/>
      <c r="H251" s="222"/>
      <c r="I251" s="222"/>
      <c r="J251" s="6"/>
      <c r="K251" s="6"/>
      <c r="L251" s="6"/>
      <c r="M251" s="6"/>
      <c r="N251" s="6"/>
      <c r="O251" s="6"/>
      <c r="P251" s="6"/>
      <c r="Q251" s="6"/>
      <c r="R251" s="6"/>
      <c r="S251" s="6"/>
      <c r="T251" s="6"/>
      <c r="U251" s="6"/>
    </row>
    <row r="252" spans="1:21">
      <c r="A252" s="82"/>
      <c r="B252" s="83"/>
      <c r="C252" s="82"/>
      <c r="D252" s="82"/>
      <c r="E252" s="82"/>
      <c r="F252" s="82"/>
      <c r="G252" s="222"/>
      <c r="H252" s="222"/>
      <c r="I252" s="222"/>
      <c r="J252" s="6"/>
      <c r="K252" s="6"/>
      <c r="L252" s="6"/>
      <c r="M252" s="6"/>
      <c r="N252" s="6"/>
      <c r="O252" s="6"/>
      <c r="P252" s="6"/>
      <c r="Q252" s="6"/>
      <c r="R252" s="6"/>
      <c r="S252" s="6"/>
      <c r="T252" s="6"/>
      <c r="U252" s="6"/>
    </row>
    <row r="253" spans="1:21">
      <c r="A253" s="82"/>
      <c r="B253" s="83"/>
      <c r="C253" s="82"/>
      <c r="D253" s="82"/>
      <c r="E253" s="82"/>
      <c r="F253" s="82"/>
      <c r="G253" s="222"/>
      <c r="H253" s="222"/>
      <c r="I253" s="222"/>
      <c r="J253" s="6"/>
      <c r="K253" s="6"/>
      <c r="L253" s="6"/>
      <c r="M253" s="6"/>
      <c r="N253" s="6"/>
      <c r="O253" s="6"/>
      <c r="P253" s="6"/>
      <c r="Q253" s="6"/>
      <c r="R253" s="6"/>
      <c r="S253" s="6"/>
      <c r="T253" s="6"/>
      <c r="U253" s="6"/>
    </row>
    <row r="254" spans="1:21">
      <c r="A254" s="82"/>
      <c r="B254" s="83"/>
      <c r="C254" s="82"/>
      <c r="D254" s="82"/>
      <c r="E254" s="82"/>
      <c r="F254" s="82"/>
      <c r="G254" s="222"/>
      <c r="H254" s="222"/>
      <c r="I254" s="222"/>
      <c r="J254" s="6"/>
      <c r="K254" s="6"/>
      <c r="L254" s="6"/>
      <c r="M254" s="6"/>
      <c r="N254" s="6"/>
      <c r="O254" s="6"/>
      <c r="P254" s="6"/>
      <c r="Q254" s="6"/>
      <c r="R254" s="6"/>
      <c r="S254" s="6"/>
      <c r="T254" s="6"/>
      <c r="U254" s="6"/>
    </row>
    <row r="255" spans="1:21">
      <c r="A255" s="82"/>
      <c r="B255" s="83"/>
      <c r="C255" s="82"/>
      <c r="D255" s="82"/>
      <c r="E255" s="82"/>
      <c r="F255" s="82"/>
      <c r="G255" s="222"/>
      <c r="H255" s="222"/>
      <c r="I255" s="222"/>
      <c r="J255" s="6"/>
      <c r="K255" s="6"/>
      <c r="L255" s="6"/>
      <c r="M255" s="6"/>
      <c r="N255" s="6"/>
      <c r="O255" s="6"/>
      <c r="P255" s="6"/>
      <c r="Q255" s="6"/>
      <c r="R255" s="6"/>
      <c r="S255" s="6"/>
      <c r="T255" s="6"/>
      <c r="U255" s="6"/>
    </row>
    <row r="256" spans="1:21">
      <c r="A256" s="82"/>
      <c r="B256" s="83"/>
      <c r="C256" s="82"/>
      <c r="D256" s="82"/>
      <c r="E256" s="82"/>
      <c r="F256" s="82"/>
      <c r="G256" s="222"/>
      <c r="H256" s="222"/>
      <c r="I256" s="222"/>
      <c r="J256" s="6"/>
      <c r="K256" s="6"/>
      <c r="L256" s="6"/>
      <c r="M256" s="6"/>
      <c r="N256" s="6"/>
      <c r="O256" s="6"/>
      <c r="P256" s="6"/>
      <c r="Q256" s="6"/>
      <c r="R256" s="6"/>
      <c r="S256" s="6"/>
      <c r="T256" s="6"/>
      <c r="U256" s="6"/>
    </row>
    <row r="257" spans="1:21">
      <c r="A257" s="82"/>
      <c r="B257" s="83"/>
      <c r="C257" s="82"/>
      <c r="D257" s="82"/>
      <c r="E257" s="82"/>
      <c r="F257" s="82"/>
      <c r="G257" s="222"/>
      <c r="H257" s="222"/>
      <c r="I257" s="222"/>
      <c r="J257" s="6"/>
      <c r="K257" s="6"/>
      <c r="L257" s="6"/>
      <c r="M257" s="6"/>
      <c r="N257" s="6"/>
      <c r="O257" s="6"/>
      <c r="P257" s="6"/>
      <c r="Q257" s="6"/>
      <c r="R257" s="6"/>
      <c r="S257" s="6"/>
      <c r="T257" s="6"/>
      <c r="U257" s="6"/>
    </row>
    <row r="258" spans="1:21">
      <c r="A258" s="82"/>
      <c r="B258" s="83"/>
      <c r="C258" s="82"/>
      <c r="D258" s="82"/>
      <c r="E258" s="82"/>
      <c r="F258" s="82"/>
      <c r="G258" s="222"/>
      <c r="H258" s="222"/>
      <c r="I258" s="222"/>
      <c r="J258" s="6"/>
      <c r="K258" s="6"/>
      <c r="L258" s="6"/>
      <c r="M258" s="6"/>
      <c r="N258" s="6"/>
      <c r="O258" s="6"/>
      <c r="P258" s="6"/>
      <c r="Q258" s="6"/>
      <c r="R258" s="6"/>
      <c r="S258" s="6"/>
      <c r="T258" s="6"/>
      <c r="U258" s="6"/>
    </row>
    <row r="259" spans="1:21">
      <c r="A259" s="82"/>
      <c r="B259" s="83"/>
      <c r="C259" s="82"/>
      <c r="D259" s="82"/>
      <c r="E259" s="82"/>
      <c r="F259" s="82"/>
      <c r="G259" s="222"/>
      <c r="H259" s="222"/>
      <c r="I259" s="222"/>
      <c r="J259" s="6"/>
      <c r="K259" s="6"/>
      <c r="L259" s="6"/>
      <c r="M259" s="6"/>
      <c r="N259" s="6"/>
      <c r="O259" s="6"/>
      <c r="P259" s="6"/>
      <c r="Q259" s="6"/>
      <c r="R259" s="6"/>
      <c r="S259" s="6"/>
      <c r="T259" s="6"/>
      <c r="U259" s="6"/>
    </row>
    <row r="260" spans="1:21">
      <c r="A260" s="82"/>
      <c r="B260" s="83"/>
      <c r="C260" s="82"/>
      <c r="D260" s="82"/>
      <c r="E260" s="82"/>
      <c r="F260" s="82"/>
      <c r="G260" s="222"/>
      <c r="H260" s="222"/>
      <c r="I260" s="222"/>
      <c r="J260" s="6"/>
      <c r="K260" s="6"/>
      <c r="L260" s="6"/>
      <c r="M260" s="6"/>
      <c r="N260" s="6"/>
      <c r="O260" s="6"/>
      <c r="P260" s="6"/>
      <c r="Q260" s="6"/>
      <c r="R260" s="6"/>
      <c r="S260" s="6"/>
      <c r="T260" s="6"/>
      <c r="U260" s="6"/>
    </row>
    <row r="261" spans="1:21">
      <c r="A261" s="82"/>
      <c r="B261" s="83"/>
      <c r="C261" s="82"/>
      <c r="D261" s="82"/>
      <c r="E261" s="82"/>
      <c r="F261" s="82"/>
      <c r="G261" s="222"/>
      <c r="H261" s="222"/>
      <c r="I261" s="222"/>
      <c r="J261" s="6"/>
      <c r="K261" s="6"/>
      <c r="L261" s="6"/>
      <c r="M261" s="6"/>
      <c r="N261" s="6"/>
      <c r="O261" s="6"/>
      <c r="P261" s="6"/>
      <c r="Q261" s="6"/>
      <c r="R261" s="6"/>
      <c r="S261" s="6"/>
      <c r="T261" s="6"/>
      <c r="U261" s="6"/>
    </row>
    <row r="262" spans="1:21">
      <c r="A262" s="82"/>
      <c r="B262" s="83"/>
      <c r="C262" s="82"/>
      <c r="D262" s="82"/>
      <c r="E262" s="82"/>
      <c r="F262" s="82"/>
      <c r="G262" s="222"/>
      <c r="H262" s="222"/>
      <c r="I262" s="222"/>
      <c r="J262" s="6"/>
      <c r="K262" s="6"/>
      <c r="L262" s="6"/>
      <c r="M262" s="6"/>
      <c r="N262" s="6"/>
      <c r="O262" s="6"/>
      <c r="P262" s="6"/>
      <c r="Q262" s="6"/>
      <c r="R262" s="6"/>
      <c r="S262" s="6"/>
      <c r="T262" s="6"/>
      <c r="U262" s="6"/>
    </row>
    <row r="263" spans="1:21">
      <c r="A263" s="82"/>
      <c r="B263" s="83"/>
      <c r="C263" s="82"/>
      <c r="D263" s="82"/>
      <c r="E263" s="82"/>
      <c r="F263" s="82"/>
      <c r="G263" s="222"/>
      <c r="H263" s="222"/>
      <c r="I263" s="222"/>
      <c r="J263" s="6"/>
      <c r="K263" s="6"/>
      <c r="L263" s="6"/>
      <c r="M263" s="6"/>
      <c r="N263" s="6"/>
      <c r="O263" s="6"/>
      <c r="P263" s="6"/>
      <c r="Q263" s="6"/>
      <c r="R263" s="6"/>
      <c r="S263" s="6"/>
      <c r="T263" s="6"/>
      <c r="U263" s="6"/>
    </row>
    <row r="264" spans="1:21">
      <c r="A264" s="82"/>
      <c r="B264" s="83"/>
      <c r="C264" s="82"/>
      <c r="D264" s="82"/>
      <c r="E264" s="82"/>
      <c r="F264" s="82"/>
      <c r="G264" s="222"/>
      <c r="H264" s="222"/>
      <c r="I264" s="222"/>
      <c r="J264" s="6"/>
      <c r="K264" s="6"/>
      <c r="L264" s="6"/>
      <c r="M264" s="6"/>
      <c r="N264" s="6"/>
      <c r="O264" s="6"/>
      <c r="P264" s="6"/>
      <c r="Q264" s="6"/>
      <c r="R264" s="6"/>
      <c r="S264" s="6"/>
      <c r="T264" s="6"/>
      <c r="U264" s="6"/>
    </row>
    <row r="265" spans="1:21">
      <c r="A265" s="82"/>
      <c r="B265" s="83"/>
      <c r="C265" s="82"/>
      <c r="D265" s="82"/>
      <c r="E265" s="82"/>
      <c r="F265" s="82"/>
      <c r="G265" s="222"/>
      <c r="H265" s="222"/>
      <c r="I265" s="222"/>
      <c r="J265" s="6"/>
      <c r="K265" s="6"/>
      <c r="L265" s="6"/>
      <c r="M265" s="6"/>
      <c r="N265" s="6"/>
      <c r="O265" s="6"/>
      <c r="P265" s="6"/>
      <c r="Q265" s="6"/>
      <c r="R265" s="6"/>
      <c r="S265" s="6"/>
      <c r="T265" s="6"/>
      <c r="U265" s="6"/>
    </row>
    <row r="266" spans="1:21">
      <c r="A266" s="82"/>
      <c r="B266" s="83"/>
      <c r="C266" s="82"/>
      <c r="D266" s="82"/>
      <c r="E266" s="82"/>
      <c r="F266" s="82"/>
      <c r="G266" s="222"/>
      <c r="H266" s="222"/>
      <c r="I266" s="222"/>
      <c r="J266" s="6"/>
      <c r="K266" s="6"/>
      <c r="L266" s="6"/>
      <c r="M266" s="6"/>
      <c r="N266" s="6"/>
      <c r="O266" s="6"/>
      <c r="P266" s="6"/>
      <c r="Q266" s="6"/>
      <c r="R266" s="6"/>
      <c r="S266" s="6"/>
      <c r="T266" s="6"/>
      <c r="U266" s="6"/>
    </row>
    <row r="267" spans="1:21">
      <c r="A267" s="82"/>
      <c r="B267" s="83"/>
      <c r="C267" s="82"/>
      <c r="D267" s="82"/>
      <c r="E267" s="82"/>
      <c r="F267" s="82"/>
      <c r="G267" s="222"/>
      <c r="H267" s="222"/>
      <c r="I267" s="222"/>
      <c r="J267" s="6"/>
      <c r="K267" s="6"/>
      <c r="L267" s="6"/>
      <c r="M267" s="6"/>
      <c r="N267" s="6"/>
      <c r="O267" s="6"/>
      <c r="P267" s="6"/>
      <c r="Q267" s="6"/>
      <c r="R267" s="6"/>
      <c r="S267" s="6"/>
      <c r="T267" s="6"/>
      <c r="U267" s="6"/>
    </row>
    <row r="268" spans="1:21">
      <c r="A268" s="82"/>
      <c r="B268" s="83"/>
      <c r="C268" s="82"/>
      <c r="D268" s="82"/>
      <c r="E268" s="82"/>
      <c r="F268" s="82"/>
      <c r="G268" s="222"/>
      <c r="H268" s="222"/>
      <c r="I268" s="222"/>
      <c r="J268" s="6"/>
      <c r="K268" s="6"/>
      <c r="L268" s="6"/>
      <c r="M268" s="6"/>
      <c r="N268" s="6"/>
      <c r="O268" s="6"/>
      <c r="P268" s="6"/>
      <c r="Q268" s="6"/>
      <c r="R268" s="6"/>
      <c r="S268" s="6"/>
      <c r="T268" s="6"/>
      <c r="U268" s="6"/>
    </row>
    <row r="269" spans="1:21">
      <c r="A269" s="82"/>
      <c r="B269" s="83"/>
      <c r="C269" s="82"/>
      <c r="D269" s="82"/>
      <c r="E269" s="82"/>
      <c r="F269" s="82"/>
      <c r="G269" s="222"/>
      <c r="H269" s="222"/>
      <c r="I269" s="222"/>
      <c r="J269" s="6"/>
      <c r="K269" s="6"/>
      <c r="L269" s="6"/>
      <c r="M269" s="6"/>
      <c r="N269" s="6"/>
      <c r="O269" s="6"/>
      <c r="P269" s="6"/>
      <c r="Q269" s="6"/>
      <c r="R269" s="6"/>
      <c r="S269" s="6"/>
      <c r="T269" s="6"/>
      <c r="U269" s="6"/>
    </row>
    <row r="270" spans="1:21">
      <c r="A270" s="82"/>
      <c r="B270" s="83"/>
      <c r="C270" s="82"/>
      <c r="D270" s="82"/>
      <c r="E270" s="82"/>
      <c r="F270" s="82"/>
      <c r="G270" s="222"/>
      <c r="H270" s="222"/>
      <c r="I270" s="222"/>
      <c r="J270" s="6"/>
      <c r="K270" s="6"/>
      <c r="L270" s="6"/>
      <c r="M270" s="6"/>
      <c r="N270" s="6"/>
      <c r="O270" s="6"/>
      <c r="P270" s="6"/>
      <c r="Q270" s="6"/>
      <c r="R270" s="6"/>
      <c r="S270" s="6"/>
      <c r="T270" s="6"/>
      <c r="U270" s="6"/>
    </row>
    <row r="271" spans="1:21">
      <c r="A271" s="82"/>
      <c r="B271" s="83"/>
      <c r="C271" s="82"/>
      <c r="D271" s="82"/>
      <c r="E271" s="82"/>
      <c r="F271" s="82"/>
      <c r="G271" s="222"/>
      <c r="H271" s="222"/>
      <c r="I271" s="222"/>
      <c r="J271" s="6"/>
      <c r="K271" s="6"/>
      <c r="L271" s="6"/>
      <c r="M271" s="6"/>
      <c r="N271" s="6"/>
      <c r="O271" s="6"/>
      <c r="P271" s="6"/>
      <c r="Q271" s="6"/>
      <c r="R271" s="6"/>
      <c r="S271" s="6"/>
      <c r="T271" s="6"/>
      <c r="U271" s="6"/>
    </row>
    <row r="272" spans="1:21">
      <c r="A272" s="82"/>
      <c r="B272" s="83"/>
      <c r="C272" s="82"/>
      <c r="D272" s="82"/>
      <c r="E272" s="82"/>
      <c r="F272" s="82"/>
      <c r="G272" s="222"/>
      <c r="H272" s="222"/>
      <c r="I272" s="222"/>
      <c r="J272" s="6"/>
      <c r="K272" s="6"/>
      <c r="L272" s="6"/>
      <c r="M272" s="6"/>
      <c r="N272" s="6"/>
      <c r="O272" s="6"/>
      <c r="P272" s="6"/>
      <c r="Q272" s="6"/>
      <c r="R272" s="6"/>
      <c r="S272" s="6"/>
      <c r="T272" s="6"/>
      <c r="U272" s="6"/>
    </row>
    <row r="273" spans="1:21">
      <c r="A273" s="82"/>
      <c r="B273" s="83"/>
      <c r="C273" s="82"/>
      <c r="D273" s="82"/>
      <c r="E273" s="82"/>
      <c r="F273" s="82"/>
      <c r="G273" s="222"/>
      <c r="H273" s="222"/>
      <c r="I273" s="222"/>
      <c r="J273" s="6"/>
      <c r="K273" s="6"/>
      <c r="L273" s="6"/>
      <c r="M273" s="6"/>
      <c r="N273" s="6"/>
      <c r="O273" s="6"/>
      <c r="P273" s="6"/>
      <c r="Q273" s="6"/>
      <c r="R273" s="6"/>
      <c r="S273" s="6"/>
      <c r="T273" s="6"/>
      <c r="U273" s="6"/>
    </row>
    <row r="274" spans="1:21">
      <c r="A274" s="82"/>
      <c r="B274" s="83"/>
      <c r="C274" s="82"/>
      <c r="D274" s="82"/>
      <c r="E274" s="82"/>
      <c r="F274" s="82"/>
      <c r="G274" s="222"/>
      <c r="H274" s="222"/>
      <c r="I274" s="222"/>
      <c r="J274" s="6"/>
      <c r="K274" s="6"/>
      <c r="L274" s="6"/>
      <c r="M274" s="6"/>
      <c r="N274" s="6"/>
      <c r="O274" s="6"/>
      <c r="P274" s="6"/>
      <c r="Q274" s="6"/>
      <c r="R274" s="6"/>
      <c r="S274" s="6"/>
      <c r="T274" s="6"/>
      <c r="U274" s="6"/>
    </row>
    <row r="275" spans="1:21">
      <c r="A275" s="82"/>
      <c r="B275" s="83"/>
      <c r="C275" s="82"/>
      <c r="D275" s="82"/>
      <c r="E275" s="82"/>
      <c r="F275" s="82"/>
      <c r="G275" s="222"/>
      <c r="H275" s="222"/>
      <c r="I275" s="222"/>
      <c r="J275" s="6"/>
      <c r="K275" s="6"/>
      <c r="L275" s="6"/>
      <c r="M275" s="6"/>
      <c r="N275" s="6"/>
      <c r="O275" s="6"/>
      <c r="P275" s="6"/>
      <c r="Q275" s="6"/>
      <c r="R275" s="6"/>
      <c r="S275" s="6"/>
      <c r="T275" s="6"/>
      <c r="U275" s="6"/>
    </row>
    <row r="276" spans="1:21">
      <c r="A276" s="82"/>
      <c r="B276" s="83"/>
      <c r="C276" s="82"/>
      <c r="D276" s="82"/>
      <c r="E276" s="82"/>
      <c r="F276" s="82"/>
      <c r="G276" s="222"/>
      <c r="H276" s="222"/>
      <c r="I276" s="222"/>
      <c r="J276" s="6"/>
      <c r="K276" s="6"/>
      <c r="L276" s="6"/>
      <c r="M276" s="6"/>
      <c r="N276" s="6"/>
      <c r="O276" s="6"/>
      <c r="P276" s="6"/>
      <c r="Q276" s="6"/>
      <c r="R276" s="6"/>
      <c r="S276" s="6"/>
      <c r="T276" s="6"/>
      <c r="U276" s="6"/>
    </row>
    <row r="277" spans="1:21">
      <c r="A277" s="82"/>
      <c r="B277" s="83"/>
      <c r="C277" s="82"/>
      <c r="D277" s="82"/>
      <c r="E277" s="82"/>
      <c r="F277" s="82"/>
      <c r="G277" s="222"/>
      <c r="H277" s="222"/>
      <c r="I277" s="222"/>
      <c r="J277" s="6"/>
      <c r="K277" s="6"/>
      <c r="L277" s="6"/>
      <c r="M277" s="6"/>
      <c r="N277" s="6"/>
      <c r="O277" s="6"/>
      <c r="P277" s="6"/>
      <c r="Q277" s="6"/>
      <c r="R277" s="6"/>
      <c r="S277" s="6"/>
      <c r="T277" s="6"/>
      <c r="U277" s="6"/>
    </row>
    <row r="278" spans="1:21">
      <c r="A278" s="82"/>
      <c r="B278" s="83"/>
      <c r="C278" s="82"/>
      <c r="D278" s="82"/>
      <c r="E278" s="82"/>
      <c r="F278" s="82"/>
      <c r="G278" s="222"/>
      <c r="H278" s="222"/>
      <c r="I278" s="222"/>
      <c r="J278" s="6"/>
      <c r="K278" s="6"/>
      <c r="L278" s="6"/>
      <c r="M278" s="6"/>
      <c r="N278" s="6"/>
      <c r="O278" s="6"/>
      <c r="P278" s="6"/>
      <c r="Q278" s="6"/>
      <c r="R278" s="6"/>
      <c r="S278" s="6"/>
      <c r="T278" s="6"/>
      <c r="U278" s="6"/>
    </row>
    <row r="279" spans="1:21">
      <c r="A279" s="82"/>
      <c r="B279" s="83"/>
      <c r="C279" s="82"/>
      <c r="D279" s="82"/>
      <c r="E279" s="82"/>
      <c r="F279" s="82"/>
      <c r="G279" s="222"/>
      <c r="H279" s="222"/>
      <c r="I279" s="222"/>
      <c r="J279" s="6"/>
      <c r="K279" s="6"/>
      <c r="L279" s="6"/>
      <c r="M279" s="6"/>
      <c r="N279" s="6"/>
      <c r="O279" s="6"/>
      <c r="P279" s="6"/>
      <c r="Q279" s="6"/>
      <c r="R279" s="6"/>
      <c r="S279" s="6"/>
      <c r="T279" s="6"/>
      <c r="U279" s="6"/>
    </row>
    <row r="280" spans="1:21">
      <c r="A280" s="82"/>
      <c r="B280" s="83"/>
      <c r="C280" s="82"/>
      <c r="D280" s="82"/>
      <c r="E280" s="82"/>
      <c r="F280" s="82"/>
      <c r="G280" s="222"/>
      <c r="H280" s="222"/>
      <c r="I280" s="222"/>
      <c r="J280" s="6"/>
      <c r="K280" s="6"/>
      <c r="L280" s="6"/>
      <c r="M280" s="6"/>
      <c r="N280" s="6"/>
      <c r="O280" s="6"/>
      <c r="P280" s="6"/>
      <c r="Q280" s="6"/>
      <c r="R280" s="6"/>
      <c r="S280" s="6"/>
      <c r="T280" s="6"/>
      <c r="U280" s="6"/>
    </row>
    <row r="281" spans="1:21">
      <c r="A281" s="82"/>
      <c r="B281" s="83"/>
      <c r="C281" s="82"/>
      <c r="D281" s="82"/>
      <c r="E281" s="82"/>
      <c r="F281" s="82"/>
      <c r="G281" s="222"/>
      <c r="H281" s="222"/>
      <c r="I281" s="222"/>
      <c r="J281" s="6"/>
      <c r="K281" s="6"/>
      <c r="L281" s="6"/>
      <c r="M281" s="6"/>
      <c r="N281" s="6"/>
      <c r="O281" s="6"/>
      <c r="P281" s="6"/>
      <c r="Q281" s="6"/>
      <c r="R281" s="6"/>
      <c r="S281" s="6"/>
      <c r="T281" s="6"/>
      <c r="U281" s="6"/>
    </row>
    <row r="282" spans="1:21">
      <c r="A282" s="82"/>
      <c r="B282" s="83"/>
      <c r="C282" s="82"/>
      <c r="D282" s="82"/>
      <c r="E282" s="82"/>
      <c r="F282" s="82"/>
      <c r="G282" s="222"/>
      <c r="H282" s="222"/>
      <c r="I282" s="222"/>
      <c r="J282" s="6"/>
      <c r="K282" s="6"/>
      <c r="L282" s="6"/>
      <c r="M282" s="6"/>
      <c r="N282" s="6"/>
      <c r="O282" s="6"/>
      <c r="P282" s="6"/>
      <c r="Q282" s="6"/>
      <c r="R282" s="6"/>
      <c r="S282" s="6"/>
      <c r="T282" s="6"/>
      <c r="U282" s="6"/>
    </row>
    <row r="283" spans="1:21">
      <c r="A283" s="82"/>
      <c r="B283" s="83"/>
      <c r="C283" s="82"/>
      <c r="D283" s="82"/>
      <c r="E283" s="82"/>
      <c r="F283" s="82"/>
      <c r="G283" s="222"/>
      <c r="H283" s="222"/>
      <c r="I283" s="222"/>
      <c r="J283" s="6"/>
      <c r="K283" s="6"/>
      <c r="L283" s="6"/>
      <c r="M283" s="6"/>
      <c r="N283" s="6"/>
      <c r="O283" s="6"/>
      <c r="P283" s="6"/>
      <c r="Q283" s="6"/>
      <c r="R283" s="6"/>
      <c r="S283" s="6"/>
      <c r="T283" s="6"/>
      <c r="U283" s="6"/>
    </row>
    <row r="284" spans="1:21">
      <c r="A284" s="82"/>
      <c r="B284" s="83"/>
      <c r="C284" s="82"/>
      <c r="D284" s="82"/>
      <c r="E284" s="82"/>
      <c r="F284" s="82"/>
      <c r="G284" s="222"/>
      <c r="H284" s="222"/>
      <c r="I284" s="222"/>
      <c r="J284" s="6"/>
      <c r="K284" s="6"/>
      <c r="L284" s="6"/>
      <c r="M284" s="6"/>
      <c r="N284" s="6"/>
      <c r="O284" s="6"/>
      <c r="P284" s="6"/>
      <c r="Q284" s="6"/>
      <c r="R284" s="6"/>
      <c r="S284" s="6"/>
      <c r="T284" s="6"/>
      <c r="U284" s="6"/>
    </row>
    <row r="285" spans="1:21">
      <c r="A285" s="82"/>
      <c r="B285" s="83"/>
      <c r="C285" s="82"/>
      <c r="D285" s="82"/>
      <c r="E285" s="82"/>
      <c r="F285" s="82"/>
      <c r="G285" s="222"/>
      <c r="H285" s="222"/>
      <c r="I285" s="222"/>
      <c r="J285" s="6"/>
      <c r="K285" s="6"/>
      <c r="L285" s="6"/>
      <c r="M285" s="6"/>
      <c r="N285" s="6"/>
      <c r="O285" s="6"/>
      <c r="P285" s="6"/>
      <c r="Q285" s="6"/>
      <c r="R285" s="6"/>
      <c r="S285" s="6"/>
      <c r="T285" s="6"/>
      <c r="U285" s="6"/>
    </row>
    <row r="286" spans="1:21">
      <c r="A286" s="82"/>
      <c r="B286" s="83"/>
      <c r="C286" s="82"/>
      <c r="D286" s="82"/>
      <c r="E286" s="82"/>
      <c r="F286" s="82"/>
      <c r="G286" s="222"/>
      <c r="H286" s="222"/>
      <c r="I286" s="222"/>
      <c r="J286" s="6"/>
      <c r="K286" s="6"/>
      <c r="L286" s="6"/>
      <c r="M286" s="6"/>
      <c r="N286" s="6"/>
      <c r="O286" s="6"/>
      <c r="P286" s="6"/>
      <c r="Q286" s="6"/>
      <c r="R286" s="6"/>
      <c r="S286" s="6"/>
      <c r="T286" s="6"/>
      <c r="U286" s="6"/>
    </row>
    <row r="287" spans="1:21">
      <c r="A287" s="82"/>
      <c r="B287" s="83"/>
      <c r="C287" s="82"/>
      <c r="D287" s="82"/>
      <c r="E287" s="82"/>
      <c r="F287" s="82"/>
      <c r="G287" s="222"/>
      <c r="H287" s="222"/>
      <c r="I287" s="222"/>
      <c r="J287" s="6"/>
      <c r="K287" s="6"/>
      <c r="L287" s="6"/>
      <c r="M287" s="6"/>
      <c r="N287" s="6"/>
      <c r="O287" s="6"/>
      <c r="P287" s="6"/>
      <c r="Q287" s="6"/>
      <c r="R287" s="6"/>
      <c r="S287" s="6"/>
      <c r="T287" s="6"/>
      <c r="U287" s="6"/>
    </row>
    <row r="288" spans="1:21">
      <c r="A288" s="82"/>
      <c r="B288" s="83"/>
      <c r="C288" s="82"/>
      <c r="D288" s="82"/>
      <c r="E288" s="82"/>
      <c r="F288" s="82"/>
      <c r="G288" s="222"/>
      <c r="H288" s="222"/>
      <c r="I288" s="222"/>
      <c r="J288" s="6"/>
      <c r="K288" s="6"/>
      <c r="L288" s="6"/>
      <c r="M288" s="6"/>
      <c r="N288" s="6"/>
      <c r="O288" s="6"/>
      <c r="P288" s="6"/>
      <c r="Q288" s="6"/>
      <c r="R288" s="6"/>
      <c r="S288" s="6"/>
      <c r="T288" s="6"/>
      <c r="U288" s="6"/>
    </row>
    <row r="289" spans="1:21">
      <c r="A289" s="82"/>
      <c r="B289" s="83"/>
      <c r="C289" s="82"/>
      <c r="D289" s="82"/>
      <c r="E289" s="82"/>
      <c r="F289" s="82"/>
      <c r="G289" s="222"/>
      <c r="H289" s="222"/>
      <c r="I289" s="222"/>
      <c r="J289" s="6"/>
      <c r="K289" s="6"/>
      <c r="L289" s="6"/>
      <c r="M289" s="6"/>
      <c r="N289" s="6"/>
      <c r="O289" s="6"/>
      <c r="P289" s="6"/>
      <c r="Q289" s="6"/>
      <c r="R289" s="6"/>
      <c r="S289" s="6"/>
      <c r="T289" s="6"/>
      <c r="U289" s="6"/>
    </row>
    <row r="290" spans="1:21">
      <c r="A290" s="82"/>
      <c r="B290" s="83"/>
      <c r="C290" s="82"/>
      <c r="D290" s="82"/>
      <c r="E290" s="82"/>
      <c r="F290" s="82"/>
      <c r="G290" s="222"/>
      <c r="H290" s="222"/>
      <c r="I290" s="222"/>
      <c r="J290" s="6"/>
      <c r="K290" s="6"/>
      <c r="L290" s="6"/>
      <c r="M290" s="6"/>
      <c r="N290" s="6"/>
      <c r="O290" s="6"/>
      <c r="P290" s="6"/>
      <c r="Q290" s="6"/>
      <c r="R290" s="6"/>
      <c r="S290" s="6"/>
      <c r="T290" s="6"/>
      <c r="U290" s="6"/>
    </row>
    <row r="291" spans="1:21">
      <c r="A291" s="82"/>
      <c r="B291" s="83"/>
      <c r="C291" s="82"/>
      <c r="D291" s="82"/>
      <c r="E291" s="82"/>
      <c r="F291" s="82"/>
      <c r="G291" s="222"/>
      <c r="H291" s="222"/>
      <c r="I291" s="222"/>
      <c r="J291" s="6"/>
      <c r="K291" s="6"/>
      <c r="L291" s="6"/>
      <c r="M291" s="6"/>
      <c r="N291" s="6"/>
      <c r="O291" s="6"/>
      <c r="P291" s="6"/>
      <c r="Q291" s="6"/>
      <c r="R291" s="6"/>
      <c r="S291" s="6"/>
      <c r="T291" s="6"/>
      <c r="U291" s="6"/>
    </row>
    <row r="292" spans="1:21">
      <c r="A292" s="82"/>
      <c r="B292" s="83"/>
      <c r="C292" s="82"/>
      <c r="D292" s="82"/>
      <c r="E292" s="82"/>
      <c r="F292" s="82"/>
      <c r="G292" s="222"/>
      <c r="H292" s="222"/>
      <c r="I292" s="222"/>
      <c r="J292" s="6"/>
      <c r="K292" s="6"/>
      <c r="L292" s="6"/>
      <c r="M292" s="6"/>
      <c r="N292" s="6"/>
      <c r="O292" s="6"/>
      <c r="P292" s="6"/>
      <c r="Q292" s="6"/>
      <c r="R292" s="6"/>
      <c r="S292" s="6"/>
      <c r="T292" s="6"/>
      <c r="U292" s="6"/>
    </row>
    <row r="293" spans="1:21">
      <c r="A293" s="82"/>
      <c r="B293" s="83"/>
      <c r="C293" s="82"/>
      <c r="D293" s="82"/>
      <c r="E293" s="82"/>
      <c r="F293" s="82"/>
      <c r="G293" s="222"/>
      <c r="H293" s="222"/>
      <c r="I293" s="222"/>
      <c r="J293" s="6"/>
      <c r="K293" s="6"/>
      <c r="L293" s="6"/>
      <c r="M293" s="6"/>
      <c r="N293" s="6"/>
      <c r="O293" s="6"/>
      <c r="P293" s="6"/>
      <c r="Q293" s="6"/>
      <c r="R293" s="6"/>
      <c r="S293" s="6"/>
      <c r="T293" s="6"/>
      <c r="U293" s="6"/>
    </row>
    <row r="294" spans="1:21">
      <c r="A294" s="82"/>
      <c r="B294" s="83"/>
      <c r="C294" s="82"/>
      <c r="D294" s="82"/>
      <c r="E294" s="82"/>
      <c r="F294" s="82"/>
      <c r="G294" s="222"/>
      <c r="H294" s="222"/>
      <c r="I294" s="222"/>
      <c r="J294" s="6"/>
      <c r="K294" s="6"/>
      <c r="L294" s="6"/>
      <c r="M294" s="6"/>
      <c r="N294" s="6"/>
      <c r="O294" s="6"/>
      <c r="P294" s="6"/>
      <c r="Q294" s="6"/>
      <c r="R294" s="6"/>
      <c r="S294" s="6"/>
      <c r="T294" s="6"/>
      <c r="U294" s="6"/>
    </row>
    <row r="295" spans="1:21">
      <c r="A295" s="82"/>
      <c r="B295" s="83"/>
      <c r="C295" s="82"/>
      <c r="D295" s="82"/>
      <c r="E295" s="82"/>
      <c r="F295" s="82"/>
      <c r="G295" s="222"/>
      <c r="H295" s="222"/>
      <c r="I295" s="222"/>
      <c r="J295" s="6"/>
      <c r="K295" s="6"/>
      <c r="L295" s="6"/>
      <c r="M295" s="6"/>
      <c r="N295" s="6"/>
      <c r="O295" s="6"/>
      <c r="P295" s="6"/>
      <c r="Q295" s="6"/>
      <c r="R295" s="6"/>
      <c r="S295" s="6"/>
      <c r="T295" s="6"/>
      <c r="U295" s="6"/>
    </row>
    <row r="296" spans="1:21">
      <c r="A296" s="82"/>
      <c r="B296" s="83"/>
      <c r="C296" s="82"/>
      <c r="D296" s="82"/>
      <c r="E296" s="82"/>
      <c r="F296" s="82"/>
      <c r="G296" s="222"/>
      <c r="H296" s="222"/>
      <c r="I296" s="222"/>
      <c r="J296" s="6"/>
      <c r="K296" s="6"/>
      <c r="L296" s="6"/>
      <c r="M296" s="6"/>
      <c r="N296" s="6"/>
      <c r="O296" s="6"/>
      <c r="P296" s="6"/>
      <c r="Q296" s="6"/>
      <c r="R296" s="6"/>
      <c r="S296" s="6"/>
      <c r="T296" s="6"/>
      <c r="U296" s="6"/>
    </row>
    <row r="297" spans="1:21">
      <c r="A297" s="82"/>
      <c r="B297" s="83"/>
      <c r="C297" s="82"/>
      <c r="D297" s="82"/>
      <c r="E297" s="82"/>
      <c r="F297" s="82"/>
      <c r="G297" s="222"/>
      <c r="H297" s="222"/>
      <c r="I297" s="222"/>
      <c r="J297" s="6"/>
      <c r="K297" s="6"/>
      <c r="L297" s="6"/>
      <c r="M297" s="6"/>
      <c r="N297" s="6"/>
      <c r="O297" s="6"/>
      <c r="P297" s="6"/>
      <c r="Q297" s="6"/>
      <c r="R297" s="6"/>
      <c r="S297" s="6"/>
      <c r="T297" s="6"/>
      <c r="U297" s="6"/>
    </row>
    <row r="298" spans="1:21">
      <c r="A298" s="82"/>
      <c r="B298" s="83"/>
      <c r="C298" s="82"/>
      <c r="D298" s="82"/>
      <c r="E298" s="82"/>
      <c r="F298" s="82"/>
      <c r="G298" s="222"/>
      <c r="H298" s="222"/>
      <c r="I298" s="222"/>
      <c r="J298" s="6"/>
      <c r="K298" s="6"/>
      <c r="L298" s="6"/>
      <c r="M298" s="6"/>
      <c r="N298" s="6"/>
      <c r="O298" s="6"/>
      <c r="P298" s="6"/>
      <c r="Q298" s="6"/>
      <c r="R298" s="6"/>
      <c r="S298" s="6"/>
      <c r="T298" s="6"/>
      <c r="U298" s="6"/>
    </row>
    <row r="299" spans="1:21">
      <c r="A299" s="82"/>
      <c r="B299" s="83"/>
      <c r="C299" s="82"/>
      <c r="D299" s="82"/>
      <c r="E299" s="82"/>
      <c r="F299" s="82"/>
      <c r="G299" s="222"/>
      <c r="H299" s="222"/>
      <c r="I299" s="222"/>
      <c r="J299" s="6"/>
      <c r="K299" s="6"/>
      <c r="L299" s="6"/>
      <c r="M299" s="6"/>
      <c r="N299" s="6"/>
      <c r="O299" s="6"/>
      <c r="P299" s="6"/>
      <c r="Q299" s="6"/>
      <c r="R299" s="6"/>
      <c r="S299" s="6"/>
      <c r="T299" s="6"/>
      <c r="U299" s="6"/>
    </row>
    <row r="300" spans="1:21">
      <c r="A300" s="82"/>
      <c r="B300" s="83"/>
      <c r="C300" s="82"/>
      <c r="D300" s="82"/>
      <c r="E300" s="82"/>
      <c r="F300" s="82"/>
      <c r="G300" s="222"/>
      <c r="H300" s="222"/>
      <c r="I300" s="222"/>
      <c r="J300" s="6"/>
      <c r="K300" s="6"/>
      <c r="L300" s="6"/>
      <c r="M300" s="6"/>
      <c r="N300" s="6"/>
      <c r="O300" s="6"/>
      <c r="P300" s="6"/>
      <c r="Q300" s="6"/>
      <c r="R300" s="6"/>
      <c r="S300" s="6"/>
      <c r="T300" s="6"/>
      <c r="U300" s="6"/>
    </row>
    <row r="301" spans="1:21">
      <c r="A301" s="82"/>
      <c r="B301" s="83"/>
      <c r="C301" s="82"/>
      <c r="D301" s="82"/>
      <c r="E301" s="82"/>
      <c r="F301" s="82"/>
      <c r="G301" s="222"/>
      <c r="H301" s="222"/>
      <c r="I301" s="222"/>
      <c r="J301" s="6"/>
      <c r="K301" s="6"/>
      <c r="L301" s="6"/>
      <c r="M301" s="6"/>
      <c r="N301" s="6"/>
      <c r="O301" s="6"/>
      <c r="P301" s="6"/>
      <c r="Q301" s="6"/>
      <c r="R301" s="6"/>
      <c r="S301" s="6"/>
      <c r="T301" s="6"/>
      <c r="U301" s="6"/>
    </row>
    <row r="302" spans="1:21">
      <c r="A302" s="82"/>
      <c r="B302" s="83"/>
      <c r="C302" s="82"/>
      <c r="D302" s="82"/>
      <c r="E302" s="82"/>
      <c r="F302" s="82"/>
      <c r="G302" s="222"/>
      <c r="H302" s="222"/>
      <c r="I302" s="222"/>
      <c r="J302" s="6"/>
      <c r="K302" s="6"/>
      <c r="L302" s="6"/>
      <c r="M302" s="6"/>
      <c r="N302" s="6"/>
      <c r="O302" s="6"/>
      <c r="P302" s="6"/>
      <c r="Q302" s="6"/>
      <c r="R302" s="6"/>
      <c r="S302" s="6"/>
      <c r="T302" s="6"/>
      <c r="U302" s="6"/>
    </row>
    <row r="303" spans="1:21">
      <c r="A303" s="82"/>
      <c r="B303" s="83"/>
      <c r="C303" s="82"/>
      <c r="D303" s="82"/>
      <c r="E303" s="82"/>
      <c r="F303" s="82"/>
      <c r="G303" s="222"/>
      <c r="H303" s="222"/>
      <c r="I303" s="222"/>
      <c r="J303" s="6"/>
      <c r="K303" s="6"/>
      <c r="L303" s="6"/>
      <c r="M303" s="6"/>
      <c r="N303" s="6"/>
      <c r="O303" s="6"/>
      <c r="P303" s="6"/>
      <c r="Q303" s="6"/>
      <c r="R303" s="6"/>
      <c r="S303" s="6"/>
      <c r="T303" s="6"/>
      <c r="U303" s="6"/>
    </row>
    <row r="304" spans="1:21">
      <c r="A304" s="82"/>
      <c r="B304" s="83"/>
      <c r="C304" s="82"/>
      <c r="D304" s="82"/>
      <c r="E304" s="82"/>
      <c r="F304" s="82"/>
      <c r="G304" s="222"/>
      <c r="H304" s="222"/>
      <c r="I304" s="222"/>
      <c r="J304" s="6"/>
      <c r="K304" s="6"/>
      <c r="L304" s="6"/>
      <c r="M304" s="6"/>
      <c r="N304" s="6"/>
      <c r="O304" s="6"/>
      <c r="P304" s="6"/>
      <c r="Q304" s="6"/>
      <c r="R304" s="6"/>
      <c r="S304" s="6"/>
      <c r="T304" s="6"/>
      <c r="U304" s="6"/>
    </row>
    <row r="305" spans="1:21">
      <c r="A305" s="82"/>
      <c r="B305" s="83"/>
      <c r="C305" s="82"/>
      <c r="D305" s="82"/>
      <c r="E305" s="82"/>
      <c r="F305" s="82"/>
      <c r="G305" s="222"/>
      <c r="H305" s="222"/>
      <c r="I305" s="222"/>
      <c r="J305" s="6"/>
      <c r="K305" s="6"/>
      <c r="L305" s="6"/>
      <c r="M305" s="6"/>
      <c r="N305" s="6"/>
      <c r="O305" s="6"/>
      <c r="P305" s="6"/>
      <c r="Q305" s="6"/>
      <c r="R305" s="6"/>
      <c r="S305" s="6"/>
      <c r="T305" s="6"/>
      <c r="U305" s="6"/>
    </row>
    <row r="306" spans="1:21">
      <c r="A306" s="82"/>
      <c r="B306" s="83"/>
      <c r="C306" s="82"/>
      <c r="D306" s="82"/>
      <c r="E306" s="82"/>
      <c r="F306" s="82"/>
      <c r="G306" s="222"/>
      <c r="H306" s="222"/>
      <c r="I306" s="222"/>
      <c r="J306" s="6"/>
      <c r="K306" s="6"/>
      <c r="L306" s="6"/>
      <c r="M306" s="6"/>
      <c r="N306" s="6"/>
      <c r="O306" s="6"/>
      <c r="P306" s="6"/>
      <c r="Q306" s="6"/>
      <c r="R306" s="6"/>
      <c r="S306" s="6"/>
      <c r="T306" s="6"/>
      <c r="U306" s="6"/>
    </row>
    <row r="307" spans="1:21">
      <c r="A307" s="82"/>
      <c r="B307" s="83"/>
      <c r="C307" s="82"/>
      <c r="D307" s="82"/>
      <c r="E307" s="82"/>
      <c r="F307" s="82"/>
      <c r="G307" s="222"/>
      <c r="H307" s="222"/>
      <c r="I307" s="222"/>
      <c r="J307" s="6"/>
      <c r="K307" s="6"/>
      <c r="L307" s="6"/>
      <c r="M307" s="6"/>
      <c r="N307" s="6"/>
      <c r="O307" s="6"/>
      <c r="P307" s="6"/>
      <c r="Q307" s="6"/>
      <c r="R307" s="6"/>
      <c r="S307" s="6"/>
      <c r="T307" s="6"/>
      <c r="U307" s="6"/>
    </row>
    <row r="308" spans="1:21">
      <c r="A308" s="82"/>
      <c r="B308" s="83"/>
      <c r="C308" s="82"/>
      <c r="D308" s="82"/>
      <c r="E308" s="82"/>
      <c r="F308" s="82"/>
      <c r="G308" s="222"/>
      <c r="H308" s="222"/>
      <c r="I308" s="222"/>
      <c r="J308" s="6"/>
      <c r="K308" s="6"/>
      <c r="L308" s="6"/>
      <c r="M308" s="6"/>
      <c r="N308" s="6"/>
      <c r="O308" s="6"/>
      <c r="P308" s="6"/>
      <c r="Q308" s="6"/>
      <c r="R308" s="6"/>
      <c r="S308" s="6"/>
      <c r="T308" s="6"/>
      <c r="U308" s="6"/>
    </row>
    <row r="309" spans="1:21">
      <c r="A309" s="82"/>
      <c r="B309" s="83"/>
      <c r="C309" s="82"/>
      <c r="D309" s="82"/>
      <c r="E309" s="82"/>
      <c r="F309" s="82"/>
      <c r="G309" s="222"/>
      <c r="H309" s="222"/>
      <c r="I309" s="222"/>
      <c r="J309" s="6"/>
      <c r="K309" s="6"/>
      <c r="L309" s="6"/>
      <c r="M309" s="6"/>
      <c r="N309" s="6"/>
      <c r="O309" s="6"/>
      <c r="P309" s="6"/>
      <c r="Q309" s="6"/>
      <c r="R309" s="6"/>
      <c r="S309" s="6"/>
      <c r="T309" s="6"/>
      <c r="U309" s="6"/>
    </row>
    <row r="310" spans="1:21">
      <c r="A310" s="82"/>
      <c r="B310" s="83"/>
      <c r="C310" s="82"/>
      <c r="D310" s="82"/>
      <c r="E310" s="82"/>
      <c r="F310" s="82"/>
      <c r="G310" s="222"/>
      <c r="H310" s="222"/>
      <c r="I310" s="222"/>
      <c r="J310" s="6"/>
      <c r="K310" s="6"/>
      <c r="L310" s="6"/>
      <c r="M310" s="6"/>
      <c r="N310" s="6"/>
      <c r="O310" s="6"/>
      <c r="P310" s="6"/>
      <c r="Q310" s="6"/>
      <c r="R310" s="6"/>
      <c r="S310" s="6"/>
      <c r="T310" s="6"/>
      <c r="U310" s="6"/>
    </row>
    <row r="311" spans="1:21">
      <c r="A311" s="82"/>
      <c r="B311" s="83"/>
      <c r="C311" s="82"/>
      <c r="D311" s="82"/>
      <c r="E311" s="82"/>
      <c r="F311" s="82"/>
      <c r="G311" s="222"/>
      <c r="H311" s="222"/>
      <c r="I311" s="222"/>
      <c r="J311" s="6"/>
      <c r="K311" s="6"/>
      <c r="L311" s="6"/>
      <c r="M311" s="6"/>
      <c r="N311" s="6"/>
      <c r="O311" s="6"/>
      <c r="P311" s="6"/>
      <c r="Q311" s="6"/>
      <c r="R311" s="6"/>
      <c r="S311" s="6"/>
      <c r="T311" s="6"/>
      <c r="U311" s="6"/>
    </row>
    <row r="312" spans="1:21">
      <c r="A312" s="82"/>
      <c r="B312" s="83"/>
      <c r="C312" s="82"/>
      <c r="D312" s="82"/>
      <c r="E312" s="82"/>
      <c r="F312" s="82"/>
      <c r="G312" s="222"/>
      <c r="H312" s="222"/>
      <c r="I312" s="222"/>
      <c r="J312" s="6"/>
      <c r="K312" s="6"/>
      <c r="L312" s="6"/>
      <c r="M312" s="6"/>
      <c r="N312" s="6"/>
      <c r="O312" s="6"/>
      <c r="P312" s="6"/>
      <c r="Q312" s="6"/>
      <c r="R312" s="6"/>
      <c r="S312" s="6"/>
      <c r="T312" s="6"/>
      <c r="U312" s="6"/>
    </row>
    <row r="313" spans="1:21">
      <c r="A313" s="82"/>
      <c r="B313" s="83"/>
      <c r="C313" s="82"/>
      <c r="D313" s="82"/>
      <c r="E313" s="82"/>
      <c r="F313" s="82"/>
      <c r="G313" s="222"/>
      <c r="H313" s="222"/>
      <c r="I313" s="222"/>
      <c r="J313" s="6"/>
      <c r="K313" s="6"/>
      <c r="L313" s="6"/>
      <c r="M313" s="6"/>
      <c r="N313" s="6"/>
      <c r="O313" s="6"/>
      <c r="P313" s="6"/>
      <c r="Q313" s="6"/>
      <c r="R313" s="6"/>
      <c r="S313" s="6"/>
      <c r="T313" s="6"/>
      <c r="U313" s="6"/>
    </row>
    <row r="314" spans="1:21">
      <c r="A314" s="82"/>
      <c r="B314" s="83"/>
      <c r="C314" s="82"/>
      <c r="D314" s="82"/>
      <c r="E314" s="82"/>
      <c r="F314" s="82"/>
      <c r="G314" s="222"/>
      <c r="H314" s="222"/>
      <c r="I314" s="222"/>
      <c r="J314" s="6"/>
      <c r="K314" s="6"/>
      <c r="L314" s="6"/>
      <c r="M314" s="6"/>
      <c r="N314" s="6"/>
      <c r="O314" s="6"/>
      <c r="P314" s="6"/>
      <c r="Q314" s="6"/>
      <c r="R314" s="6"/>
      <c r="S314" s="6"/>
      <c r="T314" s="6"/>
      <c r="U314" s="6"/>
    </row>
    <row r="315" spans="1:21">
      <c r="A315" s="82"/>
      <c r="B315" s="83"/>
      <c r="C315" s="82"/>
      <c r="D315" s="82"/>
      <c r="E315" s="82"/>
      <c r="F315" s="82"/>
      <c r="G315" s="222"/>
      <c r="H315" s="222"/>
      <c r="I315" s="222"/>
      <c r="J315" s="6"/>
      <c r="K315" s="6"/>
      <c r="L315" s="6"/>
      <c r="M315" s="6"/>
      <c r="N315" s="6"/>
      <c r="O315" s="6"/>
      <c r="P315" s="6"/>
      <c r="Q315" s="6"/>
      <c r="R315" s="6"/>
      <c r="S315" s="6"/>
      <c r="T315" s="6"/>
      <c r="U315" s="6"/>
    </row>
    <row r="316" spans="1:21">
      <c r="A316" s="82"/>
      <c r="B316" s="83"/>
      <c r="C316" s="82"/>
      <c r="D316" s="82"/>
      <c r="E316" s="82"/>
      <c r="F316" s="82"/>
      <c r="G316" s="222"/>
      <c r="H316" s="222"/>
      <c r="I316" s="222"/>
      <c r="J316" s="6"/>
      <c r="K316" s="6"/>
      <c r="L316" s="6"/>
      <c r="M316" s="6"/>
      <c r="N316" s="6"/>
      <c r="O316" s="6"/>
      <c r="P316" s="6"/>
      <c r="Q316" s="6"/>
      <c r="R316" s="6"/>
      <c r="S316" s="6"/>
      <c r="T316" s="6"/>
      <c r="U316" s="6"/>
    </row>
    <row r="317" spans="1:21">
      <c r="A317" s="82"/>
      <c r="B317" s="83"/>
      <c r="C317" s="82"/>
      <c r="D317" s="82"/>
      <c r="E317" s="82"/>
      <c r="F317" s="82"/>
      <c r="G317" s="222"/>
      <c r="H317" s="222"/>
      <c r="I317" s="222"/>
      <c r="J317" s="6"/>
      <c r="K317" s="6"/>
      <c r="L317" s="6"/>
      <c r="M317" s="6"/>
      <c r="N317" s="6"/>
      <c r="O317" s="6"/>
      <c r="P317" s="6"/>
      <c r="Q317" s="6"/>
      <c r="R317" s="6"/>
      <c r="S317" s="6"/>
      <c r="T317" s="6"/>
      <c r="U317" s="6"/>
    </row>
    <row r="318" spans="1:21">
      <c r="A318" s="82"/>
      <c r="B318" s="83"/>
      <c r="C318" s="82"/>
      <c r="D318" s="82"/>
      <c r="E318" s="82"/>
      <c r="F318" s="82"/>
      <c r="G318" s="222"/>
      <c r="H318" s="222"/>
      <c r="I318" s="222"/>
      <c r="J318" s="6"/>
      <c r="K318" s="6"/>
      <c r="L318" s="6"/>
      <c r="M318" s="6"/>
      <c r="N318" s="6"/>
      <c r="O318" s="6"/>
      <c r="P318" s="6"/>
      <c r="Q318" s="6"/>
      <c r="R318" s="6"/>
      <c r="S318" s="6"/>
      <c r="T318" s="6"/>
      <c r="U318" s="6"/>
    </row>
    <row r="319" spans="1:21">
      <c r="A319" s="82"/>
      <c r="B319" s="83"/>
      <c r="C319" s="82"/>
      <c r="D319" s="82"/>
      <c r="E319" s="82"/>
      <c r="F319" s="82"/>
      <c r="G319" s="222"/>
      <c r="H319" s="222"/>
      <c r="I319" s="222"/>
      <c r="J319" s="6"/>
      <c r="K319" s="6"/>
      <c r="L319" s="6"/>
      <c r="M319" s="6"/>
      <c r="N319" s="6"/>
      <c r="O319" s="6"/>
      <c r="P319" s="6"/>
      <c r="Q319" s="6"/>
      <c r="R319" s="6"/>
      <c r="S319" s="6"/>
      <c r="T319" s="6"/>
      <c r="U319" s="6"/>
    </row>
    <row r="320" spans="1:21">
      <c r="A320" s="82"/>
      <c r="B320" s="83"/>
      <c r="C320" s="82"/>
      <c r="D320" s="82"/>
      <c r="E320" s="82"/>
      <c r="F320" s="82"/>
      <c r="G320" s="222"/>
      <c r="H320" s="222"/>
      <c r="I320" s="222"/>
      <c r="J320" s="6"/>
      <c r="K320" s="6"/>
      <c r="L320" s="6"/>
      <c r="M320" s="6"/>
      <c r="N320" s="6"/>
      <c r="O320" s="6"/>
      <c r="P320" s="6"/>
      <c r="Q320" s="6"/>
      <c r="R320" s="6"/>
      <c r="S320" s="6"/>
      <c r="T320" s="6"/>
      <c r="U320" s="6"/>
    </row>
    <row r="321" spans="1:21">
      <c r="A321" s="82"/>
      <c r="B321" s="83"/>
      <c r="C321" s="82"/>
      <c r="D321" s="82"/>
      <c r="E321" s="82"/>
      <c r="F321" s="82"/>
      <c r="G321" s="222"/>
      <c r="H321" s="222"/>
      <c r="I321" s="222"/>
      <c r="J321" s="6"/>
      <c r="K321" s="6"/>
      <c r="L321" s="6"/>
      <c r="M321" s="6"/>
      <c r="N321" s="6"/>
      <c r="O321" s="6"/>
      <c r="P321" s="6"/>
      <c r="Q321" s="6"/>
      <c r="R321" s="6"/>
      <c r="S321" s="6"/>
      <c r="T321" s="6"/>
      <c r="U321" s="6"/>
    </row>
    <row r="322" spans="1:21">
      <c r="A322" s="82"/>
      <c r="B322" s="83"/>
      <c r="C322" s="82"/>
      <c r="D322" s="82"/>
      <c r="E322" s="82"/>
      <c r="F322" s="82"/>
      <c r="G322" s="222"/>
      <c r="H322" s="222"/>
      <c r="I322" s="222"/>
      <c r="J322" s="6"/>
      <c r="K322" s="6"/>
      <c r="L322" s="6"/>
      <c r="M322" s="6"/>
      <c r="N322" s="6"/>
      <c r="O322" s="6"/>
      <c r="P322" s="6"/>
      <c r="Q322" s="6"/>
      <c r="R322" s="6"/>
      <c r="S322" s="6"/>
      <c r="T322" s="6"/>
      <c r="U322" s="6"/>
    </row>
    <row r="323" spans="1:21">
      <c r="A323" s="82"/>
      <c r="B323" s="83"/>
      <c r="C323" s="82"/>
      <c r="D323" s="82"/>
      <c r="E323" s="82"/>
      <c r="F323" s="82"/>
      <c r="G323" s="222"/>
      <c r="H323" s="222"/>
      <c r="I323" s="222"/>
      <c r="J323" s="6"/>
      <c r="K323" s="6"/>
      <c r="L323" s="6"/>
      <c r="M323" s="6"/>
      <c r="N323" s="6"/>
      <c r="O323" s="6"/>
      <c r="P323" s="6"/>
      <c r="Q323" s="6"/>
      <c r="R323" s="6"/>
      <c r="S323" s="6"/>
      <c r="T323" s="6"/>
      <c r="U323" s="6"/>
    </row>
    <row r="324" spans="1:21">
      <c r="A324" s="82"/>
      <c r="B324" s="83"/>
      <c r="C324" s="82"/>
      <c r="D324" s="82"/>
      <c r="E324" s="82"/>
      <c r="F324" s="82"/>
      <c r="G324" s="222"/>
      <c r="H324" s="222"/>
      <c r="I324" s="222"/>
      <c r="J324" s="6"/>
      <c r="K324" s="6"/>
      <c r="L324" s="6"/>
      <c r="M324" s="6"/>
      <c r="N324" s="6"/>
      <c r="O324" s="6"/>
      <c r="P324" s="6"/>
      <c r="Q324" s="6"/>
      <c r="R324" s="6"/>
      <c r="S324" s="6"/>
      <c r="T324" s="6"/>
      <c r="U324" s="6"/>
    </row>
    <row r="325" spans="1:21">
      <c r="A325" s="82"/>
      <c r="B325" s="83"/>
      <c r="C325" s="82"/>
      <c r="D325" s="82"/>
      <c r="E325" s="82"/>
      <c r="F325" s="82"/>
      <c r="G325" s="222"/>
      <c r="H325" s="222"/>
      <c r="I325" s="222"/>
      <c r="J325" s="6"/>
      <c r="K325" s="6"/>
      <c r="L325" s="6"/>
      <c r="M325" s="6"/>
      <c r="N325" s="6"/>
      <c r="O325" s="6"/>
      <c r="P325" s="6"/>
      <c r="Q325" s="6"/>
      <c r="R325" s="6"/>
      <c r="S325" s="6"/>
      <c r="T325" s="6"/>
      <c r="U325" s="6"/>
    </row>
    <row r="326" spans="1:21">
      <c r="A326" s="82"/>
      <c r="B326" s="83"/>
      <c r="C326" s="82"/>
      <c r="D326" s="82"/>
      <c r="E326" s="82"/>
      <c r="F326" s="82"/>
      <c r="G326" s="222"/>
      <c r="H326" s="222"/>
      <c r="I326" s="222"/>
      <c r="J326" s="6"/>
      <c r="K326" s="6"/>
      <c r="L326" s="6"/>
      <c r="M326" s="6"/>
      <c r="N326" s="6"/>
      <c r="O326" s="6"/>
      <c r="P326" s="6"/>
      <c r="Q326" s="6"/>
      <c r="R326" s="6"/>
      <c r="S326" s="6"/>
      <c r="T326" s="6"/>
      <c r="U326" s="6"/>
    </row>
    <row r="327" spans="1:21">
      <c r="A327" s="82"/>
      <c r="B327" s="83"/>
      <c r="C327" s="82"/>
      <c r="D327" s="82"/>
      <c r="E327" s="82"/>
      <c r="F327" s="82"/>
      <c r="G327" s="222"/>
      <c r="H327" s="222"/>
      <c r="I327" s="222"/>
      <c r="J327" s="6"/>
      <c r="K327" s="6"/>
      <c r="L327" s="6"/>
      <c r="M327" s="6"/>
      <c r="N327" s="6"/>
      <c r="O327" s="6"/>
      <c r="P327" s="6"/>
      <c r="Q327" s="6"/>
      <c r="R327" s="6"/>
      <c r="S327" s="6"/>
      <c r="T327" s="6"/>
      <c r="U327" s="6"/>
    </row>
    <row r="328" spans="1:21">
      <c r="A328" s="82"/>
      <c r="B328" s="83"/>
      <c r="C328" s="82"/>
      <c r="D328" s="82"/>
      <c r="E328" s="82"/>
      <c r="F328" s="82"/>
      <c r="G328" s="222"/>
      <c r="H328" s="222"/>
      <c r="I328" s="222"/>
      <c r="J328" s="6"/>
      <c r="K328" s="6"/>
      <c r="L328" s="6"/>
      <c r="M328" s="6"/>
      <c r="N328" s="6"/>
      <c r="O328" s="6"/>
      <c r="P328" s="6"/>
      <c r="Q328" s="6"/>
      <c r="R328" s="6"/>
      <c r="S328" s="6"/>
      <c r="T328" s="6"/>
      <c r="U328" s="6"/>
    </row>
    <row r="329" spans="1:21">
      <c r="A329" s="82"/>
      <c r="B329" s="83"/>
      <c r="C329" s="82"/>
      <c r="D329" s="82"/>
      <c r="E329" s="82"/>
      <c r="F329" s="82"/>
      <c r="G329" s="222"/>
      <c r="H329" s="222"/>
      <c r="I329" s="222"/>
      <c r="J329" s="6"/>
      <c r="K329" s="6"/>
      <c r="L329" s="6"/>
      <c r="M329" s="6"/>
      <c r="N329" s="6"/>
      <c r="O329" s="6"/>
      <c r="P329" s="6"/>
      <c r="Q329" s="6"/>
      <c r="R329" s="6"/>
      <c r="S329" s="6"/>
      <c r="T329" s="6"/>
      <c r="U329" s="6"/>
    </row>
    <row r="330" spans="1:21">
      <c r="A330" s="82"/>
      <c r="B330" s="83"/>
      <c r="C330" s="82"/>
      <c r="D330" s="82"/>
      <c r="E330" s="82"/>
      <c r="F330" s="82"/>
      <c r="G330" s="222"/>
      <c r="H330" s="222"/>
      <c r="I330" s="222"/>
      <c r="J330" s="6"/>
      <c r="K330" s="6"/>
      <c r="L330" s="6"/>
      <c r="M330" s="6"/>
      <c r="N330" s="6"/>
      <c r="O330" s="6"/>
      <c r="P330" s="6"/>
      <c r="Q330" s="6"/>
      <c r="R330" s="6"/>
      <c r="S330" s="6"/>
      <c r="T330" s="6"/>
      <c r="U330" s="6"/>
    </row>
    <row r="331" spans="1:21">
      <c r="A331" s="82"/>
      <c r="B331" s="83"/>
      <c r="C331" s="82"/>
      <c r="D331" s="82"/>
      <c r="E331" s="82"/>
      <c r="F331" s="82"/>
      <c r="G331" s="222"/>
      <c r="H331" s="222"/>
      <c r="I331" s="222"/>
      <c r="J331" s="6"/>
      <c r="K331" s="6"/>
      <c r="L331" s="6"/>
      <c r="M331" s="6"/>
      <c r="N331" s="6"/>
      <c r="O331" s="6"/>
      <c r="P331" s="6"/>
      <c r="Q331" s="6"/>
      <c r="R331" s="6"/>
      <c r="S331" s="6"/>
      <c r="T331" s="6"/>
      <c r="U331" s="6"/>
    </row>
    <row r="332" spans="1:21">
      <c r="A332" s="82"/>
      <c r="B332" s="83"/>
      <c r="C332" s="82"/>
      <c r="D332" s="82"/>
      <c r="E332" s="82"/>
      <c r="F332" s="82"/>
      <c r="G332" s="222"/>
      <c r="H332" s="222"/>
      <c r="I332" s="222"/>
      <c r="J332" s="6"/>
      <c r="K332" s="6"/>
      <c r="L332" s="6"/>
      <c r="M332" s="6"/>
      <c r="N332" s="6"/>
      <c r="O332" s="6"/>
      <c r="P332" s="6"/>
      <c r="Q332" s="6"/>
      <c r="R332" s="6"/>
      <c r="S332" s="6"/>
      <c r="T332" s="6"/>
      <c r="U332" s="6"/>
    </row>
    <row r="333" spans="1:21">
      <c r="A333" s="82"/>
      <c r="B333" s="83"/>
      <c r="C333" s="82"/>
      <c r="D333" s="82"/>
      <c r="E333" s="82"/>
      <c r="F333" s="82"/>
      <c r="G333" s="222"/>
      <c r="H333" s="222"/>
      <c r="I333" s="222"/>
      <c r="J333" s="6"/>
      <c r="K333" s="6"/>
      <c r="L333" s="6"/>
      <c r="M333" s="6"/>
      <c r="N333" s="6"/>
      <c r="O333" s="6"/>
      <c r="P333" s="6"/>
      <c r="Q333" s="6"/>
      <c r="R333" s="6"/>
      <c r="S333" s="6"/>
      <c r="T333" s="6"/>
      <c r="U333" s="6"/>
    </row>
    <row r="334" spans="1:21">
      <c r="A334" s="82"/>
      <c r="B334" s="83"/>
      <c r="C334" s="82"/>
      <c r="D334" s="82"/>
      <c r="E334" s="82"/>
      <c r="F334" s="82"/>
      <c r="G334" s="222"/>
      <c r="H334" s="222"/>
      <c r="I334" s="222"/>
      <c r="J334" s="6"/>
      <c r="K334" s="6"/>
      <c r="L334" s="6"/>
      <c r="M334" s="6"/>
      <c r="N334" s="6"/>
      <c r="O334" s="6"/>
      <c r="P334" s="6"/>
      <c r="Q334" s="6"/>
      <c r="R334" s="6"/>
      <c r="S334" s="6"/>
      <c r="T334" s="6"/>
      <c r="U334" s="6"/>
    </row>
    <row r="335" spans="1:21">
      <c r="A335" s="82"/>
      <c r="B335" s="83"/>
      <c r="C335" s="82"/>
      <c r="D335" s="82"/>
      <c r="E335" s="82"/>
      <c r="F335" s="82"/>
      <c r="G335" s="222"/>
      <c r="H335" s="222"/>
      <c r="I335" s="222"/>
      <c r="J335" s="6"/>
      <c r="K335" s="6"/>
      <c r="L335" s="6"/>
      <c r="M335" s="6"/>
      <c r="N335" s="6"/>
      <c r="O335" s="6"/>
      <c r="P335" s="6"/>
      <c r="Q335" s="6"/>
      <c r="R335" s="6"/>
      <c r="S335" s="6"/>
      <c r="T335" s="6"/>
      <c r="U335" s="6"/>
    </row>
    <row r="336" spans="1:21">
      <c r="A336" s="82"/>
      <c r="B336" s="83"/>
      <c r="C336" s="82"/>
      <c r="D336" s="82"/>
      <c r="E336" s="82"/>
      <c r="F336" s="82"/>
      <c r="G336" s="222"/>
      <c r="H336" s="222"/>
      <c r="I336" s="222"/>
      <c r="J336" s="6"/>
      <c r="K336" s="6"/>
      <c r="L336" s="6"/>
      <c r="M336" s="6"/>
      <c r="N336" s="6"/>
      <c r="O336" s="6"/>
      <c r="P336" s="6"/>
      <c r="Q336" s="6"/>
      <c r="R336" s="6"/>
      <c r="S336" s="6"/>
      <c r="T336" s="6"/>
      <c r="U336" s="6"/>
    </row>
    <row r="337" spans="1:21">
      <c r="A337" s="82"/>
      <c r="B337" s="83"/>
      <c r="C337" s="82"/>
      <c r="D337" s="82"/>
      <c r="E337" s="82"/>
      <c r="F337" s="82"/>
      <c r="G337" s="222"/>
      <c r="H337" s="222"/>
      <c r="I337" s="222"/>
      <c r="J337" s="6"/>
      <c r="K337" s="6"/>
      <c r="L337" s="6"/>
      <c r="M337" s="6"/>
      <c r="N337" s="6"/>
      <c r="O337" s="6"/>
      <c r="P337" s="6"/>
      <c r="Q337" s="6"/>
      <c r="R337" s="6"/>
      <c r="S337" s="6"/>
      <c r="T337" s="6"/>
      <c r="U337" s="6"/>
    </row>
    <row r="338" spans="1:21">
      <c r="A338" s="82"/>
      <c r="B338" s="83"/>
      <c r="C338" s="82"/>
      <c r="D338" s="82"/>
      <c r="E338" s="82"/>
      <c r="F338" s="82"/>
      <c r="G338" s="222"/>
      <c r="H338" s="222"/>
      <c r="I338" s="222"/>
      <c r="J338" s="6"/>
      <c r="K338" s="6"/>
      <c r="L338" s="6"/>
      <c r="M338" s="6"/>
      <c r="N338" s="6"/>
      <c r="O338" s="6"/>
      <c r="P338" s="6"/>
      <c r="Q338" s="6"/>
      <c r="R338" s="6"/>
      <c r="S338" s="6"/>
      <c r="T338" s="6"/>
      <c r="U338" s="6"/>
    </row>
    <row r="339" spans="1:21">
      <c r="A339" s="82"/>
      <c r="B339" s="83"/>
      <c r="C339" s="82"/>
      <c r="D339" s="82"/>
      <c r="E339" s="82"/>
      <c r="F339" s="82"/>
      <c r="G339" s="222"/>
      <c r="H339" s="222"/>
      <c r="I339" s="222"/>
      <c r="J339" s="6"/>
      <c r="K339" s="6"/>
      <c r="L339" s="6"/>
      <c r="M339" s="6"/>
      <c r="N339" s="6"/>
      <c r="O339" s="6"/>
      <c r="P339" s="6"/>
      <c r="Q339" s="6"/>
      <c r="R339" s="6"/>
      <c r="S339" s="6"/>
      <c r="T339" s="6"/>
      <c r="U339" s="6"/>
    </row>
    <row r="340" spans="1:21">
      <c r="A340" s="82"/>
      <c r="B340" s="83"/>
      <c r="C340" s="82"/>
      <c r="D340" s="82"/>
      <c r="E340" s="82"/>
      <c r="F340" s="82"/>
      <c r="G340" s="222"/>
      <c r="H340" s="222"/>
      <c r="I340" s="222"/>
      <c r="J340" s="6"/>
      <c r="K340" s="6"/>
      <c r="L340" s="6"/>
      <c r="M340" s="6"/>
      <c r="N340" s="6"/>
      <c r="O340" s="6"/>
      <c r="P340" s="6"/>
      <c r="Q340" s="6"/>
      <c r="R340" s="6"/>
      <c r="S340" s="6"/>
      <c r="T340" s="6"/>
      <c r="U340" s="6"/>
    </row>
    <row r="341" spans="1:21">
      <c r="A341" s="82"/>
      <c r="B341" s="83"/>
      <c r="C341" s="82"/>
      <c r="D341" s="82"/>
      <c r="E341" s="82"/>
      <c r="F341" s="82"/>
      <c r="G341" s="222"/>
      <c r="H341" s="222"/>
      <c r="I341" s="222"/>
      <c r="J341" s="6"/>
      <c r="K341" s="6"/>
      <c r="L341" s="6"/>
      <c r="M341" s="6"/>
      <c r="N341" s="6"/>
      <c r="O341" s="6"/>
      <c r="P341" s="6"/>
      <c r="Q341" s="6"/>
      <c r="R341" s="6"/>
      <c r="S341" s="6"/>
      <c r="T341" s="6"/>
      <c r="U341" s="6"/>
    </row>
    <row r="342" spans="1:21">
      <c r="A342" s="82"/>
      <c r="B342" s="83"/>
      <c r="C342" s="82"/>
      <c r="D342" s="82"/>
      <c r="E342" s="82"/>
      <c r="F342" s="82"/>
      <c r="G342" s="222"/>
      <c r="H342" s="222"/>
      <c r="I342" s="222"/>
      <c r="J342" s="6"/>
      <c r="K342" s="6"/>
      <c r="L342" s="6"/>
      <c r="M342" s="6"/>
      <c r="N342" s="6"/>
      <c r="O342" s="6"/>
      <c r="P342" s="6"/>
      <c r="Q342" s="6"/>
      <c r="R342" s="6"/>
      <c r="S342" s="6"/>
      <c r="T342" s="6"/>
      <c r="U342" s="6"/>
    </row>
    <row r="343" spans="1:21">
      <c r="A343" s="82"/>
      <c r="B343" s="83"/>
      <c r="C343" s="82"/>
      <c r="D343" s="82"/>
      <c r="E343" s="82"/>
      <c r="F343" s="82"/>
      <c r="G343" s="222"/>
      <c r="H343" s="222"/>
      <c r="I343" s="222"/>
      <c r="J343" s="6"/>
      <c r="K343" s="6"/>
      <c r="L343" s="6"/>
      <c r="M343" s="6"/>
      <c r="N343" s="6"/>
      <c r="O343" s="6"/>
      <c r="P343" s="6"/>
      <c r="Q343" s="6"/>
      <c r="R343" s="6"/>
      <c r="S343" s="6"/>
      <c r="T343" s="6"/>
      <c r="U343" s="6"/>
    </row>
    <row r="344" spans="1:21">
      <c r="A344" s="82"/>
      <c r="B344" s="83"/>
      <c r="C344" s="82"/>
      <c r="D344" s="82"/>
      <c r="E344" s="82"/>
      <c r="F344" s="82"/>
      <c r="G344" s="222"/>
      <c r="H344" s="222"/>
      <c r="I344" s="222"/>
      <c r="J344" s="6"/>
      <c r="K344" s="6"/>
      <c r="L344" s="6"/>
      <c r="M344" s="6"/>
      <c r="N344" s="6"/>
      <c r="O344" s="6"/>
      <c r="P344" s="6"/>
      <c r="Q344" s="6"/>
      <c r="R344" s="6"/>
      <c r="S344" s="6"/>
      <c r="T344" s="6"/>
      <c r="U344" s="6"/>
    </row>
    <row r="345" spans="1:21">
      <c r="A345" s="82"/>
      <c r="B345" s="83"/>
      <c r="C345" s="82"/>
      <c r="D345" s="82"/>
      <c r="E345" s="82"/>
      <c r="F345" s="82"/>
      <c r="G345" s="222"/>
      <c r="H345" s="222"/>
      <c r="I345" s="222"/>
      <c r="J345" s="6"/>
      <c r="K345" s="6"/>
      <c r="L345" s="6"/>
      <c r="M345" s="6"/>
      <c r="N345" s="6"/>
      <c r="O345" s="6"/>
      <c r="P345" s="6"/>
      <c r="Q345" s="6"/>
      <c r="R345" s="6"/>
      <c r="S345" s="6"/>
      <c r="T345" s="6"/>
      <c r="U345" s="6"/>
    </row>
    <row r="346" spans="1:21">
      <c r="A346" s="82"/>
      <c r="B346" s="83"/>
      <c r="C346" s="82"/>
      <c r="D346" s="82"/>
      <c r="E346" s="82"/>
      <c r="F346" s="82"/>
      <c r="G346" s="222"/>
      <c r="H346" s="222"/>
      <c r="I346" s="222"/>
      <c r="J346" s="6"/>
      <c r="K346" s="6"/>
      <c r="L346" s="6"/>
      <c r="M346" s="6"/>
      <c r="N346" s="6"/>
      <c r="O346" s="6"/>
      <c r="P346" s="6"/>
      <c r="Q346" s="6"/>
      <c r="R346" s="6"/>
      <c r="S346" s="6"/>
      <c r="T346" s="6"/>
      <c r="U346" s="6"/>
    </row>
    <row r="347" spans="1:21">
      <c r="A347" s="82"/>
      <c r="B347" s="83"/>
      <c r="C347" s="82"/>
      <c r="D347" s="82"/>
      <c r="E347" s="82"/>
      <c r="F347" s="82"/>
      <c r="G347" s="222"/>
      <c r="H347" s="222"/>
      <c r="I347" s="222"/>
      <c r="J347" s="6"/>
      <c r="K347" s="6"/>
      <c r="L347" s="6"/>
      <c r="M347" s="6"/>
      <c r="N347" s="6"/>
      <c r="O347" s="6"/>
      <c r="P347" s="6"/>
      <c r="Q347" s="6"/>
      <c r="R347" s="6"/>
      <c r="S347" s="6"/>
      <c r="T347" s="6"/>
      <c r="U347" s="6"/>
    </row>
    <row r="348" spans="1:21">
      <c r="A348" s="82"/>
      <c r="B348" s="83"/>
      <c r="C348" s="82"/>
      <c r="D348" s="82"/>
      <c r="E348" s="82"/>
      <c r="F348" s="82"/>
      <c r="G348" s="222"/>
      <c r="H348" s="222"/>
      <c r="I348" s="222"/>
      <c r="J348" s="6"/>
      <c r="K348" s="6"/>
      <c r="L348" s="6"/>
      <c r="M348" s="6"/>
      <c r="N348" s="6"/>
      <c r="O348" s="6"/>
      <c r="P348" s="6"/>
      <c r="Q348" s="6"/>
      <c r="R348" s="6"/>
      <c r="S348" s="6"/>
      <c r="T348" s="6"/>
      <c r="U348" s="6"/>
    </row>
    <row r="349" spans="1:21">
      <c r="A349" s="82"/>
      <c r="B349" s="83"/>
      <c r="C349" s="82"/>
      <c r="D349" s="82"/>
      <c r="E349" s="82"/>
      <c r="F349" s="82"/>
      <c r="G349" s="222"/>
      <c r="H349" s="222"/>
      <c r="I349" s="222"/>
      <c r="J349" s="6"/>
      <c r="K349" s="6"/>
      <c r="L349" s="6"/>
      <c r="M349" s="6"/>
      <c r="N349" s="6"/>
      <c r="O349" s="6"/>
      <c r="P349" s="6"/>
      <c r="Q349" s="6"/>
      <c r="R349" s="6"/>
      <c r="S349" s="6"/>
      <c r="T349" s="6"/>
      <c r="U349" s="6"/>
    </row>
    <row r="350" spans="1:21">
      <c r="A350" s="82"/>
      <c r="B350" s="83"/>
      <c r="C350" s="82"/>
      <c r="D350" s="82"/>
      <c r="E350" s="82"/>
      <c r="F350" s="82"/>
      <c r="G350" s="222"/>
      <c r="H350" s="222"/>
      <c r="I350" s="222"/>
      <c r="J350" s="6"/>
      <c r="K350" s="6"/>
      <c r="L350" s="6"/>
      <c r="M350" s="6"/>
      <c r="N350" s="6"/>
      <c r="O350" s="6"/>
      <c r="P350" s="6"/>
      <c r="Q350" s="6"/>
      <c r="R350" s="6"/>
      <c r="S350" s="6"/>
      <c r="T350" s="6"/>
      <c r="U350" s="6"/>
    </row>
    <row r="351" spans="1:21">
      <c r="A351" s="82"/>
      <c r="B351" s="83"/>
      <c r="C351" s="82"/>
      <c r="D351" s="82"/>
      <c r="E351" s="82"/>
      <c r="F351" s="82"/>
      <c r="G351" s="222"/>
      <c r="H351" s="222"/>
      <c r="I351" s="222"/>
      <c r="J351" s="6"/>
      <c r="K351" s="6"/>
      <c r="L351" s="6"/>
      <c r="M351" s="6"/>
      <c r="N351" s="6"/>
      <c r="O351" s="6"/>
      <c r="P351" s="6"/>
      <c r="Q351" s="6"/>
      <c r="R351" s="6"/>
      <c r="S351" s="6"/>
      <c r="T351" s="6"/>
      <c r="U351" s="6"/>
    </row>
    <row r="352" spans="1:21">
      <c r="A352" s="82"/>
      <c r="B352" s="83"/>
      <c r="C352" s="82"/>
      <c r="D352" s="82"/>
      <c r="E352" s="82"/>
      <c r="F352" s="82"/>
      <c r="G352" s="222"/>
      <c r="H352" s="222"/>
      <c r="I352" s="222"/>
      <c r="J352" s="6"/>
      <c r="K352" s="6"/>
      <c r="L352" s="6"/>
      <c r="M352" s="6"/>
      <c r="N352" s="6"/>
      <c r="O352" s="6"/>
      <c r="P352" s="6"/>
      <c r="Q352" s="6"/>
      <c r="R352" s="6"/>
      <c r="S352" s="6"/>
      <c r="T352" s="6"/>
      <c r="U352" s="6"/>
    </row>
    <row r="353" spans="1:21">
      <c r="A353" s="82"/>
      <c r="B353" s="83"/>
      <c r="C353" s="82"/>
      <c r="D353" s="82"/>
      <c r="E353" s="82"/>
      <c r="F353" s="82"/>
      <c r="G353" s="222"/>
      <c r="H353" s="222"/>
      <c r="I353" s="222"/>
      <c r="J353" s="6"/>
      <c r="K353" s="6"/>
      <c r="L353" s="6"/>
      <c r="M353" s="6"/>
      <c r="N353" s="6"/>
      <c r="O353" s="6"/>
      <c r="P353" s="6"/>
      <c r="Q353" s="6"/>
      <c r="R353" s="6"/>
      <c r="S353" s="6"/>
      <c r="T353" s="6"/>
      <c r="U353" s="6"/>
    </row>
    <row r="354" spans="1:21">
      <c r="A354" s="82"/>
      <c r="B354" s="83"/>
      <c r="C354" s="82"/>
      <c r="D354" s="82"/>
      <c r="E354" s="82"/>
      <c r="F354" s="82"/>
      <c r="G354" s="222"/>
      <c r="H354" s="222"/>
      <c r="I354" s="222"/>
      <c r="J354" s="6"/>
      <c r="K354" s="6"/>
      <c r="L354" s="6"/>
      <c r="M354" s="6"/>
      <c r="N354" s="6"/>
      <c r="O354" s="6"/>
      <c r="P354" s="6"/>
      <c r="Q354" s="6"/>
      <c r="R354" s="6"/>
      <c r="S354" s="6"/>
      <c r="T354" s="6"/>
      <c r="U354" s="6"/>
    </row>
    <row r="355" spans="1:21">
      <c r="A355" s="82"/>
      <c r="B355" s="83"/>
      <c r="C355" s="82"/>
      <c r="D355" s="82"/>
      <c r="E355" s="82"/>
      <c r="F355" s="82"/>
      <c r="G355" s="222"/>
      <c r="H355" s="222"/>
      <c r="I355" s="222"/>
      <c r="J355" s="6"/>
      <c r="K355" s="6"/>
      <c r="L355" s="6"/>
      <c r="M355" s="6"/>
      <c r="N355" s="6"/>
      <c r="O355" s="6"/>
      <c r="P355" s="6"/>
      <c r="Q355" s="6"/>
      <c r="R355" s="6"/>
      <c r="S355" s="6"/>
      <c r="T355" s="6"/>
      <c r="U355" s="6"/>
    </row>
    <row r="356" spans="1:21">
      <c r="A356" s="82"/>
      <c r="B356" s="83"/>
      <c r="C356" s="82"/>
      <c r="D356" s="82"/>
      <c r="E356" s="82"/>
      <c r="F356" s="82"/>
      <c r="G356" s="222"/>
      <c r="H356" s="222"/>
      <c r="I356" s="222"/>
      <c r="J356" s="6"/>
      <c r="K356" s="6"/>
      <c r="L356" s="6"/>
      <c r="M356" s="6"/>
      <c r="N356" s="6"/>
      <c r="O356" s="6"/>
      <c r="P356" s="6"/>
      <c r="Q356" s="6"/>
      <c r="R356" s="6"/>
      <c r="S356" s="6"/>
      <c r="T356" s="6"/>
      <c r="U356" s="6"/>
    </row>
    <row r="357" spans="1:21">
      <c r="A357" s="82"/>
      <c r="B357" s="83"/>
      <c r="C357" s="82"/>
      <c r="D357" s="82"/>
      <c r="E357" s="82"/>
      <c r="F357" s="82"/>
      <c r="G357" s="222"/>
      <c r="H357" s="222"/>
      <c r="I357" s="222"/>
      <c r="J357" s="6"/>
      <c r="K357" s="6"/>
      <c r="L357" s="6"/>
      <c r="M357" s="6"/>
      <c r="N357" s="6"/>
      <c r="O357" s="6"/>
      <c r="P357" s="6"/>
      <c r="Q357" s="6"/>
      <c r="R357" s="6"/>
      <c r="S357" s="6"/>
      <c r="T357" s="6"/>
      <c r="U357" s="6"/>
    </row>
    <row r="358" spans="1:21">
      <c r="A358" s="82"/>
      <c r="B358" s="83"/>
      <c r="C358" s="82"/>
      <c r="D358" s="82"/>
      <c r="E358" s="82"/>
      <c r="F358" s="82"/>
      <c r="G358" s="222"/>
      <c r="H358" s="222"/>
      <c r="I358" s="222"/>
      <c r="J358" s="6"/>
      <c r="K358" s="6"/>
      <c r="L358" s="6"/>
      <c r="M358" s="6"/>
      <c r="N358" s="6"/>
      <c r="O358" s="6"/>
      <c r="P358" s="6"/>
      <c r="Q358" s="6"/>
      <c r="R358" s="6"/>
      <c r="S358" s="6"/>
      <c r="T358" s="6"/>
      <c r="U358" s="6"/>
    </row>
    <row r="359" spans="1:21">
      <c r="A359" s="82"/>
      <c r="B359" s="83"/>
      <c r="C359" s="82"/>
      <c r="D359" s="82"/>
      <c r="E359" s="82"/>
      <c r="F359" s="82"/>
      <c r="G359" s="222"/>
      <c r="H359" s="222"/>
      <c r="I359" s="222"/>
      <c r="J359" s="6"/>
      <c r="K359" s="6"/>
      <c r="L359" s="6"/>
      <c r="M359" s="6"/>
      <c r="N359" s="6"/>
      <c r="O359" s="6"/>
      <c r="P359" s="6"/>
      <c r="Q359" s="6"/>
      <c r="R359" s="6"/>
      <c r="S359" s="6"/>
      <c r="T359" s="6"/>
      <c r="U359" s="6"/>
    </row>
    <row r="360" spans="1:21">
      <c r="A360" s="82"/>
      <c r="B360" s="83"/>
      <c r="C360" s="82"/>
      <c r="D360" s="82"/>
      <c r="E360" s="82"/>
      <c r="F360" s="82"/>
      <c r="G360" s="222"/>
      <c r="H360" s="222"/>
      <c r="I360" s="222"/>
      <c r="J360" s="6"/>
      <c r="K360" s="6"/>
      <c r="L360" s="6"/>
      <c r="M360" s="6"/>
      <c r="N360" s="6"/>
      <c r="O360" s="6"/>
      <c r="P360" s="6"/>
      <c r="Q360" s="6"/>
      <c r="R360" s="6"/>
      <c r="S360" s="6"/>
      <c r="T360" s="6"/>
      <c r="U360" s="6"/>
    </row>
    <row r="361" spans="1:21">
      <c r="A361" s="82"/>
      <c r="B361" s="83"/>
      <c r="C361" s="82"/>
      <c r="D361" s="82"/>
      <c r="E361" s="82"/>
      <c r="F361" s="82"/>
      <c r="G361" s="222"/>
      <c r="H361" s="222"/>
      <c r="I361" s="222"/>
      <c r="J361" s="6"/>
      <c r="K361" s="6"/>
      <c r="L361" s="6"/>
      <c r="M361" s="6"/>
      <c r="N361" s="6"/>
      <c r="O361" s="6"/>
      <c r="P361" s="6"/>
      <c r="Q361" s="6"/>
      <c r="R361" s="6"/>
      <c r="S361" s="6"/>
      <c r="T361" s="6"/>
      <c r="U361" s="6"/>
    </row>
    <row r="362" spans="1:21">
      <c r="A362" s="82"/>
      <c r="B362" s="83"/>
      <c r="C362" s="82"/>
      <c r="D362" s="82"/>
      <c r="E362" s="82"/>
      <c r="F362" s="82"/>
      <c r="G362" s="222"/>
      <c r="H362" s="222"/>
      <c r="I362" s="222"/>
      <c r="J362" s="6"/>
      <c r="K362" s="6"/>
      <c r="L362" s="6"/>
      <c r="M362" s="6"/>
      <c r="N362" s="6"/>
      <c r="O362" s="6"/>
      <c r="P362" s="6"/>
      <c r="Q362" s="6"/>
      <c r="R362" s="6"/>
      <c r="S362" s="6"/>
      <c r="T362" s="6"/>
      <c r="U362" s="6"/>
    </row>
    <row r="363" spans="1:21">
      <c r="A363" s="82"/>
      <c r="B363" s="83"/>
      <c r="C363" s="82"/>
      <c r="D363" s="82"/>
      <c r="E363" s="82"/>
      <c r="F363" s="82"/>
      <c r="G363" s="222"/>
      <c r="H363" s="222"/>
      <c r="I363" s="222"/>
      <c r="J363" s="6"/>
      <c r="K363" s="6"/>
      <c r="L363" s="6"/>
      <c r="M363" s="6"/>
      <c r="N363" s="6"/>
      <c r="O363" s="6"/>
      <c r="P363" s="6"/>
      <c r="Q363" s="6"/>
      <c r="R363" s="6"/>
      <c r="S363" s="6"/>
      <c r="T363" s="6"/>
      <c r="U363" s="6"/>
    </row>
    <row r="364" spans="1:21">
      <c r="A364" s="82"/>
      <c r="B364" s="83"/>
      <c r="C364" s="82"/>
      <c r="D364" s="82"/>
      <c r="E364" s="82"/>
      <c r="F364" s="82"/>
      <c r="G364" s="222"/>
      <c r="H364" s="222"/>
      <c r="I364" s="222"/>
      <c r="J364" s="6"/>
      <c r="K364" s="6"/>
      <c r="L364" s="6"/>
      <c r="M364" s="6"/>
      <c r="N364" s="6"/>
      <c r="O364" s="6"/>
      <c r="P364" s="6"/>
      <c r="Q364" s="6"/>
      <c r="R364" s="6"/>
      <c r="S364" s="6"/>
      <c r="T364" s="6"/>
      <c r="U364" s="6"/>
    </row>
    <row r="365" spans="1:21">
      <c r="A365" s="82"/>
      <c r="B365" s="83"/>
      <c r="C365" s="82"/>
      <c r="D365" s="82"/>
      <c r="E365" s="82"/>
      <c r="F365" s="82"/>
      <c r="G365" s="222"/>
      <c r="H365" s="222"/>
      <c r="I365" s="222"/>
      <c r="J365" s="6"/>
      <c r="K365" s="6"/>
      <c r="L365" s="6"/>
      <c r="M365" s="6"/>
      <c r="N365" s="6"/>
      <c r="O365" s="6"/>
      <c r="P365" s="6"/>
      <c r="Q365" s="6"/>
      <c r="R365" s="6"/>
      <c r="S365" s="6"/>
      <c r="T365" s="6"/>
      <c r="U365" s="6"/>
    </row>
    <row r="366" spans="1:21">
      <c r="A366" s="82"/>
      <c r="B366" s="83"/>
      <c r="C366" s="82"/>
      <c r="D366" s="82"/>
      <c r="E366" s="82"/>
      <c r="F366" s="82"/>
      <c r="G366" s="222"/>
      <c r="H366" s="222"/>
      <c r="I366" s="222"/>
      <c r="J366" s="6"/>
      <c r="K366" s="6"/>
      <c r="L366" s="6"/>
      <c r="M366" s="6"/>
      <c r="N366" s="6"/>
      <c r="O366" s="6"/>
      <c r="P366" s="6"/>
      <c r="Q366" s="6"/>
      <c r="R366" s="6"/>
      <c r="S366" s="6"/>
      <c r="T366" s="6"/>
      <c r="U366" s="6"/>
    </row>
    <row r="367" spans="1:21">
      <c r="A367" s="82"/>
      <c r="B367" s="83"/>
      <c r="C367" s="82"/>
      <c r="D367" s="82"/>
      <c r="E367" s="82"/>
      <c r="F367" s="82"/>
      <c r="G367" s="222"/>
      <c r="H367" s="222"/>
      <c r="I367" s="222"/>
      <c r="J367" s="6"/>
      <c r="K367" s="6"/>
      <c r="L367" s="6"/>
      <c r="M367" s="6"/>
      <c r="N367" s="6"/>
      <c r="O367" s="6"/>
      <c r="P367" s="6"/>
      <c r="Q367" s="6"/>
      <c r="R367" s="6"/>
      <c r="S367" s="6"/>
      <c r="T367" s="6"/>
      <c r="U367" s="6"/>
    </row>
    <row r="368" spans="1:21">
      <c r="A368" s="82"/>
      <c r="B368" s="83"/>
      <c r="C368" s="82"/>
      <c r="D368" s="82"/>
      <c r="E368" s="82"/>
      <c r="F368" s="82"/>
      <c r="G368" s="222"/>
      <c r="H368" s="222"/>
      <c r="I368" s="222"/>
      <c r="J368" s="6"/>
      <c r="K368" s="6"/>
      <c r="L368" s="6"/>
      <c r="M368" s="6"/>
      <c r="N368" s="6"/>
      <c r="O368" s="6"/>
      <c r="P368" s="6"/>
      <c r="Q368" s="6"/>
      <c r="R368" s="6"/>
      <c r="S368" s="6"/>
      <c r="T368" s="6"/>
      <c r="U368" s="6"/>
    </row>
    <row r="369" spans="1:21">
      <c r="A369" s="82"/>
      <c r="B369" s="83"/>
      <c r="C369" s="82"/>
      <c r="D369" s="82"/>
      <c r="E369" s="82"/>
      <c r="F369" s="82"/>
      <c r="G369" s="222"/>
      <c r="H369" s="222"/>
      <c r="I369" s="222"/>
      <c r="J369" s="6"/>
      <c r="K369" s="6"/>
      <c r="L369" s="6"/>
      <c r="M369" s="6"/>
      <c r="N369" s="6"/>
      <c r="O369" s="6"/>
      <c r="P369" s="6"/>
      <c r="Q369" s="6"/>
      <c r="R369" s="6"/>
      <c r="S369" s="6"/>
      <c r="T369" s="6"/>
      <c r="U369" s="6"/>
    </row>
    <row r="370" spans="1:21">
      <c r="A370" s="82"/>
      <c r="B370" s="83"/>
      <c r="C370" s="82"/>
      <c r="D370" s="82"/>
      <c r="E370" s="82"/>
      <c r="F370" s="82"/>
      <c r="G370" s="222"/>
      <c r="H370" s="222"/>
      <c r="I370" s="222"/>
      <c r="J370" s="6"/>
      <c r="K370" s="6"/>
      <c r="L370" s="6"/>
      <c r="M370" s="6"/>
      <c r="N370" s="6"/>
      <c r="O370" s="6"/>
      <c r="P370" s="6"/>
      <c r="Q370" s="6"/>
      <c r="R370" s="6"/>
      <c r="S370" s="6"/>
      <c r="T370" s="6"/>
      <c r="U370" s="6"/>
    </row>
    <row r="371" spans="1:21">
      <c r="A371" s="82"/>
      <c r="B371" s="83"/>
      <c r="C371" s="82"/>
      <c r="D371" s="82"/>
      <c r="E371" s="82"/>
      <c r="F371" s="82"/>
      <c r="G371" s="222"/>
      <c r="H371" s="222"/>
      <c r="I371" s="222"/>
      <c r="J371" s="6"/>
      <c r="K371" s="6"/>
      <c r="L371" s="6"/>
      <c r="M371" s="6"/>
      <c r="N371" s="6"/>
      <c r="O371" s="6"/>
      <c r="P371" s="6"/>
      <c r="Q371" s="6"/>
      <c r="R371" s="6"/>
      <c r="S371" s="6"/>
      <c r="T371" s="6"/>
      <c r="U371" s="6"/>
    </row>
    <row r="372" spans="1:21">
      <c r="A372" s="82"/>
      <c r="B372" s="83"/>
      <c r="C372" s="82"/>
      <c r="D372" s="82"/>
      <c r="E372" s="82"/>
      <c r="F372" s="82"/>
      <c r="G372" s="222"/>
      <c r="H372" s="222"/>
      <c r="I372" s="222"/>
      <c r="J372" s="6"/>
      <c r="K372" s="6"/>
      <c r="L372" s="6"/>
      <c r="M372" s="6"/>
      <c r="N372" s="6"/>
      <c r="O372" s="6"/>
      <c r="P372" s="6"/>
      <c r="Q372" s="6"/>
      <c r="R372" s="6"/>
      <c r="S372" s="6"/>
      <c r="T372" s="6"/>
      <c r="U372" s="6"/>
    </row>
    <row r="373" spans="1:21">
      <c r="A373" s="82"/>
      <c r="B373" s="83"/>
      <c r="C373" s="82"/>
      <c r="D373" s="82"/>
      <c r="E373" s="82"/>
      <c r="F373" s="82"/>
      <c r="G373" s="222"/>
      <c r="H373" s="222"/>
      <c r="I373" s="222"/>
      <c r="J373" s="6"/>
      <c r="K373" s="6"/>
      <c r="L373" s="6"/>
      <c r="M373" s="6"/>
      <c r="N373" s="6"/>
      <c r="O373" s="6"/>
      <c r="P373" s="6"/>
      <c r="Q373" s="6"/>
      <c r="R373" s="6"/>
      <c r="S373" s="6"/>
      <c r="T373" s="6"/>
      <c r="U373" s="6"/>
    </row>
    <row r="374" spans="1:21">
      <c r="A374" s="82"/>
      <c r="B374" s="83"/>
      <c r="C374" s="82"/>
      <c r="D374" s="82"/>
      <c r="E374" s="82"/>
      <c r="F374" s="82"/>
      <c r="G374" s="222"/>
      <c r="H374" s="222"/>
      <c r="I374" s="222"/>
      <c r="J374" s="6"/>
      <c r="K374" s="6"/>
      <c r="L374" s="6"/>
      <c r="M374" s="6"/>
      <c r="N374" s="6"/>
      <c r="O374" s="6"/>
      <c r="P374" s="6"/>
      <c r="Q374" s="6"/>
      <c r="R374" s="6"/>
      <c r="S374" s="6"/>
      <c r="T374" s="6"/>
      <c r="U374" s="6"/>
    </row>
    <row r="375" spans="1:21">
      <c r="A375" s="82"/>
      <c r="B375" s="83"/>
      <c r="C375" s="82"/>
      <c r="D375" s="82"/>
      <c r="E375" s="82"/>
      <c r="F375" s="82"/>
      <c r="G375" s="222"/>
      <c r="H375" s="222"/>
      <c r="I375" s="222"/>
      <c r="J375" s="6"/>
      <c r="K375" s="6"/>
      <c r="L375" s="6"/>
      <c r="M375" s="6"/>
      <c r="N375" s="6"/>
      <c r="O375" s="6"/>
      <c r="P375" s="6"/>
      <c r="Q375" s="6"/>
      <c r="R375" s="6"/>
      <c r="S375" s="6"/>
      <c r="T375" s="6"/>
      <c r="U375" s="6"/>
    </row>
    <row r="376" spans="1:21">
      <c r="A376" s="82"/>
      <c r="B376" s="83"/>
      <c r="C376" s="82"/>
      <c r="D376" s="82"/>
      <c r="E376" s="82"/>
      <c r="F376" s="82"/>
      <c r="G376" s="222"/>
      <c r="H376" s="222"/>
      <c r="I376" s="222"/>
      <c r="J376" s="6"/>
      <c r="K376" s="6"/>
      <c r="L376" s="6"/>
      <c r="M376" s="6"/>
      <c r="N376" s="6"/>
      <c r="O376" s="6"/>
      <c r="P376" s="6"/>
      <c r="Q376" s="6"/>
      <c r="R376" s="6"/>
      <c r="S376" s="6"/>
      <c r="T376" s="6"/>
      <c r="U376" s="6"/>
    </row>
    <row r="377" spans="1:21">
      <c r="A377" s="82"/>
      <c r="B377" s="83"/>
      <c r="C377" s="82"/>
      <c r="D377" s="82"/>
      <c r="E377" s="82"/>
      <c r="F377" s="82"/>
      <c r="G377" s="222"/>
      <c r="H377" s="222"/>
      <c r="I377" s="222"/>
      <c r="J377" s="6"/>
      <c r="K377" s="6"/>
      <c r="L377" s="6"/>
      <c r="M377" s="6"/>
      <c r="N377" s="6"/>
      <c r="O377" s="6"/>
      <c r="P377" s="6"/>
      <c r="Q377" s="6"/>
      <c r="R377" s="6"/>
      <c r="S377" s="6"/>
      <c r="T377" s="6"/>
      <c r="U377" s="6"/>
    </row>
    <row r="378" spans="1:21">
      <c r="A378" s="82"/>
      <c r="B378" s="83"/>
      <c r="C378" s="82"/>
      <c r="D378" s="82"/>
      <c r="E378" s="82"/>
      <c r="F378" s="82"/>
      <c r="G378" s="222"/>
      <c r="H378" s="222"/>
      <c r="I378" s="222"/>
      <c r="J378" s="6"/>
      <c r="K378" s="6"/>
      <c r="L378" s="6"/>
      <c r="M378" s="6"/>
      <c r="N378" s="6"/>
      <c r="O378" s="6"/>
      <c r="P378" s="6"/>
      <c r="Q378" s="6"/>
      <c r="R378" s="6"/>
      <c r="S378" s="6"/>
      <c r="T378" s="6"/>
      <c r="U378" s="6"/>
    </row>
    <row r="379" spans="1:21">
      <c r="A379" s="82"/>
      <c r="B379" s="83"/>
      <c r="C379" s="82"/>
      <c r="D379" s="82"/>
      <c r="E379" s="82"/>
      <c r="F379" s="82"/>
      <c r="G379" s="222"/>
      <c r="H379" s="222"/>
      <c r="I379" s="222"/>
      <c r="J379" s="6"/>
      <c r="K379" s="6"/>
      <c r="L379" s="6"/>
      <c r="M379" s="6"/>
      <c r="N379" s="6"/>
      <c r="O379" s="6"/>
      <c r="P379" s="6"/>
      <c r="Q379" s="6"/>
      <c r="R379" s="6"/>
      <c r="S379" s="6"/>
      <c r="T379" s="6"/>
      <c r="U379" s="6"/>
    </row>
    <row r="380" spans="1:21">
      <c r="A380" s="82"/>
      <c r="B380" s="83"/>
      <c r="C380" s="82"/>
      <c r="D380" s="82"/>
      <c r="E380" s="82"/>
      <c r="F380" s="82"/>
      <c r="G380" s="222"/>
      <c r="H380" s="222"/>
      <c r="I380" s="222"/>
      <c r="J380" s="6"/>
      <c r="K380" s="6"/>
      <c r="L380" s="6"/>
      <c r="M380" s="6"/>
      <c r="N380" s="6"/>
      <c r="O380" s="6"/>
      <c r="P380" s="6"/>
      <c r="Q380" s="6"/>
      <c r="R380" s="6"/>
      <c r="S380" s="6"/>
      <c r="T380" s="6"/>
      <c r="U380" s="6"/>
    </row>
    <row r="381" spans="1:21">
      <c r="A381" s="82"/>
      <c r="B381" s="83"/>
      <c r="C381" s="82"/>
      <c r="D381" s="82"/>
      <c r="E381" s="82"/>
      <c r="F381" s="82"/>
      <c r="G381" s="222"/>
      <c r="H381" s="222"/>
      <c r="I381" s="222"/>
      <c r="J381" s="6"/>
      <c r="K381" s="6"/>
      <c r="L381" s="6"/>
      <c r="M381" s="6"/>
      <c r="N381" s="6"/>
      <c r="O381" s="6"/>
      <c r="P381" s="6"/>
      <c r="Q381" s="6"/>
      <c r="R381" s="6"/>
      <c r="S381" s="6"/>
      <c r="T381" s="6"/>
      <c r="U381" s="6"/>
    </row>
    <row r="382" spans="1:21">
      <c r="A382" s="82"/>
      <c r="B382" s="83"/>
      <c r="C382" s="82"/>
      <c r="D382" s="82"/>
      <c r="E382" s="82"/>
      <c r="F382" s="82"/>
      <c r="G382" s="222"/>
      <c r="H382" s="222"/>
      <c r="I382" s="222"/>
      <c r="J382" s="6"/>
      <c r="K382" s="6"/>
      <c r="L382" s="6"/>
      <c r="M382" s="6"/>
      <c r="N382" s="6"/>
      <c r="O382" s="6"/>
      <c r="P382" s="6"/>
      <c r="Q382" s="6"/>
      <c r="R382" s="6"/>
      <c r="S382" s="6"/>
      <c r="T382" s="6"/>
      <c r="U382" s="6"/>
    </row>
    <row r="383" spans="1:21">
      <c r="A383" s="82"/>
      <c r="B383" s="83"/>
      <c r="C383" s="82"/>
      <c r="D383" s="82"/>
      <c r="E383" s="82"/>
      <c r="F383" s="82"/>
      <c r="G383" s="222"/>
      <c r="H383" s="222"/>
      <c r="I383" s="222"/>
      <c r="J383" s="6"/>
      <c r="K383" s="6"/>
      <c r="L383" s="6"/>
      <c r="M383" s="6"/>
      <c r="N383" s="6"/>
      <c r="O383" s="6"/>
      <c r="P383" s="6"/>
      <c r="Q383" s="6"/>
      <c r="R383" s="6"/>
      <c r="S383" s="6"/>
      <c r="T383" s="6"/>
      <c r="U383" s="6"/>
    </row>
    <row r="384" spans="1:21">
      <c r="A384" s="82"/>
      <c r="B384" s="83"/>
      <c r="C384" s="82"/>
      <c r="D384" s="82"/>
      <c r="E384" s="82"/>
      <c r="F384" s="82"/>
      <c r="G384" s="222"/>
      <c r="H384" s="222"/>
      <c r="I384" s="222"/>
      <c r="J384" s="6"/>
      <c r="K384" s="6"/>
      <c r="L384" s="6"/>
      <c r="M384" s="6"/>
      <c r="N384" s="6"/>
      <c r="O384" s="6"/>
      <c r="P384" s="6"/>
      <c r="Q384" s="6"/>
      <c r="R384" s="6"/>
      <c r="S384" s="6"/>
      <c r="T384" s="6"/>
      <c r="U384" s="6"/>
    </row>
    <row r="385" spans="1:21">
      <c r="A385" s="82"/>
      <c r="B385" s="83"/>
      <c r="C385" s="82"/>
      <c r="D385" s="82"/>
      <c r="E385" s="82"/>
      <c r="F385" s="82"/>
      <c r="G385" s="222"/>
      <c r="H385" s="222"/>
      <c r="I385" s="222"/>
      <c r="J385" s="6"/>
      <c r="K385" s="6"/>
      <c r="L385" s="6"/>
      <c r="M385" s="6"/>
      <c r="N385" s="6"/>
      <c r="O385" s="6"/>
      <c r="P385" s="6"/>
      <c r="Q385" s="6"/>
      <c r="R385" s="6"/>
      <c r="S385" s="6"/>
      <c r="T385" s="6"/>
      <c r="U385" s="6"/>
    </row>
    <row r="386" spans="1:21">
      <c r="A386" s="82"/>
      <c r="B386" s="83"/>
      <c r="C386" s="82"/>
      <c r="D386" s="82"/>
      <c r="E386" s="82"/>
      <c r="F386" s="82"/>
      <c r="G386" s="222"/>
      <c r="H386" s="222"/>
      <c r="I386" s="222"/>
      <c r="J386" s="6"/>
      <c r="K386" s="6"/>
      <c r="L386" s="6"/>
      <c r="M386" s="6"/>
      <c r="N386" s="6"/>
      <c r="O386" s="6"/>
      <c r="P386" s="6"/>
      <c r="Q386" s="6"/>
      <c r="R386" s="6"/>
      <c r="S386" s="6"/>
      <c r="T386" s="6"/>
      <c r="U386" s="6"/>
    </row>
    <row r="387" spans="1:21">
      <c r="A387" s="82"/>
      <c r="B387" s="83"/>
      <c r="C387" s="82"/>
      <c r="D387" s="82"/>
      <c r="E387" s="82"/>
      <c r="F387" s="82"/>
      <c r="G387" s="222"/>
      <c r="H387" s="222"/>
      <c r="I387" s="222"/>
      <c r="J387" s="6"/>
      <c r="K387" s="6"/>
      <c r="L387" s="6"/>
      <c r="M387" s="6"/>
      <c r="N387" s="6"/>
      <c r="O387" s="6"/>
      <c r="P387" s="6"/>
      <c r="Q387" s="6"/>
      <c r="R387" s="6"/>
      <c r="S387" s="6"/>
      <c r="T387" s="6"/>
      <c r="U387" s="6"/>
    </row>
    <row r="388" spans="1:21">
      <c r="A388" s="82"/>
      <c r="B388" s="83"/>
      <c r="C388" s="82"/>
      <c r="D388" s="82"/>
      <c r="E388" s="82"/>
      <c r="F388" s="82"/>
      <c r="G388" s="222"/>
      <c r="H388" s="222"/>
      <c r="I388" s="222"/>
      <c r="J388" s="6"/>
      <c r="K388" s="6"/>
      <c r="L388" s="6"/>
      <c r="M388" s="6"/>
      <c r="N388" s="6"/>
      <c r="O388" s="6"/>
      <c r="P388" s="6"/>
      <c r="Q388" s="6"/>
      <c r="R388" s="6"/>
      <c r="S388" s="6"/>
      <c r="T388" s="6"/>
      <c r="U388" s="6"/>
    </row>
    <row r="389" spans="1:21">
      <c r="A389" s="82"/>
      <c r="B389" s="83"/>
      <c r="C389" s="82"/>
      <c r="D389" s="82"/>
      <c r="E389" s="82"/>
      <c r="F389" s="82"/>
      <c r="G389" s="222"/>
      <c r="H389" s="222"/>
      <c r="I389" s="222"/>
      <c r="J389" s="6"/>
      <c r="K389" s="6"/>
      <c r="L389" s="6"/>
      <c r="M389" s="6"/>
      <c r="N389" s="6"/>
      <c r="O389" s="6"/>
      <c r="P389" s="6"/>
      <c r="Q389" s="6"/>
      <c r="R389" s="6"/>
      <c r="S389" s="6"/>
      <c r="T389" s="6"/>
      <c r="U389" s="6"/>
    </row>
    <row r="390" spans="1:21">
      <c r="A390" s="82"/>
      <c r="B390" s="83"/>
      <c r="C390" s="82"/>
      <c r="D390" s="82"/>
      <c r="E390" s="82"/>
      <c r="F390" s="82"/>
      <c r="G390" s="222"/>
      <c r="H390" s="222"/>
      <c r="I390" s="222"/>
      <c r="J390" s="6"/>
      <c r="K390" s="6"/>
      <c r="L390" s="6"/>
      <c r="M390" s="6"/>
      <c r="N390" s="6"/>
      <c r="O390" s="6"/>
      <c r="P390" s="6"/>
      <c r="Q390" s="6"/>
      <c r="R390" s="6"/>
      <c r="S390" s="6"/>
      <c r="T390" s="6"/>
      <c r="U390" s="6"/>
    </row>
    <row r="391" spans="1:21">
      <c r="A391" s="82"/>
      <c r="B391" s="83"/>
      <c r="C391" s="82"/>
      <c r="D391" s="82"/>
      <c r="E391" s="82"/>
      <c r="F391" s="82"/>
      <c r="G391" s="222"/>
      <c r="H391" s="222"/>
      <c r="I391" s="222"/>
      <c r="J391" s="6"/>
      <c r="K391" s="6"/>
      <c r="L391" s="6"/>
      <c r="M391" s="6"/>
      <c r="N391" s="6"/>
      <c r="O391" s="6"/>
      <c r="P391" s="6"/>
      <c r="Q391" s="6"/>
      <c r="R391" s="6"/>
      <c r="S391" s="6"/>
      <c r="T391" s="6"/>
      <c r="U391" s="6"/>
    </row>
    <row r="392" spans="1:21">
      <c r="A392" s="82"/>
      <c r="B392" s="83"/>
      <c r="C392" s="82"/>
      <c r="D392" s="82"/>
      <c r="E392" s="82"/>
      <c r="F392" s="82"/>
      <c r="G392" s="222"/>
      <c r="H392" s="222"/>
      <c r="I392" s="222"/>
      <c r="J392" s="6"/>
      <c r="K392" s="6"/>
      <c r="L392" s="6"/>
      <c r="M392" s="6"/>
      <c r="N392" s="6"/>
      <c r="O392" s="6"/>
      <c r="P392" s="6"/>
      <c r="Q392" s="6"/>
      <c r="R392" s="6"/>
      <c r="S392" s="6"/>
      <c r="T392" s="6"/>
      <c r="U392" s="6"/>
    </row>
    <row r="393" spans="1:21">
      <c r="A393" s="82"/>
      <c r="B393" s="83"/>
      <c r="C393" s="82"/>
      <c r="D393" s="82"/>
      <c r="E393" s="82"/>
      <c r="F393" s="82"/>
      <c r="G393" s="222"/>
      <c r="H393" s="222"/>
      <c r="I393" s="222"/>
      <c r="J393" s="6"/>
      <c r="K393" s="6"/>
      <c r="L393" s="6"/>
      <c r="M393" s="6"/>
      <c r="N393" s="6"/>
      <c r="O393" s="6"/>
      <c r="P393" s="6"/>
      <c r="Q393" s="6"/>
      <c r="R393" s="6"/>
      <c r="S393" s="6"/>
      <c r="T393" s="6"/>
      <c r="U393" s="6"/>
    </row>
    <row r="394" spans="1:21">
      <c r="A394" s="82"/>
      <c r="B394" s="83"/>
      <c r="C394" s="82"/>
      <c r="D394" s="82"/>
      <c r="E394" s="82"/>
      <c r="F394" s="82"/>
      <c r="G394" s="222"/>
      <c r="H394" s="222"/>
      <c r="I394" s="222"/>
      <c r="J394" s="6"/>
      <c r="K394" s="6"/>
      <c r="L394" s="6"/>
      <c r="M394" s="6"/>
      <c r="N394" s="6"/>
      <c r="O394" s="6"/>
      <c r="P394" s="6"/>
      <c r="Q394" s="6"/>
      <c r="R394" s="6"/>
      <c r="S394" s="6"/>
      <c r="T394" s="6"/>
      <c r="U394" s="6"/>
    </row>
    <row r="395" spans="1:21">
      <c r="A395" s="82"/>
      <c r="B395" s="83"/>
      <c r="C395" s="82"/>
      <c r="D395" s="82"/>
      <c r="E395" s="82"/>
      <c r="F395" s="82"/>
      <c r="G395" s="222"/>
      <c r="H395" s="222"/>
      <c r="I395" s="222"/>
      <c r="J395" s="6"/>
      <c r="K395" s="6"/>
      <c r="L395" s="6"/>
      <c r="M395" s="6"/>
      <c r="N395" s="6"/>
      <c r="O395" s="6"/>
      <c r="P395" s="6"/>
      <c r="Q395" s="6"/>
      <c r="R395" s="6"/>
      <c r="S395" s="6"/>
      <c r="T395" s="6"/>
      <c r="U395" s="6"/>
    </row>
    <row r="396" spans="1:21">
      <c r="A396" s="82"/>
      <c r="B396" s="83"/>
      <c r="C396" s="82"/>
      <c r="D396" s="82"/>
      <c r="E396" s="82"/>
      <c r="F396" s="82"/>
      <c r="G396" s="222"/>
      <c r="H396" s="222"/>
      <c r="I396" s="222"/>
      <c r="J396" s="6"/>
      <c r="K396" s="6"/>
      <c r="L396" s="6"/>
      <c r="M396" s="6"/>
      <c r="N396" s="6"/>
      <c r="O396" s="6"/>
      <c r="P396" s="6"/>
      <c r="Q396" s="6"/>
      <c r="R396" s="6"/>
      <c r="S396" s="6"/>
      <c r="T396" s="6"/>
      <c r="U396" s="6"/>
    </row>
    <row r="397" spans="1:21">
      <c r="A397" s="82"/>
      <c r="B397" s="83"/>
      <c r="C397" s="82"/>
      <c r="D397" s="82"/>
      <c r="E397" s="82"/>
      <c r="F397" s="82"/>
      <c r="G397" s="222"/>
      <c r="H397" s="222"/>
      <c r="I397" s="222"/>
      <c r="J397" s="6"/>
      <c r="K397" s="6"/>
      <c r="L397" s="6"/>
      <c r="M397" s="6"/>
      <c r="N397" s="6"/>
      <c r="O397" s="6"/>
      <c r="P397" s="6"/>
      <c r="Q397" s="6"/>
      <c r="R397" s="6"/>
      <c r="S397" s="6"/>
      <c r="T397" s="6"/>
      <c r="U397" s="6"/>
    </row>
    <row r="398" spans="1:21">
      <c r="A398" s="82"/>
      <c r="B398" s="83"/>
      <c r="C398" s="82"/>
      <c r="D398" s="82"/>
      <c r="E398" s="82"/>
      <c r="F398" s="82"/>
      <c r="G398" s="222"/>
      <c r="H398" s="222"/>
      <c r="I398" s="222"/>
      <c r="J398" s="6"/>
      <c r="K398" s="6"/>
      <c r="L398" s="6"/>
      <c r="M398" s="6"/>
      <c r="N398" s="6"/>
      <c r="O398" s="6"/>
      <c r="P398" s="6"/>
      <c r="Q398" s="6"/>
      <c r="R398" s="6"/>
      <c r="S398" s="6"/>
      <c r="T398" s="6"/>
      <c r="U398" s="6"/>
    </row>
    <row r="399" spans="1:21">
      <c r="A399" s="82"/>
      <c r="B399" s="83"/>
      <c r="C399" s="82"/>
      <c r="D399" s="82"/>
      <c r="E399" s="82"/>
      <c r="F399" s="82"/>
      <c r="G399" s="222"/>
      <c r="H399" s="222"/>
      <c r="I399" s="222"/>
      <c r="J399" s="6"/>
      <c r="K399" s="6"/>
      <c r="L399" s="6"/>
      <c r="M399" s="6"/>
      <c r="N399" s="6"/>
      <c r="O399" s="6"/>
      <c r="P399" s="6"/>
      <c r="Q399" s="6"/>
      <c r="R399" s="6"/>
      <c r="S399" s="6"/>
      <c r="T399" s="6"/>
      <c r="U399" s="6"/>
    </row>
    <row r="400" spans="1:21">
      <c r="A400" s="82"/>
      <c r="B400" s="83"/>
      <c r="C400" s="82"/>
      <c r="D400" s="82"/>
      <c r="E400" s="82"/>
      <c r="F400" s="82"/>
      <c r="G400" s="222"/>
      <c r="H400" s="222"/>
      <c r="I400" s="222"/>
      <c r="J400" s="6"/>
      <c r="K400" s="6"/>
      <c r="L400" s="6"/>
      <c r="M400" s="6"/>
      <c r="N400" s="6"/>
      <c r="O400" s="6"/>
      <c r="P400" s="6"/>
      <c r="Q400" s="6"/>
      <c r="R400" s="6"/>
      <c r="S400" s="6"/>
      <c r="T400" s="6"/>
      <c r="U400" s="6"/>
    </row>
    <row r="401" spans="1:21">
      <c r="A401" s="82"/>
      <c r="B401" s="83"/>
      <c r="C401" s="82"/>
      <c r="D401" s="82"/>
      <c r="E401" s="82"/>
      <c r="F401" s="82"/>
      <c r="G401" s="222"/>
      <c r="H401" s="222"/>
      <c r="I401" s="222"/>
      <c r="J401" s="6"/>
      <c r="K401" s="6"/>
      <c r="L401" s="6"/>
      <c r="M401" s="6"/>
      <c r="N401" s="6"/>
      <c r="O401" s="6"/>
      <c r="P401" s="6"/>
      <c r="Q401" s="6"/>
      <c r="R401" s="6"/>
      <c r="S401" s="6"/>
      <c r="T401" s="6"/>
      <c r="U401" s="6"/>
    </row>
    <row r="402" spans="1:21">
      <c r="A402" s="82"/>
      <c r="B402" s="83"/>
      <c r="C402" s="82"/>
      <c r="D402" s="82"/>
      <c r="E402" s="82"/>
      <c r="F402" s="82"/>
      <c r="G402" s="222"/>
      <c r="H402" s="222"/>
      <c r="I402" s="222"/>
      <c r="J402" s="6"/>
      <c r="K402" s="6"/>
      <c r="L402" s="6"/>
      <c r="M402" s="6"/>
      <c r="N402" s="6"/>
      <c r="O402" s="6"/>
      <c r="P402" s="6"/>
      <c r="Q402" s="6"/>
      <c r="R402" s="6"/>
      <c r="S402" s="6"/>
      <c r="T402" s="6"/>
      <c r="U402" s="6"/>
    </row>
    <row r="403" spans="1:21">
      <c r="A403" s="82"/>
      <c r="B403" s="83"/>
      <c r="C403" s="82"/>
      <c r="D403" s="82"/>
      <c r="E403" s="82"/>
      <c r="F403" s="82"/>
      <c r="G403" s="222"/>
      <c r="H403" s="222"/>
      <c r="I403" s="222"/>
      <c r="J403" s="6"/>
      <c r="K403" s="6"/>
      <c r="L403" s="6"/>
      <c r="M403" s="6"/>
      <c r="N403" s="6"/>
      <c r="O403" s="6"/>
      <c r="P403" s="6"/>
      <c r="Q403" s="6"/>
      <c r="R403" s="6"/>
      <c r="S403" s="6"/>
      <c r="T403" s="6"/>
      <c r="U403" s="6"/>
    </row>
    <row r="404" spans="1:21">
      <c r="A404" s="82"/>
      <c r="B404" s="83"/>
      <c r="C404" s="82"/>
      <c r="D404" s="82"/>
      <c r="E404" s="82"/>
      <c r="F404" s="82"/>
      <c r="G404" s="222"/>
      <c r="H404" s="222"/>
      <c r="I404" s="222"/>
      <c r="J404" s="6"/>
      <c r="K404" s="6"/>
      <c r="L404" s="6"/>
      <c r="M404" s="6"/>
      <c r="N404" s="6"/>
      <c r="O404" s="6"/>
      <c r="P404" s="6"/>
      <c r="Q404" s="6"/>
      <c r="R404" s="6"/>
      <c r="S404" s="6"/>
      <c r="T404" s="6"/>
      <c r="U404" s="6"/>
    </row>
    <row r="405" spans="1:21">
      <c r="A405" s="82"/>
      <c r="B405" s="83"/>
      <c r="C405" s="82"/>
      <c r="D405" s="82"/>
      <c r="E405" s="82"/>
      <c r="F405" s="82"/>
      <c r="G405" s="222"/>
      <c r="H405" s="222"/>
      <c r="I405" s="222"/>
      <c r="J405" s="6"/>
      <c r="K405" s="6"/>
      <c r="L405" s="6"/>
      <c r="M405" s="6"/>
      <c r="N405" s="6"/>
      <c r="O405" s="6"/>
      <c r="P405" s="6"/>
      <c r="Q405" s="6"/>
      <c r="R405" s="6"/>
      <c r="S405" s="6"/>
      <c r="T405" s="6"/>
      <c r="U405" s="6"/>
    </row>
    <row r="406" spans="1:21">
      <c r="A406" s="82"/>
      <c r="B406" s="83"/>
      <c r="C406" s="82"/>
      <c r="D406" s="82"/>
      <c r="E406" s="82"/>
      <c r="F406" s="82"/>
      <c r="G406" s="222"/>
      <c r="H406" s="222"/>
      <c r="I406" s="222"/>
      <c r="J406" s="6"/>
      <c r="K406" s="6"/>
      <c r="L406" s="6"/>
      <c r="M406" s="6"/>
      <c r="N406" s="6"/>
      <c r="O406" s="6"/>
      <c r="P406" s="6"/>
      <c r="Q406" s="6"/>
      <c r="R406" s="6"/>
      <c r="S406" s="6"/>
      <c r="T406" s="6"/>
      <c r="U406" s="6"/>
    </row>
    <row r="407" spans="1:21">
      <c r="A407" s="82"/>
      <c r="B407" s="83"/>
      <c r="C407" s="82"/>
      <c r="D407" s="82"/>
      <c r="E407" s="82"/>
      <c r="F407" s="82"/>
      <c r="G407" s="222"/>
      <c r="H407" s="222"/>
      <c r="I407" s="222"/>
      <c r="J407" s="6"/>
      <c r="K407" s="6"/>
      <c r="L407" s="6"/>
      <c r="M407" s="6"/>
      <c r="N407" s="6"/>
      <c r="O407" s="6"/>
      <c r="P407" s="6"/>
      <c r="Q407" s="6"/>
      <c r="R407" s="6"/>
      <c r="S407" s="6"/>
      <c r="T407" s="6"/>
      <c r="U407" s="6"/>
    </row>
    <row r="408" spans="1:21">
      <c r="A408" s="82"/>
      <c r="B408" s="83"/>
      <c r="C408" s="82"/>
      <c r="D408" s="82"/>
      <c r="E408" s="82"/>
      <c r="F408" s="82"/>
      <c r="G408" s="222"/>
      <c r="H408" s="222"/>
      <c r="I408" s="222"/>
      <c r="J408" s="6"/>
      <c r="K408" s="6"/>
      <c r="L408" s="6"/>
      <c r="M408" s="6"/>
      <c r="N408" s="6"/>
      <c r="O408" s="6"/>
      <c r="P408" s="6"/>
      <c r="Q408" s="6"/>
      <c r="R408" s="6"/>
      <c r="S408" s="6"/>
      <c r="T408" s="6"/>
      <c r="U408" s="6"/>
    </row>
    <row r="409" spans="1:21">
      <c r="A409" s="82"/>
      <c r="B409" s="83"/>
      <c r="C409" s="82"/>
      <c r="D409" s="82"/>
      <c r="E409" s="82"/>
      <c r="F409" s="82"/>
      <c r="G409" s="222"/>
      <c r="H409" s="222"/>
      <c r="I409" s="222"/>
      <c r="J409" s="6"/>
      <c r="K409" s="6"/>
      <c r="L409" s="6"/>
      <c r="M409" s="6"/>
      <c r="N409" s="6"/>
      <c r="O409" s="6"/>
      <c r="P409" s="6"/>
      <c r="Q409" s="6"/>
      <c r="R409" s="6"/>
      <c r="S409" s="6"/>
      <c r="T409" s="6"/>
      <c r="U409" s="6"/>
    </row>
    <row r="410" spans="1:21">
      <c r="A410" s="82"/>
      <c r="B410" s="83"/>
      <c r="C410" s="82"/>
      <c r="D410" s="82"/>
      <c r="E410" s="82"/>
      <c r="F410" s="82"/>
      <c r="G410" s="222"/>
      <c r="H410" s="222"/>
      <c r="I410" s="222"/>
      <c r="J410" s="6"/>
      <c r="K410" s="6"/>
      <c r="L410" s="6"/>
      <c r="M410" s="6"/>
      <c r="N410" s="6"/>
      <c r="O410" s="6"/>
      <c r="P410" s="6"/>
      <c r="Q410" s="6"/>
      <c r="R410" s="6"/>
      <c r="S410" s="6"/>
      <c r="T410" s="6"/>
      <c r="U410" s="6"/>
    </row>
    <row r="411" spans="1:21">
      <c r="A411" s="82"/>
      <c r="B411" s="83"/>
      <c r="C411" s="82"/>
      <c r="D411" s="82"/>
      <c r="E411" s="82"/>
      <c r="F411" s="82"/>
      <c r="G411" s="222"/>
      <c r="H411" s="222"/>
      <c r="I411" s="222"/>
      <c r="J411" s="6"/>
      <c r="K411" s="6"/>
      <c r="L411" s="6"/>
      <c r="M411" s="6"/>
      <c r="N411" s="6"/>
      <c r="O411" s="6"/>
      <c r="P411" s="6"/>
      <c r="Q411" s="6"/>
      <c r="R411" s="6"/>
      <c r="S411" s="6"/>
      <c r="T411" s="6"/>
      <c r="U411" s="6"/>
    </row>
    <row r="412" spans="1:21">
      <c r="A412" s="82"/>
      <c r="B412" s="83"/>
      <c r="C412" s="82"/>
      <c r="D412" s="82"/>
      <c r="E412" s="82"/>
      <c r="F412" s="82"/>
      <c r="G412" s="222"/>
      <c r="H412" s="222"/>
      <c r="I412" s="222"/>
      <c r="J412" s="6"/>
      <c r="K412" s="6"/>
      <c r="L412" s="6"/>
      <c r="M412" s="6"/>
      <c r="N412" s="6"/>
      <c r="O412" s="6"/>
      <c r="P412" s="6"/>
      <c r="Q412" s="6"/>
      <c r="R412" s="6"/>
      <c r="S412" s="6"/>
      <c r="T412" s="6"/>
      <c r="U412" s="6"/>
    </row>
    <row r="413" spans="1:21">
      <c r="A413" s="82"/>
      <c r="B413" s="83"/>
      <c r="C413" s="82"/>
      <c r="D413" s="82"/>
      <c r="E413" s="82"/>
      <c r="F413" s="82"/>
      <c r="G413" s="222"/>
      <c r="H413" s="222"/>
      <c r="I413" s="222"/>
      <c r="J413" s="6"/>
      <c r="K413" s="6"/>
      <c r="L413" s="6"/>
      <c r="M413" s="6"/>
      <c r="N413" s="6"/>
      <c r="O413" s="6"/>
      <c r="P413" s="6"/>
      <c r="Q413" s="6"/>
      <c r="R413" s="6"/>
      <c r="S413" s="6"/>
      <c r="T413" s="6"/>
      <c r="U413" s="6"/>
    </row>
    <row r="414" spans="1:21">
      <c r="A414" s="82"/>
      <c r="B414" s="83"/>
      <c r="C414" s="82"/>
      <c r="D414" s="82"/>
      <c r="E414" s="82"/>
      <c r="F414" s="82"/>
      <c r="G414" s="222"/>
      <c r="H414" s="222"/>
      <c r="I414" s="222"/>
      <c r="J414" s="6"/>
      <c r="K414" s="6"/>
      <c r="L414" s="6"/>
      <c r="M414" s="6"/>
      <c r="N414" s="6"/>
      <c r="O414" s="6"/>
      <c r="P414" s="6"/>
      <c r="Q414" s="6"/>
      <c r="R414" s="6"/>
      <c r="S414" s="6"/>
      <c r="T414" s="6"/>
      <c r="U414" s="6"/>
    </row>
    <row r="415" spans="1:21">
      <c r="A415" s="82"/>
      <c r="B415" s="83"/>
      <c r="C415" s="82"/>
      <c r="D415" s="82"/>
      <c r="E415" s="82"/>
      <c r="F415" s="82"/>
      <c r="G415" s="222"/>
      <c r="H415" s="222"/>
      <c r="I415" s="222"/>
      <c r="J415" s="6"/>
      <c r="K415" s="6"/>
      <c r="L415" s="6"/>
      <c r="M415" s="6"/>
      <c r="N415" s="6"/>
      <c r="O415" s="6"/>
      <c r="P415" s="6"/>
      <c r="Q415" s="6"/>
      <c r="R415" s="6"/>
      <c r="S415" s="6"/>
      <c r="T415" s="6"/>
      <c r="U415" s="6"/>
    </row>
    <row r="416" spans="1:21">
      <c r="A416" s="82"/>
      <c r="B416" s="83"/>
      <c r="C416" s="82"/>
      <c r="D416" s="82"/>
      <c r="E416" s="82"/>
      <c r="F416" s="82"/>
      <c r="G416" s="222"/>
      <c r="H416" s="222"/>
      <c r="I416" s="222"/>
      <c r="J416" s="6"/>
      <c r="K416" s="6"/>
      <c r="L416" s="6"/>
      <c r="M416" s="6"/>
      <c r="N416" s="6"/>
      <c r="O416" s="6"/>
      <c r="P416" s="6"/>
      <c r="Q416" s="6"/>
      <c r="R416" s="6"/>
      <c r="S416" s="6"/>
      <c r="T416" s="6"/>
      <c r="U416" s="6"/>
    </row>
    <row r="417" spans="1:21">
      <c r="A417" s="82"/>
      <c r="B417" s="83"/>
      <c r="C417" s="82"/>
      <c r="D417" s="82"/>
      <c r="E417" s="82"/>
      <c r="F417" s="82"/>
      <c r="G417" s="222"/>
      <c r="H417" s="222"/>
      <c r="I417" s="222"/>
      <c r="J417" s="6"/>
      <c r="K417" s="6"/>
      <c r="L417" s="6"/>
      <c r="M417" s="6"/>
      <c r="N417" s="6"/>
      <c r="O417" s="6"/>
      <c r="P417" s="6"/>
      <c r="Q417" s="6"/>
      <c r="R417" s="6"/>
      <c r="S417" s="6"/>
      <c r="T417" s="6"/>
      <c r="U417" s="6"/>
    </row>
    <row r="418" spans="1:21">
      <c r="A418" s="82"/>
      <c r="B418" s="83"/>
      <c r="C418" s="82"/>
      <c r="D418" s="82"/>
      <c r="E418" s="82"/>
      <c r="F418" s="82"/>
      <c r="G418" s="222"/>
      <c r="H418" s="222"/>
      <c r="I418" s="222"/>
      <c r="J418" s="6"/>
      <c r="K418" s="6"/>
      <c r="L418" s="6"/>
      <c r="M418" s="6"/>
      <c r="N418" s="6"/>
      <c r="O418" s="6"/>
      <c r="P418" s="6"/>
      <c r="Q418" s="6"/>
      <c r="R418" s="6"/>
      <c r="S418" s="6"/>
      <c r="T418" s="6"/>
      <c r="U418" s="6"/>
    </row>
    <row r="419" spans="1:21">
      <c r="A419" s="82"/>
      <c r="B419" s="83"/>
      <c r="C419" s="82"/>
      <c r="D419" s="82"/>
      <c r="E419" s="82"/>
      <c r="F419" s="82"/>
      <c r="G419" s="222"/>
      <c r="H419" s="222"/>
      <c r="I419" s="222"/>
      <c r="J419" s="6"/>
      <c r="K419" s="6"/>
      <c r="L419" s="6"/>
      <c r="M419" s="6"/>
      <c r="N419" s="6"/>
      <c r="O419" s="6"/>
      <c r="P419" s="6"/>
      <c r="Q419" s="6"/>
      <c r="R419" s="6"/>
      <c r="S419" s="6"/>
      <c r="T419" s="6"/>
      <c r="U419" s="6"/>
    </row>
    <row r="420" spans="1:21">
      <c r="A420" s="82"/>
      <c r="B420" s="83"/>
      <c r="C420" s="82"/>
      <c r="D420" s="82"/>
      <c r="E420" s="82"/>
      <c r="F420" s="82"/>
      <c r="G420" s="222"/>
      <c r="H420" s="222"/>
      <c r="I420" s="222"/>
      <c r="J420" s="6"/>
      <c r="K420" s="6"/>
      <c r="L420" s="6"/>
      <c r="M420" s="6"/>
      <c r="N420" s="6"/>
      <c r="O420" s="6"/>
      <c r="P420" s="6"/>
      <c r="Q420" s="6"/>
      <c r="R420" s="6"/>
      <c r="S420" s="6"/>
      <c r="T420" s="6"/>
      <c r="U420" s="6"/>
    </row>
    <row r="421" spans="1:21">
      <c r="A421" s="82"/>
      <c r="B421" s="83"/>
      <c r="C421" s="82"/>
      <c r="D421" s="82"/>
      <c r="E421" s="82"/>
      <c r="F421" s="82"/>
      <c r="G421" s="222"/>
      <c r="H421" s="222"/>
      <c r="I421" s="222"/>
      <c r="J421" s="6"/>
      <c r="K421" s="6"/>
      <c r="L421" s="6"/>
      <c r="M421" s="6"/>
      <c r="N421" s="6"/>
      <c r="O421" s="6"/>
      <c r="P421" s="6"/>
      <c r="Q421" s="6"/>
      <c r="R421" s="6"/>
      <c r="S421" s="6"/>
      <c r="T421" s="6"/>
      <c r="U421" s="6"/>
    </row>
    <row r="422" spans="1:21">
      <c r="A422" s="82"/>
      <c r="B422" s="83"/>
      <c r="C422" s="82"/>
      <c r="D422" s="82"/>
      <c r="E422" s="82"/>
      <c r="F422" s="82"/>
      <c r="G422" s="222"/>
      <c r="H422" s="222"/>
      <c r="I422" s="222"/>
      <c r="J422" s="6"/>
      <c r="K422" s="6"/>
      <c r="L422" s="6"/>
      <c r="M422" s="6"/>
      <c r="N422" s="6"/>
      <c r="O422" s="6"/>
      <c r="P422" s="6"/>
      <c r="Q422" s="6"/>
      <c r="R422" s="6"/>
      <c r="S422" s="6"/>
      <c r="T422" s="6"/>
      <c r="U422" s="6"/>
    </row>
    <row r="423" spans="1:21">
      <c r="A423" s="82"/>
      <c r="B423" s="83"/>
      <c r="C423" s="82"/>
      <c r="D423" s="82"/>
      <c r="E423" s="82"/>
      <c r="F423" s="82"/>
      <c r="G423" s="222"/>
      <c r="H423" s="222"/>
      <c r="I423" s="222"/>
      <c r="J423" s="6"/>
      <c r="K423" s="6"/>
      <c r="L423" s="6"/>
      <c r="M423" s="6"/>
      <c r="N423" s="6"/>
      <c r="O423" s="6"/>
      <c r="P423" s="6"/>
      <c r="Q423" s="6"/>
      <c r="R423" s="6"/>
      <c r="S423" s="6"/>
      <c r="T423" s="6"/>
      <c r="U423" s="6"/>
    </row>
    <row r="424" spans="1:21">
      <c r="A424" s="82"/>
      <c r="B424" s="83"/>
      <c r="C424" s="82"/>
      <c r="D424" s="82"/>
      <c r="E424" s="82"/>
      <c r="F424" s="82"/>
      <c r="G424" s="222"/>
      <c r="H424" s="222"/>
      <c r="I424" s="222"/>
      <c r="J424" s="6"/>
      <c r="K424" s="6"/>
      <c r="L424" s="6"/>
      <c r="M424" s="6"/>
      <c r="N424" s="6"/>
      <c r="O424" s="6"/>
      <c r="P424" s="6"/>
      <c r="Q424" s="6"/>
      <c r="R424" s="6"/>
      <c r="S424" s="6"/>
      <c r="T424" s="6"/>
      <c r="U424" s="6"/>
    </row>
    <row r="425" spans="1:21">
      <c r="A425" s="82"/>
      <c r="B425" s="83"/>
      <c r="C425" s="82"/>
      <c r="D425" s="82"/>
      <c r="E425" s="82"/>
      <c r="F425" s="82"/>
      <c r="G425" s="222"/>
      <c r="H425" s="222"/>
      <c r="I425" s="222"/>
      <c r="J425" s="6"/>
      <c r="K425" s="6"/>
      <c r="L425" s="6"/>
      <c r="M425" s="6"/>
      <c r="N425" s="6"/>
      <c r="O425" s="6"/>
      <c r="P425" s="6"/>
      <c r="Q425" s="6"/>
      <c r="R425" s="6"/>
      <c r="S425" s="6"/>
      <c r="T425" s="6"/>
      <c r="U425" s="6"/>
    </row>
    <row r="426" spans="1:21">
      <c r="A426" s="82"/>
      <c r="B426" s="83"/>
      <c r="C426" s="82"/>
      <c r="D426" s="82"/>
      <c r="E426" s="82"/>
      <c r="F426" s="82"/>
      <c r="G426" s="222"/>
      <c r="H426" s="222"/>
      <c r="I426" s="222"/>
      <c r="J426" s="6"/>
      <c r="K426" s="6"/>
      <c r="L426" s="6"/>
      <c r="M426" s="6"/>
      <c r="N426" s="6"/>
      <c r="O426" s="6"/>
      <c r="P426" s="6"/>
      <c r="Q426" s="6"/>
      <c r="R426" s="6"/>
      <c r="S426" s="6"/>
      <c r="T426" s="6"/>
      <c r="U426" s="6"/>
    </row>
    <row r="427" spans="1:21">
      <c r="A427" s="82"/>
      <c r="B427" s="83"/>
      <c r="C427" s="82"/>
      <c r="D427" s="82"/>
      <c r="E427" s="82"/>
      <c r="F427" s="82"/>
      <c r="G427" s="222"/>
      <c r="H427" s="222"/>
      <c r="I427" s="222"/>
      <c r="J427" s="6"/>
      <c r="K427" s="6"/>
      <c r="L427" s="6"/>
      <c r="M427" s="6"/>
      <c r="N427" s="6"/>
      <c r="O427" s="6"/>
      <c r="P427" s="6"/>
      <c r="Q427" s="6"/>
      <c r="R427" s="6"/>
      <c r="S427" s="6"/>
      <c r="T427" s="6"/>
      <c r="U427" s="6"/>
    </row>
    <row r="428" spans="1:21">
      <c r="A428" s="82"/>
      <c r="B428" s="83"/>
      <c r="C428" s="82"/>
      <c r="D428" s="82"/>
      <c r="E428" s="82"/>
      <c r="F428" s="82"/>
      <c r="G428" s="222"/>
      <c r="H428" s="222"/>
      <c r="I428" s="222"/>
      <c r="J428" s="6"/>
      <c r="K428" s="6"/>
      <c r="L428" s="6"/>
      <c r="M428" s="6"/>
      <c r="N428" s="6"/>
      <c r="O428" s="6"/>
      <c r="P428" s="6"/>
      <c r="Q428" s="6"/>
      <c r="R428" s="6"/>
      <c r="S428" s="6"/>
      <c r="T428" s="6"/>
      <c r="U428" s="6"/>
    </row>
    <row r="429" spans="1:21">
      <c r="A429" s="82"/>
      <c r="B429" s="83"/>
      <c r="C429" s="82"/>
      <c r="D429" s="82"/>
      <c r="E429" s="82"/>
      <c r="F429" s="82"/>
      <c r="G429" s="222"/>
      <c r="H429" s="222"/>
      <c r="I429" s="222"/>
      <c r="J429" s="6"/>
      <c r="K429" s="6"/>
      <c r="L429" s="6"/>
      <c r="M429" s="6"/>
      <c r="N429" s="6"/>
      <c r="O429" s="6"/>
      <c r="P429" s="6"/>
      <c r="Q429" s="6"/>
      <c r="R429" s="6"/>
      <c r="S429" s="6"/>
      <c r="T429" s="6"/>
      <c r="U429" s="6"/>
    </row>
    <row r="430" spans="1:21">
      <c r="A430" s="82"/>
      <c r="B430" s="83"/>
      <c r="C430" s="82"/>
      <c r="D430" s="82"/>
      <c r="E430" s="82"/>
      <c r="F430" s="82"/>
      <c r="G430" s="222"/>
      <c r="H430" s="222"/>
      <c r="I430" s="222"/>
      <c r="J430" s="6"/>
      <c r="K430" s="6"/>
      <c r="L430" s="6"/>
      <c r="M430" s="6"/>
      <c r="N430" s="6"/>
      <c r="O430" s="6"/>
      <c r="P430" s="6"/>
      <c r="Q430" s="6"/>
      <c r="R430" s="6"/>
      <c r="S430" s="6"/>
      <c r="T430" s="6"/>
      <c r="U430" s="6"/>
    </row>
    <row r="431" spans="1:21">
      <c r="A431" s="82"/>
      <c r="B431" s="83"/>
      <c r="C431" s="82"/>
      <c r="D431" s="82"/>
      <c r="E431" s="82"/>
      <c r="F431" s="82"/>
      <c r="G431" s="222"/>
      <c r="H431" s="222"/>
      <c r="I431" s="222"/>
      <c r="J431" s="6"/>
      <c r="K431" s="6"/>
      <c r="L431" s="6"/>
      <c r="M431" s="6"/>
      <c r="N431" s="6"/>
      <c r="O431" s="6"/>
      <c r="P431" s="6"/>
      <c r="Q431" s="6"/>
      <c r="R431" s="6"/>
      <c r="S431" s="6"/>
      <c r="T431" s="6"/>
      <c r="U431" s="6"/>
    </row>
    <row r="432" spans="1:21">
      <c r="A432" s="82"/>
      <c r="B432" s="83"/>
      <c r="C432" s="82"/>
      <c r="D432" s="82"/>
      <c r="E432" s="82"/>
      <c r="F432" s="82"/>
      <c r="G432" s="222"/>
      <c r="H432" s="222"/>
      <c r="I432" s="222"/>
      <c r="J432" s="6"/>
      <c r="K432" s="6"/>
      <c r="L432" s="6"/>
      <c r="M432" s="6"/>
      <c r="N432" s="6"/>
      <c r="O432" s="6"/>
      <c r="P432" s="6"/>
      <c r="Q432" s="6"/>
      <c r="R432" s="6"/>
      <c r="S432" s="6"/>
      <c r="T432" s="6"/>
      <c r="U432" s="6"/>
    </row>
    <row r="433" spans="1:21">
      <c r="A433" s="82"/>
      <c r="B433" s="83"/>
      <c r="C433" s="82"/>
      <c r="D433" s="82"/>
      <c r="E433" s="82"/>
      <c r="F433" s="82"/>
      <c r="G433" s="222"/>
      <c r="H433" s="222"/>
      <c r="I433" s="222"/>
      <c r="J433" s="6"/>
      <c r="K433" s="6"/>
      <c r="L433" s="6"/>
      <c r="M433" s="6"/>
      <c r="N433" s="6"/>
      <c r="O433" s="6"/>
      <c r="P433" s="6"/>
      <c r="Q433" s="6"/>
      <c r="R433" s="6"/>
      <c r="S433" s="6"/>
      <c r="T433" s="6"/>
      <c r="U433" s="6"/>
    </row>
    <row r="434" spans="1:21">
      <c r="A434" s="82"/>
      <c r="B434" s="83"/>
      <c r="C434" s="82"/>
      <c r="D434" s="82"/>
      <c r="E434" s="82"/>
      <c r="F434" s="82"/>
      <c r="G434" s="222"/>
      <c r="H434" s="222"/>
      <c r="I434" s="222"/>
      <c r="J434" s="6"/>
      <c r="K434" s="6"/>
      <c r="L434" s="6"/>
      <c r="M434" s="6"/>
      <c r="N434" s="6"/>
      <c r="O434" s="6"/>
      <c r="P434" s="6"/>
      <c r="Q434" s="6"/>
      <c r="R434" s="6"/>
      <c r="S434" s="6"/>
      <c r="T434" s="6"/>
      <c r="U434" s="6"/>
    </row>
    <row r="435" spans="1:21">
      <c r="A435" s="82"/>
      <c r="B435" s="83"/>
      <c r="C435" s="82"/>
      <c r="D435" s="82"/>
      <c r="E435" s="82"/>
      <c r="F435" s="82"/>
      <c r="G435" s="222"/>
      <c r="H435" s="222"/>
      <c r="I435" s="222"/>
      <c r="J435" s="6"/>
      <c r="K435" s="6"/>
      <c r="L435" s="6"/>
      <c r="M435" s="6"/>
      <c r="N435" s="6"/>
      <c r="O435" s="6"/>
      <c r="P435" s="6"/>
      <c r="Q435" s="6"/>
      <c r="R435" s="6"/>
      <c r="S435" s="6"/>
      <c r="T435" s="6"/>
      <c r="U435" s="6"/>
    </row>
    <row r="436" spans="1:21">
      <c r="A436" s="82"/>
      <c r="B436" s="83"/>
      <c r="C436" s="82"/>
      <c r="D436" s="82"/>
      <c r="E436" s="82"/>
      <c r="F436" s="82"/>
      <c r="G436" s="222"/>
      <c r="H436" s="222"/>
      <c r="I436" s="222"/>
      <c r="J436" s="6"/>
      <c r="K436" s="6"/>
      <c r="L436" s="6"/>
      <c r="M436" s="6"/>
      <c r="N436" s="6"/>
      <c r="O436" s="6"/>
      <c r="P436" s="6"/>
      <c r="Q436" s="6"/>
      <c r="R436" s="6"/>
      <c r="S436" s="6"/>
      <c r="T436" s="6"/>
      <c r="U436" s="6"/>
    </row>
    <row r="437" spans="1:21">
      <c r="A437" s="82"/>
      <c r="B437" s="83"/>
      <c r="C437" s="82"/>
      <c r="D437" s="82"/>
      <c r="E437" s="82"/>
      <c r="F437" s="82"/>
      <c r="G437" s="222"/>
      <c r="H437" s="222"/>
      <c r="I437" s="222"/>
      <c r="J437" s="6"/>
      <c r="K437" s="6"/>
      <c r="L437" s="6"/>
      <c r="M437" s="6"/>
      <c r="N437" s="6"/>
      <c r="O437" s="6"/>
      <c r="P437" s="6"/>
      <c r="Q437" s="6"/>
      <c r="R437" s="6"/>
      <c r="S437" s="6"/>
      <c r="T437" s="6"/>
      <c r="U437" s="6"/>
    </row>
    <row r="438" spans="1:21">
      <c r="A438" s="82"/>
      <c r="B438" s="83"/>
      <c r="C438" s="82"/>
      <c r="D438" s="82"/>
      <c r="E438" s="82"/>
      <c r="F438" s="82"/>
      <c r="G438" s="222"/>
      <c r="H438" s="222"/>
      <c r="I438" s="222"/>
      <c r="J438" s="6"/>
      <c r="K438" s="6"/>
      <c r="L438" s="6"/>
      <c r="M438" s="6"/>
      <c r="N438" s="6"/>
      <c r="O438" s="6"/>
      <c r="P438" s="6"/>
      <c r="Q438" s="6"/>
      <c r="R438" s="6"/>
      <c r="S438" s="6"/>
      <c r="T438" s="6"/>
      <c r="U438" s="6"/>
    </row>
    <row r="439" spans="1:21">
      <c r="A439" s="82"/>
      <c r="B439" s="83"/>
      <c r="C439" s="82"/>
      <c r="D439" s="82"/>
      <c r="E439" s="82"/>
      <c r="F439" s="82"/>
      <c r="G439" s="222"/>
      <c r="H439" s="222"/>
      <c r="I439" s="222"/>
      <c r="J439" s="6"/>
      <c r="K439" s="6"/>
      <c r="L439" s="6"/>
      <c r="M439" s="6"/>
      <c r="N439" s="6"/>
      <c r="O439" s="6"/>
      <c r="P439" s="6"/>
      <c r="Q439" s="6"/>
      <c r="R439" s="6"/>
      <c r="S439" s="6"/>
      <c r="T439" s="6"/>
      <c r="U439" s="6"/>
    </row>
    <row r="440" spans="1:21">
      <c r="A440" s="82"/>
      <c r="B440" s="83"/>
      <c r="C440" s="82"/>
      <c r="D440" s="82"/>
      <c r="E440" s="82"/>
      <c r="F440" s="82"/>
      <c r="G440" s="222"/>
      <c r="H440" s="222"/>
      <c r="I440" s="222"/>
      <c r="J440" s="6"/>
      <c r="K440" s="6"/>
      <c r="L440" s="6"/>
      <c r="M440" s="6"/>
      <c r="N440" s="6"/>
      <c r="O440" s="6"/>
      <c r="P440" s="6"/>
      <c r="Q440" s="6"/>
      <c r="R440" s="6"/>
      <c r="S440" s="6"/>
      <c r="T440" s="6"/>
      <c r="U440" s="6"/>
    </row>
    <row r="441" spans="1:21">
      <c r="A441" s="82"/>
      <c r="B441" s="83"/>
      <c r="C441" s="82"/>
      <c r="D441" s="82"/>
      <c r="E441" s="82"/>
      <c r="F441" s="82"/>
      <c r="G441" s="222"/>
      <c r="H441" s="222"/>
      <c r="I441" s="222"/>
      <c r="J441" s="6"/>
      <c r="K441" s="6"/>
      <c r="L441" s="6"/>
      <c r="M441" s="6"/>
      <c r="N441" s="6"/>
      <c r="O441" s="6"/>
      <c r="P441" s="6"/>
      <c r="Q441" s="6"/>
      <c r="R441" s="6"/>
      <c r="S441" s="6"/>
      <c r="T441" s="6"/>
      <c r="U441" s="6"/>
    </row>
    <row r="442" spans="1:21">
      <c r="A442" s="82"/>
      <c r="B442" s="83"/>
      <c r="C442" s="82"/>
      <c r="D442" s="82"/>
      <c r="E442" s="82"/>
      <c r="F442" s="82"/>
      <c r="G442" s="222"/>
      <c r="H442" s="222"/>
      <c r="I442" s="222"/>
      <c r="J442" s="6"/>
      <c r="K442" s="6"/>
      <c r="L442" s="6"/>
      <c r="M442" s="6"/>
      <c r="N442" s="6"/>
      <c r="O442" s="6"/>
      <c r="P442" s="6"/>
      <c r="Q442" s="6"/>
      <c r="R442" s="6"/>
      <c r="S442" s="6"/>
      <c r="T442" s="6"/>
      <c r="U442" s="6"/>
    </row>
    <row r="443" spans="1:21">
      <c r="A443" s="82"/>
      <c r="B443" s="83"/>
      <c r="C443" s="82"/>
      <c r="D443" s="82"/>
      <c r="E443" s="82"/>
      <c r="F443" s="82"/>
      <c r="G443" s="222"/>
      <c r="H443" s="222"/>
      <c r="I443" s="222"/>
      <c r="J443" s="6"/>
      <c r="K443" s="6"/>
      <c r="L443" s="6"/>
      <c r="M443" s="6"/>
      <c r="N443" s="6"/>
      <c r="O443" s="6"/>
      <c r="P443" s="6"/>
      <c r="Q443" s="6"/>
      <c r="R443" s="6"/>
      <c r="S443" s="6"/>
      <c r="T443" s="6"/>
      <c r="U443" s="6"/>
    </row>
    <row r="444" spans="1:21">
      <c r="A444" s="82"/>
      <c r="B444" s="83"/>
      <c r="C444" s="82"/>
      <c r="D444" s="82"/>
      <c r="E444" s="82"/>
      <c r="F444" s="82"/>
      <c r="G444" s="222"/>
      <c r="H444" s="222"/>
      <c r="I444" s="222"/>
      <c r="J444" s="6"/>
      <c r="K444" s="6"/>
      <c r="L444" s="6"/>
      <c r="M444" s="6"/>
      <c r="N444" s="6"/>
      <c r="O444" s="6"/>
      <c r="P444" s="6"/>
      <c r="Q444" s="6"/>
      <c r="R444" s="6"/>
      <c r="S444" s="6"/>
      <c r="T444" s="6"/>
      <c r="U444" s="6"/>
    </row>
    <row r="445" spans="1:21">
      <c r="A445" s="82"/>
      <c r="B445" s="83"/>
      <c r="C445" s="82"/>
      <c r="D445" s="82"/>
      <c r="E445" s="82"/>
      <c r="F445" s="82"/>
      <c r="G445" s="222"/>
      <c r="H445" s="222"/>
      <c r="I445" s="222"/>
      <c r="J445" s="6"/>
      <c r="K445" s="6"/>
      <c r="L445" s="6"/>
      <c r="M445" s="6"/>
      <c r="N445" s="6"/>
      <c r="O445" s="6"/>
      <c r="P445" s="6"/>
      <c r="Q445" s="6"/>
      <c r="R445" s="6"/>
      <c r="S445" s="6"/>
      <c r="T445" s="6"/>
      <c r="U445" s="6"/>
    </row>
    <row r="446" spans="1:21">
      <c r="A446" s="82"/>
      <c r="B446" s="83"/>
      <c r="C446" s="82"/>
      <c r="D446" s="82"/>
      <c r="E446" s="82"/>
      <c r="F446" s="82"/>
      <c r="G446" s="222"/>
      <c r="H446" s="222"/>
      <c r="I446" s="222"/>
      <c r="J446" s="6"/>
      <c r="K446" s="6"/>
      <c r="L446" s="6"/>
      <c r="M446" s="6"/>
      <c r="N446" s="6"/>
      <c r="O446" s="6"/>
      <c r="P446" s="6"/>
      <c r="Q446" s="6"/>
      <c r="R446" s="6"/>
      <c r="S446" s="6"/>
      <c r="T446" s="6"/>
      <c r="U446" s="6"/>
    </row>
    <row r="447" spans="1:21">
      <c r="A447" s="82"/>
      <c r="B447" s="83"/>
      <c r="C447" s="82"/>
      <c r="D447" s="82"/>
      <c r="E447" s="82"/>
      <c r="F447" s="82"/>
      <c r="G447" s="222"/>
      <c r="H447" s="222"/>
      <c r="I447" s="222"/>
      <c r="J447" s="6"/>
      <c r="K447" s="6"/>
      <c r="L447" s="6"/>
      <c r="M447" s="6"/>
      <c r="N447" s="6"/>
      <c r="O447" s="6"/>
      <c r="P447" s="6"/>
      <c r="Q447" s="6"/>
      <c r="R447" s="6"/>
      <c r="S447" s="6"/>
      <c r="T447" s="6"/>
      <c r="U447" s="6"/>
    </row>
    <row r="448" spans="1:21">
      <c r="A448" s="82"/>
      <c r="B448" s="83"/>
      <c r="C448" s="82"/>
      <c r="D448" s="82"/>
      <c r="E448" s="82"/>
      <c r="F448" s="82"/>
      <c r="G448" s="222"/>
      <c r="H448" s="222"/>
      <c r="I448" s="222"/>
      <c r="J448" s="6"/>
      <c r="K448" s="6"/>
      <c r="L448" s="6"/>
      <c r="M448" s="6"/>
      <c r="N448" s="6"/>
      <c r="O448" s="6"/>
      <c r="P448" s="6"/>
      <c r="Q448" s="6"/>
      <c r="R448" s="6"/>
      <c r="S448" s="6"/>
      <c r="T448" s="6"/>
      <c r="U448" s="6"/>
    </row>
    <row r="449" spans="1:21">
      <c r="A449" s="82"/>
      <c r="B449" s="83"/>
      <c r="C449" s="82"/>
      <c r="D449" s="82"/>
      <c r="E449" s="82"/>
      <c r="F449" s="82"/>
      <c r="G449" s="222"/>
      <c r="H449" s="222"/>
      <c r="I449" s="222"/>
      <c r="J449" s="6"/>
      <c r="K449" s="6"/>
      <c r="L449" s="6"/>
      <c r="M449" s="6"/>
      <c r="N449" s="6"/>
      <c r="O449" s="6"/>
      <c r="P449" s="6"/>
      <c r="Q449" s="6"/>
      <c r="R449" s="6"/>
      <c r="S449" s="6"/>
      <c r="T449" s="6"/>
      <c r="U449" s="6"/>
    </row>
    <row r="450" spans="1:21">
      <c r="A450" s="82"/>
      <c r="B450" s="83"/>
      <c r="C450" s="82"/>
      <c r="D450" s="82"/>
      <c r="E450" s="82"/>
      <c r="F450" s="82"/>
      <c r="G450" s="222"/>
      <c r="H450" s="222"/>
      <c r="I450" s="222"/>
      <c r="J450" s="6"/>
      <c r="K450" s="6"/>
      <c r="L450" s="6"/>
      <c r="M450" s="6"/>
      <c r="N450" s="6"/>
      <c r="O450" s="6"/>
      <c r="P450" s="6"/>
      <c r="Q450" s="6"/>
      <c r="R450" s="6"/>
      <c r="S450" s="6"/>
      <c r="T450" s="6"/>
      <c r="U450" s="6"/>
    </row>
    <row r="451" spans="1:21">
      <c r="A451" s="82"/>
      <c r="B451" s="83"/>
      <c r="C451" s="82"/>
      <c r="D451" s="82"/>
      <c r="E451" s="82"/>
      <c r="F451" s="82"/>
      <c r="G451" s="222"/>
      <c r="H451" s="222"/>
      <c r="I451" s="222"/>
      <c r="J451" s="6"/>
      <c r="K451" s="6"/>
      <c r="L451" s="6"/>
      <c r="M451" s="6"/>
      <c r="N451" s="6"/>
      <c r="O451" s="6"/>
      <c r="P451" s="6"/>
      <c r="Q451" s="6"/>
      <c r="R451" s="6"/>
      <c r="S451" s="6"/>
      <c r="T451" s="6"/>
      <c r="U451" s="6"/>
    </row>
    <row r="452" spans="1:21">
      <c r="A452" s="82"/>
      <c r="B452" s="83"/>
      <c r="C452" s="82"/>
      <c r="D452" s="82"/>
      <c r="E452" s="82"/>
      <c r="F452" s="82"/>
      <c r="G452" s="222"/>
      <c r="H452" s="222"/>
      <c r="I452" s="222"/>
      <c r="J452" s="6"/>
      <c r="K452" s="6"/>
      <c r="L452" s="6"/>
      <c r="M452" s="6"/>
      <c r="N452" s="6"/>
      <c r="O452" s="6"/>
      <c r="P452" s="6"/>
      <c r="Q452" s="6"/>
      <c r="R452" s="6"/>
      <c r="S452" s="6"/>
      <c r="T452" s="6"/>
      <c r="U452" s="6"/>
    </row>
    <row r="453" spans="1:21">
      <c r="A453" s="82"/>
      <c r="B453" s="83"/>
      <c r="C453" s="82"/>
      <c r="D453" s="82"/>
      <c r="E453" s="82"/>
      <c r="F453" s="82"/>
      <c r="G453" s="222"/>
      <c r="H453" s="222"/>
      <c r="I453" s="222"/>
      <c r="J453" s="6"/>
      <c r="K453" s="6"/>
      <c r="L453" s="6"/>
      <c r="M453" s="6"/>
      <c r="N453" s="6"/>
      <c r="O453" s="6"/>
      <c r="P453" s="6"/>
      <c r="Q453" s="6"/>
      <c r="R453" s="6"/>
      <c r="S453" s="6"/>
      <c r="T453" s="6"/>
      <c r="U453" s="6"/>
    </row>
    <row r="454" spans="1:21">
      <c r="A454" s="82"/>
      <c r="B454" s="83"/>
      <c r="C454" s="82"/>
      <c r="D454" s="82"/>
      <c r="E454" s="82"/>
      <c r="F454" s="82"/>
      <c r="G454" s="222"/>
      <c r="H454" s="222"/>
      <c r="I454" s="222"/>
      <c r="J454" s="6"/>
      <c r="K454" s="6"/>
      <c r="L454" s="6"/>
      <c r="M454" s="6"/>
      <c r="N454" s="6"/>
      <c r="O454" s="6"/>
      <c r="P454" s="6"/>
      <c r="Q454" s="6"/>
      <c r="R454" s="6"/>
      <c r="S454" s="6"/>
      <c r="T454" s="6"/>
      <c r="U454" s="6"/>
    </row>
    <row r="455" spans="1:21">
      <c r="A455" s="82"/>
      <c r="B455" s="83"/>
      <c r="C455" s="82"/>
      <c r="D455" s="82"/>
      <c r="E455" s="82"/>
      <c r="F455" s="82"/>
      <c r="G455" s="222"/>
      <c r="H455" s="222"/>
      <c r="I455" s="222"/>
      <c r="J455" s="6"/>
      <c r="K455" s="6"/>
      <c r="L455" s="6"/>
      <c r="M455" s="6"/>
      <c r="N455" s="6"/>
      <c r="O455" s="6"/>
      <c r="P455" s="6"/>
      <c r="Q455" s="6"/>
      <c r="R455" s="6"/>
      <c r="S455" s="6"/>
      <c r="T455" s="6"/>
      <c r="U455" s="6"/>
    </row>
    <row r="456" spans="1:21">
      <c r="A456" s="82"/>
      <c r="B456" s="83"/>
      <c r="C456" s="82"/>
      <c r="D456" s="82"/>
      <c r="E456" s="82"/>
      <c r="F456" s="82"/>
      <c r="G456" s="222"/>
      <c r="H456" s="222"/>
      <c r="I456" s="222"/>
      <c r="J456" s="6"/>
      <c r="K456" s="6"/>
      <c r="L456" s="6"/>
      <c r="M456" s="6"/>
      <c r="N456" s="6"/>
      <c r="O456" s="6"/>
      <c r="P456" s="6"/>
      <c r="Q456" s="6"/>
      <c r="R456" s="6"/>
      <c r="S456" s="6"/>
      <c r="T456" s="6"/>
      <c r="U456" s="6"/>
    </row>
    <row r="457" spans="1:21">
      <c r="A457" s="82"/>
      <c r="B457" s="83"/>
      <c r="C457" s="82"/>
      <c r="D457" s="82"/>
      <c r="E457" s="82"/>
      <c r="F457" s="82"/>
      <c r="G457" s="222"/>
      <c r="H457" s="222"/>
      <c r="I457" s="222"/>
      <c r="J457" s="6"/>
      <c r="K457" s="6"/>
      <c r="L457" s="6"/>
      <c r="M457" s="6"/>
      <c r="N457" s="6"/>
      <c r="O457" s="6"/>
      <c r="P457" s="6"/>
      <c r="Q457" s="6"/>
      <c r="R457" s="6"/>
      <c r="S457" s="6"/>
      <c r="T457" s="6"/>
      <c r="U457" s="6"/>
    </row>
    <row r="458" spans="1:21">
      <c r="A458" s="82"/>
      <c r="B458" s="83"/>
      <c r="C458" s="82"/>
      <c r="D458" s="82"/>
      <c r="E458" s="82"/>
      <c r="F458" s="82"/>
      <c r="G458" s="222"/>
      <c r="H458" s="222"/>
      <c r="I458" s="222"/>
      <c r="J458" s="6"/>
      <c r="K458" s="6"/>
      <c r="L458" s="6"/>
      <c r="M458" s="6"/>
      <c r="N458" s="6"/>
      <c r="O458" s="6"/>
      <c r="P458" s="6"/>
      <c r="Q458" s="6"/>
      <c r="R458" s="6"/>
      <c r="S458" s="6"/>
      <c r="T458" s="6"/>
      <c r="U458" s="6"/>
    </row>
    <row r="459" spans="1:21">
      <c r="A459" s="82"/>
      <c r="B459" s="83"/>
      <c r="C459" s="82"/>
      <c r="D459" s="82"/>
      <c r="E459" s="82"/>
      <c r="F459" s="82"/>
      <c r="G459" s="222"/>
      <c r="H459" s="222"/>
      <c r="I459" s="222"/>
      <c r="J459" s="6"/>
      <c r="K459" s="6"/>
      <c r="L459" s="6"/>
      <c r="M459" s="6"/>
      <c r="N459" s="6"/>
      <c r="O459" s="6"/>
      <c r="P459" s="6"/>
      <c r="Q459" s="6"/>
      <c r="R459" s="6"/>
      <c r="S459" s="6"/>
      <c r="T459" s="6"/>
      <c r="U459" s="6"/>
    </row>
    <row r="460" spans="1:21">
      <c r="A460" s="82"/>
      <c r="B460" s="83"/>
      <c r="C460" s="82"/>
      <c r="D460" s="82"/>
      <c r="E460" s="82"/>
      <c r="F460" s="82"/>
      <c r="G460" s="222"/>
      <c r="H460" s="222"/>
      <c r="I460" s="222"/>
      <c r="J460" s="6"/>
      <c r="K460" s="6"/>
      <c r="L460" s="6"/>
      <c r="M460" s="6"/>
      <c r="N460" s="6"/>
      <c r="O460" s="6"/>
      <c r="P460" s="6"/>
      <c r="Q460" s="6"/>
      <c r="R460" s="6"/>
      <c r="S460" s="6"/>
      <c r="T460" s="6"/>
      <c r="U460" s="6"/>
    </row>
    <row r="461" spans="1:21">
      <c r="A461" s="82"/>
      <c r="B461" s="83"/>
      <c r="C461" s="82"/>
      <c r="D461" s="82"/>
      <c r="E461" s="82"/>
      <c r="F461" s="82"/>
      <c r="G461" s="222"/>
      <c r="H461" s="222"/>
      <c r="I461" s="222"/>
      <c r="J461" s="6"/>
      <c r="K461" s="6"/>
      <c r="L461" s="6"/>
      <c r="M461" s="6"/>
      <c r="N461" s="6"/>
      <c r="O461" s="6"/>
      <c r="P461" s="6"/>
      <c r="Q461" s="6"/>
      <c r="R461" s="6"/>
      <c r="S461" s="6"/>
      <c r="T461" s="6"/>
      <c r="U461" s="6"/>
    </row>
    <row r="462" spans="1:21">
      <c r="A462" s="82"/>
      <c r="B462" s="83"/>
      <c r="C462" s="82"/>
      <c r="D462" s="82"/>
      <c r="E462" s="82"/>
      <c r="F462" s="82"/>
      <c r="G462" s="222"/>
      <c r="H462" s="222"/>
      <c r="I462" s="222"/>
      <c r="J462" s="6"/>
      <c r="K462" s="6"/>
      <c r="L462" s="6"/>
      <c r="M462" s="6"/>
      <c r="N462" s="6"/>
      <c r="O462" s="6"/>
      <c r="P462" s="6"/>
      <c r="Q462" s="6"/>
      <c r="R462" s="6"/>
      <c r="S462" s="6"/>
      <c r="T462" s="6"/>
      <c r="U462" s="6"/>
    </row>
    <row r="463" spans="1:21">
      <c r="A463" s="82"/>
      <c r="B463" s="83"/>
      <c r="C463" s="82"/>
      <c r="D463" s="82"/>
      <c r="E463" s="82"/>
      <c r="F463" s="82"/>
      <c r="G463" s="222"/>
      <c r="H463" s="222"/>
      <c r="I463" s="222"/>
      <c r="J463" s="6"/>
      <c r="K463" s="6"/>
      <c r="L463" s="6"/>
      <c r="M463" s="6"/>
      <c r="N463" s="6"/>
      <c r="O463" s="6"/>
      <c r="P463" s="6"/>
      <c r="Q463" s="6"/>
      <c r="R463" s="6"/>
      <c r="S463" s="6"/>
      <c r="T463" s="6"/>
      <c r="U463" s="6"/>
    </row>
    <row r="464" spans="1:21">
      <c r="A464" s="82"/>
      <c r="B464" s="83"/>
      <c r="C464" s="82"/>
      <c r="D464" s="82"/>
      <c r="E464" s="82"/>
      <c r="F464" s="82"/>
      <c r="G464" s="222"/>
      <c r="H464" s="222"/>
      <c r="I464" s="222"/>
      <c r="J464" s="6"/>
      <c r="K464" s="6"/>
      <c r="L464" s="6"/>
      <c r="M464" s="6"/>
      <c r="N464" s="6"/>
      <c r="O464" s="6"/>
      <c r="P464" s="6"/>
      <c r="Q464" s="6"/>
      <c r="R464" s="6"/>
      <c r="S464" s="6"/>
      <c r="T464" s="6"/>
      <c r="U464" s="6"/>
    </row>
    <row r="465" spans="1:21">
      <c r="A465" s="82"/>
      <c r="B465" s="83"/>
      <c r="C465" s="82"/>
      <c r="D465" s="82"/>
      <c r="E465" s="82"/>
      <c r="F465" s="82"/>
      <c r="G465" s="222"/>
      <c r="H465" s="222"/>
      <c r="I465" s="222"/>
      <c r="J465" s="6"/>
      <c r="K465" s="6"/>
      <c r="L465" s="6"/>
      <c r="M465" s="6"/>
      <c r="N465" s="6"/>
      <c r="O465" s="6"/>
      <c r="P465" s="6"/>
      <c r="Q465" s="6"/>
      <c r="R465" s="6"/>
      <c r="S465" s="6"/>
      <c r="T465" s="6"/>
      <c r="U465" s="6"/>
    </row>
    <row r="466" spans="1:21">
      <c r="A466" s="82"/>
      <c r="B466" s="83"/>
      <c r="C466" s="82"/>
      <c r="D466" s="82"/>
      <c r="E466" s="82"/>
      <c r="F466" s="82"/>
      <c r="G466" s="222"/>
      <c r="H466" s="222"/>
      <c r="I466" s="222"/>
      <c r="J466" s="6"/>
      <c r="K466" s="6"/>
      <c r="L466" s="6"/>
      <c r="M466" s="6"/>
      <c r="N466" s="6"/>
      <c r="O466" s="6"/>
      <c r="P466" s="6"/>
      <c r="Q466" s="6"/>
      <c r="R466" s="6"/>
      <c r="S466" s="6"/>
      <c r="T466" s="6"/>
      <c r="U466" s="6"/>
    </row>
    <row r="467" spans="1:21">
      <c r="A467" s="82"/>
      <c r="B467" s="83"/>
      <c r="C467" s="82"/>
      <c r="D467" s="82"/>
      <c r="E467" s="82"/>
      <c r="F467" s="82"/>
      <c r="G467" s="222"/>
      <c r="H467" s="222"/>
      <c r="I467" s="222"/>
      <c r="J467" s="6"/>
      <c r="K467" s="6"/>
      <c r="L467" s="6"/>
      <c r="M467" s="6"/>
      <c r="N467" s="6"/>
      <c r="O467" s="6"/>
      <c r="P467" s="6"/>
      <c r="Q467" s="6"/>
      <c r="R467" s="6"/>
      <c r="S467" s="6"/>
      <c r="T467" s="6"/>
      <c r="U467" s="6"/>
    </row>
    <row r="468" spans="1:21">
      <c r="A468" s="82"/>
      <c r="B468" s="83"/>
      <c r="C468" s="82"/>
      <c r="D468" s="82"/>
      <c r="E468" s="82"/>
      <c r="F468" s="82"/>
      <c r="G468" s="222"/>
      <c r="H468" s="222"/>
      <c r="I468" s="222"/>
      <c r="J468" s="6"/>
      <c r="K468" s="6"/>
      <c r="L468" s="6"/>
      <c r="M468" s="6"/>
      <c r="N468" s="6"/>
      <c r="O468" s="6"/>
      <c r="P468" s="6"/>
      <c r="Q468" s="6"/>
      <c r="R468" s="6"/>
      <c r="S468" s="6"/>
      <c r="T468" s="6"/>
      <c r="U468" s="6"/>
    </row>
    <row r="469" spans="1:21">
      <c r="A469" s="82"/>
      <c r="B469" s="83"/>
      <c r="C469" s="82"/>
      <c r="D469" s="82"/>
      <c r="E469" s="82"/>
      <c r="F469" s="82"/>
      <c r="G469" s="222"/>
      <c r="H469" s="222"/>
      <c r="I469" s="222"/>
      <c r="J469" s="6"/>
      <c r="K469" s="6"/>
      <c r="L469" s="6"/>
      <c r="M469" s="6"/>
      <c r="N469" s="6"/>
      <c r="O469" s="6"/>
      <c r="P469" s="6"/>
      <c r="Q469" s="6"/>
      <c r="R469" s="6"/>
      <c r="S469" s="6"/>
      <c r="T469" s="6"/>
      <c r="U469" s="6"/>
    </row>
    <row r="470" spans="1:21">
      <c r="A470" s="82"/>
      <c r="B470" s="83"/>
      <c r="C470" s="82"/>
      <c r="D470" s="82"/>
      <c r="E470" s="82"/>
      <c r="F470" s="82"/>
      <c r="G470" s="222"/>
      <c r="H470" s="222"/>
      <c r="I470" s="222"/>
      <c r="J470" s="6"/>
      <c r="K470" s="6"/>
      <c r="L470" s="6"/>
      <c r="M470" s="6"/>
      <c r="N470" s="6"/>
      <c r="O470" s="6"/>
      <c r="P470" s="6"/>
      <c r="Q470" s="6"/>
      <c r="R470" s="6"/>
      <c r="S470" s="6"/>
      <c r="T470" s="6"/>
      <c r="U470" s="6"/>
    </row>
    <row r="471" spans="1:21">
      <c r="A471" s="82"/>
      <c r="B471" s="83"/>
      <c r="C471" s="82"/>
      <c r="D471" s="82"/>
      <c r="E471" s="82"/>
      <c r="F471" s="82"/>
      <c r="G471" s="222"/>
      <c r="H471" s="222"/>
      <c r="I471" s="222"/>
      <c r="J471" s="6"/>
      <c r="K471" s="6"/>
      <c r="L471" s="6"/>
      <c r="M471" s="6"/>
      <c r="N471" s="6"/>
      <c r="O471" s="6"/>
      <c r="P471" s="6"/>
      <c r="Q471" s="6"/>
      <c r="R471" s="6"/>
      <c r="S471" s="6"/>
      <c r="T471" s="6"/>
      <c r="U471" s="6"/>
    </row>
    <row r="472" spans="1:21">
      <c r="A472" s="82"/>
      <c r="B472" s="83"/>
      <c r="C472" s="82"/>
      <c r="D472" s="82"/>
      <c r="E472" s="82"/>
      <c r="F472" s="82"/>
      <c r="G472" s="222"/>
      <c r="H472" s="222"/>
      <c r="I472" s="222"/>
      <c r="J472" s="6"/>
      <c r="K472" s="6"/>
      <c r="L472" s="6"/>
      <c r="M472" s="6"/>
      <c r="N472" s="6"/>
      <c r="O472" s="6"/>
      <c r="P472" s="6"/>
      <c r="Q472" s="6"/>
      <c r="R472" s="6"/>
      <c r="S472" s="6"/>
      <c r="T472" s="6"/>
      <c r="U472" s="6"/>
    </row>
    <row r="473" spans="1:21">
      <c r="A473" s="82"/>
      <c r="B473" s="83"/>
      <c r="C473" s="82"/>
      <c r="D473" s="82"/>
      <c r="E473" s="82"/>
      <c r="F473" s="82"/>
      <c r="G473" s="222"/>
      <c r="H473" s="222"/>
      <c r="I473" s="222"/>
      <c r="J473" s="6"/>
      <c r="K473" s="6"/>
      <c r="L473" s="6"/>
      <c r="M473" s="6"/>
      <c r="N473" s="6"/>
      <c r="O473" s="6"/>
      <c r="P473" s="6"/>
      <c r="Q473" s="6"/>
      <c r="R473" s="6"/>
      <c r="S473" s="6"/>
      <c r="T473" s="6"/>
      <c r="U473" s="6"/>
    </row>
    <row r="474" spans="1:21">
      <c r="A474" s="82"/>
      <c r="B474" s="83"/>
      <c r="C474" s="82"/>
      <c r="D474" s="82"/>
      <c r="E474" s="82"/>
      <c r="F474" s="82"/>
      <c r="G474" s="222"/>
      <c r="H474" s="222"/>
      <c r="I474" s="222"/>
      <c r="J474" s="6"/>
      <c r="K474" s="6"/>
      <c r="L474" s="6"/>
      <c r="M474" s="6"/>
      <c r="N474" s="6"/>
      <c r="O474" s="6"/>
      <c r="P474" s="6"/>
      <c r="Q474" s="6"/>
      <c r="R474" s="6"/>
      <c r="S474" s="6"/>
      <c r="T474" s="6"/>
      <c r="U474" s="6"/>
    </row>
    <row r="475" spans="1:21">
      <c r="A475" s="82"/>
      <c r="B475" s="83"/>
      <c r="C475" s="82"/>
      <c r="D475" s="82"/>
      <c r="E475" s="82"/>
      <c r="F475" s="82"/>
      <c r="G475" s="222"/>
      <c r="H475" s="222"/>
      <c r="I475" s="222"/>
      <c r="J475" s="6"/>
      <c r="K475" s="6"/>
      <c r="L475" s="6"/>
      <c r="M475" s="6"/>
      <c r="N475" s="6"/>
      <c r="O475" s="6"/>
      <c r="P475" s="6"/>
      <c r="Q475" s="6"/>
      <c r="R475" s="6"/>
      <c r="S475" s="6"/>
      <c r="T475" s="6"/>
      <c r="U475" s="6"/>
    </row>
    <row r="476" spans="1:21">
      <c r="A476" s="82"/>
      <c r="B476" s="83"/>
      <c r="C476" s="82"/>
      <c r="D476" s="82"/>
      <c r="E476" s="82"/>
      <c r="F476" s="82"/>
      <c r="G476" s="222"/>
      <c r="H476" s="222"/>
      <c r="I476" s="222"/>
      <c r="J476" s="6"/>
      <c r="K476" s="6"/>
      <c r="L476" s="6"/>
      <c r="M476" s="6"/>
      <c r="N476" s="6"/>
      <c r="O476" s="6"/>
      <c r="P476" s="6"/>
      <c r="Q476" s="6"/>
      <c r="R476" s="6"/>
      <c r="S476" s="6"/>
      <c r="T476" s="6"/>
      <c r="U476" s="6"/>
    </row>
    <row r="477" spans="1:21">
      <c r="A477" s="82"/>
      <c r="B477" s="83"/>
      <c r="C477" s="82"/>
      <c r="D477" s="82"/>
      <c r="E477" s="82"/>
      <c r="F477" s="82"/>
      <c r="G477" s="222"/>
      <c r="H477" s="222"/>
      <c r="I477" s="222"/>
      <c r="J477" s="6"/>
      <c r="K477" s="6"/>
      <c r="L477" s="6"/>
      <c r="M477" s="6"/>
      <c r="N477" s="6"/>
      <c r="O477" s="6"/>
      <c r="P477" s="6"/>
      <c r="Q477" s="6"/>
      <c r="R477" s="6"/>
      <c r="S477" s="6"/>
      <c r="T477" s="6"/>
      <c r="U477" s="6"/>
    </row>
    <row r="478" spans="1:21">
      <c r="A478" s="82"/>
      <c r="B478" s="83"/>
      <c r="C478" s="82"/>
      <c r="D478" s="82"/>
      <c r="E478" s="82"/>
      <c r="F478" s="82"/>
      <c r="G478" s="222"/>
      <c r="H478" s="222"/>
      <c r="I478" s="222"/>
      <c r="J478" s="6"/>
      <c r="K478" s="6"/>
      <c r="L478" s="6"/>
      <c r="M478" s="6"/>
      <c r="N478" s="6"/>
      <c r="O478" s="6"/>
      <c r="P478" s="6"/>
      <c r="Q478" s="6"/>
      <c r="R478" s="6"/>
      <c r="S478" s="6"/>
      <c r="T478" s="6"/>
      <c r="U478" s="6"/>
    </row>
    <row r="479" spans="1:21">
      <c r="A479" s="82"/>
      <c r="B479" s="83"/>
      <c r="C479" s="82"/>
      <c r="D479" s="82"/>
      <c r="E479" s="82"/>
      <c r="F479" s="82"/>
      <c r="G479" s="222"/>
      <c r="H479" s="222"/>
      <c r="I479" s="222"/>
      <c r="J479" s="6"/>
      <c r="K479" s="6"/>
      <c r="L479" s="6"/>
      <c r="M479" s="6"/>
      <c r="N479" s="6"/>
      <c r="O479" s="6"/>
      <c r="P479" s="6"/>
      <c r="Q479" s="6"/>
      <c r="R479" s="6"/>
      <c r="S479" s="6"/>
      <c r="T479" s="6"/>
      <c r="U479" s="6"/>
    </row>
    <row r="480" spans="1:21">
      <c r="A480" s="82"/>
      <c r="B480" s="83"/>
      <c r="C480" s="82"/>
      <c r="D480" s="82"/>
      <c r="E480" s="82"/>
      <c r="F480" s="82"/>
      <c r="G480" s="222"/>
      <c r="H480" s="222"/>
      <c r="I480" s="222"/>
      <c r="J480" s="6"/>
      <c r="K480" s="6"/>
      <c r="L480" s="6"/>
      <c r="M480" s="6"/>
      <c r="N480" s="6"/>
      <c r="O480" s="6"/>
      <c r="P480" s="6"/>
      <c r="Q480" s="6"/>
      <c r="R480" s="6"/>
      <c r="S480" s="6"/>
      <c r="T480" s="6"/>
      <c r="U480" s="6"/>
    </row>
    <row r="481" spans="1:21">
      <c r="A481" s="82"/>
      <c r="B481" s="83"/>
      <c r="C481" s="82"/>
      <c r="D481" s="82"/>
      <c r="E481" s="82"/>
      <c r="F481" s="82"/>
      <c r="G481" s="222"/>
      <c r="H481" s="222"/>
      <c r="I481" s="222"/>
      <c r="J481" s="6"/>
      <c r="K481" s="6"/>
      <c r="L481" s="6"/>
      <c r="M481" s="6"/>
      <c r="N481" s="6"/>
      <c r="O481" s="6"/>
      <c r="P481" s="6"/>
      <c r="Q481" s="6"/>
      <c r="R481" s="6"/>
      <c r="S481" s="6"/>
      <c r="T481" s="6"/>
      <c r="U481" s="6"/>
    </row>
    <row r="482" spans="1:21">
      <c r="A482" s="82"/>
      <c r="B482" s="83"/>
      <c r="C482" s="82"/>
      <c r="D482" s="82"/>
      <c r="E482" s="82"/>
      <c r="F482" s="82"/>
      <c r="G482" s="222"/>
      <c r="H482" s="222"/>
      <c r="I482" s="222"/>
      <c r="J482" s="6"/>
      <c r="K482" s="6"/>
      <c r="L482" s="6"/>
      <c r="M482" s="6"/>
      <c r="N482" s="6"/>
      <c r="O482" s="6"/>
      <c r="P482" s="6"/>
      <c r="Q482" s="6"/>
      <c r="R482" s="6"/>
      <c r="S482" s="6"/>
      <c r="T482" s="6"/>
      <c r="U482" s="6"/>
    </row>
    <row r="483" spans="1:21">
      <c r="A483" s="82"/>
      <c r="B483" s="83"/>
      <c r="C483" s="82"/>
      <c r="D483" s="82"/>
      <c r="E483" s="82"/>
      <c r="F483" s="82"/>
      <c r="G483" s="222"/>
      <c r="H483" s="222"/>
      <c r="I483" s="222"/>
      <c r="J483" s="6"/>
      <c r="K483" s="6"/>
      <c r="L483" s="6"/>
      <c r="M483" s="6"/>
      <c r="N483" s="6"/>
      <c r="O483" s="6"/>
      <c r="P483" s="6"/>
      <c r="Q483" s="6"/>
      <c r="R483" s="6"/>
      <c r="S483" s="6"/>
      <c r="T483" s="6"/>
      <c r="U483" s="6"/>
    </row>
    <row r="484" spans="1:21">
      <c r="A484" s="82"/>
      <c r="B484" s="83"/>
      <c r="C484" s="82"/>
      <c r="D484" s="82"/>
      <c r="E484" s="82"/>
      <c r="F484" s="82"/>
      <c r="G484" s="222"/>
      <c r="H484" s="222"/>
      <c r="I484" s="222"/>
      <c r="J484" s="6"/>
      <c r="K484" s="6"/>
      <c r="L484" s="6"/>
      <c r="M484" s="6"/>
      <c r="N484" s="6"/>
      <c r="O484" s="6"/>
      <c r="P484" s="6"/>
      <c r="Q484" s="6"/>
      <c r="R484" s="6"/>
      <c r="S484" s="6"/>
      <c r="T484" s="6"/>
      <c r="U484" s="6"/>
    </row>
    <row r="485" spans="1:21">
      <c r="A485" s="82"/>
      <c r="B485" s="83"/>
      <c r="C485" s="82"/>
      <c r="D485" s="82"/>
      <c r="E485" s="82"/>
      <c r="F485" s="82"/>
      <c r="G485" s="222"/>
      <c r="H485" s="222"/>
      <c r="I485" s="222"/>
      <c r="J485" s="6"/>
      <c r="K485" s="6"/>
      <c r="L485" s="6"/>
      <c r="M485" s="6"/>
      <c r="N485" s="6"/>
      <c r="O485" s="6"/>
      <c r="P485" s="6"/>
      <c r="Q485" s="6"/>
      <c r="R485" s="6"/>
      <c r="S485" s="6"/>
      <c r="T485" s="6"/>
      <c r="U485" s="6"/>
    </row>
    <row r="486" spans="1:21">
      <c r="A486" s="82"/>
      <c r="B486" s="83"/>
      <c r="C486" s="82"/>
      <c r="D486" s="82"/>
      <c r="E486" s="82"/>
      <c r="F486" s="82"/>
      <c r="G486" s="222"/>
      <c r="H486" s="222"/>
      <c r="I486" s="222"/>
      <c r="J486" s="6"/>
      <c r="K486" s="6"/>
      <c r="L486" s="6"/>
      <c r="M486" s="6"/>
      <c r="N486" s="6"/>
      <c r="O486" s="6"/>
      <c r="P486" s="6"/>
      <c r="Q486" s="6"/>
      <c r="R486" s="6"/>
      <c r="S486" s="6"/>
      <c r="T486" s="6"/>
      <c r="U486" s="6"/>
    </row>
    <row r="487" spans="1:21">
      <c r="A487" s="82"/>
      <c r="B487" s="83"/>
      <c r="C487" s="82"/>
      <c r="D487" s="82"/>
      <c r="E487" s="82"/>
      <c r="F487" s="82"/>
      <c r="G487" s="222"/>
      <c r="H487" s="222"/>
      <c r="I487" s="222"/>
      <c r="J487" s="6"/>
      <c r="K487" s="6"/>
      <c r="L487" s="6"/>
      <c r="M487" s="6"/>
      <c r="N487" s="6"/>
      <c r="O487" s="6"/>
      <c r="P487" s="6"/>
      <c r="Q487" s="6"/>
      <c r="R487" s="6"/>
      <c r="S487" s="6"/>
      <c r="T487" s="6"/>
      <c r="U487" s="6"/>
    </row>
    <row r="488" spans="1:21">
      <c r="A488" s="82"/>
      <c r="B488" s="83"/>
      <c r="C488" s="82"/>
      <c r="D488" s="82"/>
      <c r="E488" s="82"/>
      <c r="F488" s="82"/>
      <c r="G488" s="222"/>
      <c r="H488" s="222"/>
      <c r="I488" s="222"/>
      <c r="J488" s="6"/>
      <c r="K488" s="6"/>
      <c r="L488" s="6"/>
      <c r="M488" s="6"/>
      <c r="N488" s="6"/>
      <c r="O488" s="6"/>
      <c r="P488" s="6"/>
      <c r="Q488" s="6"/>
      <c r="R488" s="6"/>
      <c r="S488" s="6"/>
      <c r="T488" s="6"/>
      <c r="U488" s="6"/>
    </row>
    <row r="489" spans="1:21">
      <c r="A489" s="82"/>
      <c r="B489" s="83"/>
      <c r="C489" s="82"/>
      <c r="D489" s="82"/>
      <c r="E489" s="82"/>
      <c r="F489" s="82"/>
      <c r="G489" s="222"/>
      <c r="H489" s="222"/>
      <c r="I489" s="222"/>
      <c r="J489" s="6"/>
      <c r="K489" s="6"/>
      <c r="L489" s="6"/>
      <c r="M489" s="6"/>
      <c r="N489" s="6"/>
      <c r="O489" s="6"/>
      <c r="P489" s="6"/>
      <c r="Q489" s="6"/>
      <c r="R489" s="6"/>
      <c r="S489" s="6"/>
      <c r="T489" s="6"/>
      <c r="U489" s="6"/>
    </row>
    <row r="490" spans="1:21">
      <c r="A490" s="82"/>
      <c r="B490" s="83"/>
      <c r="C490" s="82"/>
      <c r="D490" s="82"/>
      <c r="E490" s="82"/>
      <c r="F490" s="82"/>
      <c r="G490" s="222"/>
      <c r="H490" s="222"/>
      <c r="I490" s="222"/>
      <c r="J490" s="6"/>
      <c r="K490" s="6"/>
      <c r="L490" s="6"/>
      <c r="M490" s="6"/>
      <c r="N490" s="6"/>
      <c r="O490" s="6"/>
      <c r="P490" s="6"/>
      <c r="Q490" s="6"/>
      <c r="R490" s="6"/>
      <c r="S490" s="6"/>
      <c r="T490" s="6"/>
      <c r="U490" s="6"/>
    </row>
    <row r="491" spans="1:21">
      <c r="A491" s="82"/>
      <c r="B491" s="83"/>
      <c r="C491" s="82"/>
      <c r="D491" s="82"/>
      <c r="E491" s="82"/>
      <c r="F491" s="82"/>
      <c r="G491" s="222"/>
      <c r="H491" s="222"/>
      <c r="I491" s="222"/>
      <c r="J491" s="6"/>
      <c r="K491" s="6"/>
      <c r="L491" s="6"/>
      <c r="M491" s="6"/>
      <c r="N491" s="6"/>
      <c r="O491" s="6"/>
      <c r="P491" s="6"/>
      <c r="Q491" s="6"/>
      <c r="R491" s="6"/>
      <c r="S491" s="6"/>
      <c r="T491" s="6"/>
      <c r="U491" s="6"/>
    </row>
    <row r="492" spans="1:21">
      <c r="A492" s="82"/>
      <c r="B492" s="83"/>
      <c r="C492" s="82"/>
      <c r="D492" s="82"/>
      <c r="E492" s="82"/>
      <c r="F492" s="82"/>
      <c r="G492" s="222"/>
      <c r="H492" s="222"/>
      <c r="I492" s="222"/>
      <c r="J492" s="6"/>
      <c r="K492" s="6"/>
      <c r="L492" s="6"/>
      <c r="M492" s="6"/>
      <c r="N492" s="6"/>
      <c r="O492" s="6"/>
      <c r="P492" s="6"/>
      <c r="Q492" s="6"/>
      <c r="R492" s="6"/>
      <c r="S492" s="6"/>
      <c r="T492" s="6"/>
      <c r="U492" s="6"/>
    </row>
    <row r="493" spans="1:21">
      <c r="A493" s="82"/>
      <c r="B493" s="83"/>
      <c r="C493" s="82"/>
      <c r="D493" s="82"/>
      <c r="E493" s="82"/>
      <c r="F493" s="82"/>
      <c r="G493" s="222"/>
      <c r="H493" s="222"/>
      <c r="I493" s="222"/>
      <c r="J493" s="6"/>
      <c r="K493" s="6"/>
      <c r="L493" s="6"/>
      <c r="M493" s="6"/>
      <c r="N493" s="6"/>
      <c r="O493" s="6"/>
      <c r="P493" s="6"/>
      <c r="Q493" s="6"/>
      <c r="R493" s="6"/>
      <c r="S493" s="6"/>
      <c r="T493" s="6"/>
      <c r="U493" s="6"/>
    </row>
    <row r="494" spans="1:21">
      <c r="A494" s="82"/>
      <c r="B494" s="83"/>
      <c r="C494" s="82"/>
      <c r="D494" s="82"/>
      <c r="E494" s="82"/>
      <c r="F494" s="82"/>
      <c r="G494" s="222"/>
      <c r="H494" s="222"/>
      <c r="I494" s="222"/>
      <c r="J494" s="6"/>
      <c r="K494" s="6"/>
      <c r="L494" s="6"/>
      <c r="M494" s="6"/>
      <c r="N494" s="6"/>
      <c r="O494" s="6"/>
      <c r="P494" s="6"/>
      <c r="Q494" s="6"/>
      <c r="R494" s="6"/>
      <c r="S494" s="6"/>
      <c r="T494" s="6"/>
      <c r="U494" s="6"/>
    </row>
    <row r="495" spans="1:21">
      <c r="A495" s="82"/>
      <c r="B495" s="83"/>
      <c r="C495" s="82"/>
      <c r="D495" s="82"/>
      <c r="E495" s="82"/>
      <c r="F495" s="82"/>
      <c r="G495" s="222"/>
      <c r="H495" s="222"/>
      <c r="I495" s="222"/>
      <c r="J495" s="6"/>
      <c r="K495" s="6"/>
      <c r="L495" s="6"/>
      <c r="M495" s="6"/>
      <c r="N495" s="6"/>
      <c r="O495" s="6"/>
      <c r="P495" s="6"/>
      <c r="Q495" s="6"/>
      <c r="R495" s="6"/>
      <c r="S495" s="6"/>
      <c r="T495" s="6"/>
      <c r="U495" s="6"/>
    </row>
    <row r="496" spans="1:21">
      <c r="A496" s="82"/>
      <c r="B496" s="83"/>
      <c r="C496" s="82"/>
      <c r="D496" s="82"/>
      <c r="E496" s="82"/>
      <c r="F496" s="82"/>
      <c r="G496" s="222"/>
      <c r="H496" s="222"/>
      <c r="I496" s="222"/>
      <c r="J496" s="6"/>
      <c r="K496" s="6"/>
      <c r="L496" s="6"/>
      <c r="M496" s="6"/>
      <c r="N496" s="6"/>
      <c r="O496" s="6"/>
      <c r="P496" s="6"/>
      <c r="Q496" s="6"/>
      <c r="R496" s="6"/>
      <c r="S496" s="6"/>
      <c r="T496" s="6"/>
      <c r="U496" s="6"/>
    </row>
    <row r="497" spans="1:21">
      <c r="A497" s="82"/>
      <c r="B497" s="83"/>
      <c r="C497" s="82"/>
      <c r="D497" s="82"/>
      <c r="E497" s="82"/>
      <c r="F497" s="82"/>
      <c r="G497" s="222"/>
      <c r="H497" s="222"/>
      <c r="I497" s="222"/>
      <c r="J497" s="6"/>
      <c r="K497" s="6"/>
      <c r="L497" s="6"/>
      <c r="M497" s="6"/>
      <c r="N497" s="6"/>
      <c r="O497" s="6"/>
      <c r="P497" s="6"/>
      <c r="Q497" s="6"/>
      <c r="R497" s="6"/>
      <c r="S497" s="6"/>
      <c r="T497" s="6"/>
      <c r="U497" s="6"/>
    </row>
    <row r="498" spans="1:21">
      <c r="A498" s="82"/>
      <c r="B498" s="83"/>
      <c r="C498" s="82"/>
      <c r="D498" s="82"/>
      <c r="E498" s="82"/>
      <c r="F498" s="82"/>
      <c r="G498" s="222"/>
      <c r="H498" s="222"/>
      <c r="I498" s="222"/>
      <c r="J498" s="6"/>
      <c r="K498" s="6"/>
      <c r="L498" s="6"/>
      <c r="M498" s="6"/>
      <c r="N498" s="6"/>
      <c r="O498" s="6"/>
      <c r="P498" s="6"/>
      <c r="Q498" s="6"/>
      <c r="R498" s="6"/>
      <c r="S498" s="6"/>
      <c r="T498" s="6"/>
      <c r="U498" s="6"/>
    </row>
    <row r="499" spans="1:21">
      <c r="A499" s="82"/>
      <c r="B499" s="83"/>
      <c r="C499" s="82"/>
      <c r="D499" s="82"/>
      <c r="E499" s="82"/>
      <c r="F499" s="82"/>
      <c r="G499" s="222"/>
      <c r="H499" s="222"/>
      <c r="I499" s="222"/>
      <c r="J499" s="6"/>
      <c r="K499" s="6"/>
      <c r="L499" s="6"/>
      <c r="M499" s="6"/>
      <c r="N499" s="6"/>
      <c r="O499" s="6"/>
      <c r="P499" s="6"/>
      <c r="Q499" s="6"/>
      <c r="R499" s="6"/>
      <c r="S499" s="6"/>
      <c r="T499" s="6"/>
      <c r="U499" s="6"/>
    </row>
    <row r="500" spans="1:21">
      <c r="A500" s="82"/>
      <c r="B500" s="83"/>
      <c r="C500" s="82"/>
      <c r="D500" s="82"/>
      <c r="E500" s="82"/>
      <c r="F500" s="82"/>
      <c r="G500" s="222"/>
      <c r="H500" s="222"/>
      <c r="I500" s="222"/>
      <c r="J500" s="6"/>
      <c r="K500" s="6"/>
      <c r="L500" s="6"/>
      <c r="M500" s="6"/>
      <c r="N500" s="6"/>
      <c r="O500" s="6"/>
      <c r="P500" s="6"/>
      <c r="Q500" s="6"/>
      <c r="R500" s="6"/>
      <c r="S500" s="6"/>
      <c r="T500" s="6"/>
      <c r="U500" s="6"/>
    </row>
    <row r="501" spans="1:21">
      <c r="A501" s="82"/>
      <c r="B501" s="83"/>
      <c r="C501" s="82"/>
      <c r="D501" s="82"/>
      <c r="E501" s="82"/>
      <c r="F501" s="82"/>
      <c r="G501" s="222"/>
      <c r="H501" s="222"/>
      <c r="I501" s="222"/>
      <c r="J501" s="6"/>
      <c r="K501" s="6"/>
      <c r="L501" s="6"/>
      <c r="M501" s="6"/>
      <c r="N501" s="6"/>
      <c r="O501" s="6"/>
      <c r="P501" s="6"/>
      <c r="Q501" s="6"/>
      <c r="R501" s="6"/>
      <c r="S501" s="6"/>
      <c r="T501" s="6"/>
      <c r="U501" s="6"/>
    </row>
    <row r="502" spans="1:21">
      <c r="A502" s="82"/>
      <c r="B502" s="83"/>
      <c r="C502" s="82"/>
      <c r="D502" s="82"/>
      <c r="E502" s="82"/>
      <c r="F502" s="82"/>
      <c r="G502" s="222"/>
      <c r="H502" s="222"/>
      <c r="I502" s="222"/>
      <c r="J502" s="6"/>
      <c r="K502" s="6"/>
      <c r="L502" s="6"/>
      <c r="M502" s="6"/>
      <c r="N502" s="6"/>
      <c r="O502" s="6"/>
      <c r="P502" s="6"/>
      <c r="Q502" s="6"/>
      <c r="R502" s="6"/>
      <c r="S502" s="6"/>
      <c r="T502" s="6"/>
      <c r="U502" s="6"/>
    </row>
    <row r="503" spans="1:21">
      <c r="A503" s="82"/>
      <c r="B503" s="83"/>
      <c r="C503" s="82"/>
      <c r="D503" s="82"/>
      <c r="E503" s="82"/>
      <c r="F503" s="82"/>
      <c r="G503" s="222"/>
      <c r="H503" s="222"/>
      <c r="I503" s="222"/>
      <c r="J503" s="6"/>
      <c r="K503" s="6"/>
      <c r="L503" s="6"/>
      <c r="M503" s="6"/>
      <c r="N503" s="6"/>
      <c r="O503" s="6"/>
      <c r="P503" s="6"/>
      <c r="Q503" s="6"/>
      <c r="R503" s="6"/>
      <c r="S503" s="6"/>
      <c r="T503" s="6"/>
      <c r="U503" s="6"/>
    </row>
    <row r="504" spans="1:21">
      <c r="A504" s="82"/>
      <c r="B504" s="83"/>
      <c r="C504" s="82"/>
      <c r="D504" s="82"/>
      <c r="E504" s="82"/>
      <c r="F504" s="82"/>
      <c r="G504" s="222"/>
      <c r="H504" s="222"/>
      <c r="I504" s="222"/>
      <c r="J504" s="6"/>
      <c r="K504" s="6"/>
      <c r="L504" s="6"/>
      <c r="M504" s="6"/>
      <c r="N504" s="6"/>
      <c r="O504" s="6"/>
      <c r="P504" s="6"/>
      <c r="Q504" s="6"/>
      <c r="R504" s="6"/>
      <c r="S504" s="6"/>
      <c r="T504" s="6"/>
      <c r="U504" s="6"/>
    </row>
    <row r="505" spans="1:21">
      <c r="A505" s="82"/>
      <c r="B505" s="83"/>
      <c r="C505" s="82"/>
      <c r="D505" s="82"/>
      <c r="E505" s="82"/>
      <c r="F505" s="82"/>
      <c r="G505" s="222"/>
      <c r="H505" s="222"/>
      <c r="I505" s="222"/>
      <c r="J505" s="6"/>
      <c r="K505" s="6"/>
      <c r="L505" s="6"/>
      <c r="M505" s="6"/>
      <c r="N505" s="6"/>
      <c r="O505" s="6"/>
      <c r="P505" s="6"/>
      <c r="Q505" s="6"/>
      <c r="R505" s="6"/>
      <c r="S505" s="6"/>
      <c r="T505" s="6"/>
      <c r="U505" s="6"/>
    </row>
    <row r="506" spans="1:21">
      <c r="A506" s="82"/>
      <c r="B506" s="83"/>
      <c r="C506" s="82"/>
      <c r="D506" s="82"/>
      <c r="E506" s="82"/>
      <c r="F506" s="82"/>
      <c r="G506" s="222"/>
      <c r="H506" s="222"/>
      <c r="I506" s="222"/>
      <c r="J506" s="6"/>
      <c r="K506" s="6"/>
      <c r="L506" s="6"/>
      <c r="M506" s="6"/>
      <c r="N506" s="6"/>
      <c r="O506" s="6"/>
      <c r="P506" s="6"/>
      <c r="Q506" s="6"/>
      <c r="R506" s="6"/>
      <c r="S506" s="6"/>
      <c r="T506" s="6"/>
      <c r="U506" s="6"/>
    </row>
    <row r="507" spans="1:21">
      <c r="A507" s="82"/>
      <c r="B507" s="83"/>
      <c r="C507" s="82"/>
      <c r="D507" s="82"/>
      <c r="E507" s="82"/>
      <c r="F507" s="82"/>
      <c r="G507" s="222"/>
      <c r="H507" s="222"/>
      <c r="I507" s="222"/>
      <c r="J507" s="6"/>
      <c r="K507" s="6"/>
      <c r="L507" s="6"/>
      <c r="M507" s="6"/>
      <c r="N507" s="6"/>
      <c r="O507" s="6"/>
      <c r="P507" s="6"/>
      <c r="Q507" s="6"/>
      <c r="R507" s="6"/>
      <c r="S507" s="6"/>
      <c r="T507" s="6"/>
      <c r="U507" s="6"/>
    </row>
    <row r="508" spans="1:21">
      <c r="A508" s="82"/>
      <c r="B508" s="83"/>
      <c r="C508" s="82"/>
      <c r="D508" s="82"/>
      <c r="E508" s="82"/>
      <c r="F508" s="82"/>
      <c r="G508" s="222"/>
      <c r="H508" s="222"/>
      <c r="I508" s="222"/>
      <c r="J508" s="6"/>
      <c r="K508" s="6"/>
      <c r="L508" s="6"/>
      <c r="M508" s="6"/>
      <c r="N508" s="6"/>
      <c r="O508" s="6"/>
      <c r="P508" s="6"/>
      <c r="Q508" s="6"/>
      <c r="R508" s="6"/>
      <c r="S508" s="6"/>
      <c r="T508" s="6"/>
      <c r="U508" s="6"/>
    </row>
    <row r="509" spans="1:21">
      <c r="A509" s="82"/>
      <c r="B509" s="83"/>
      <c r="C509" s="82"/>
      <c r="D509" s="82"/>
      <c r="E509" s="82"/>
      <c r="F509" s="82"/>
      <c r="G509" s="222"/>
      <c r="H509" s="222"/>
      <c r="I509" s="222"/>
      <c r="J509" s="6"/>
      <c r="K509" s="6"/>
      <c r="L509" s="6"/>
      <c r="M509" s="6"/>
      <c r="N509" s="6"/>
      <c r="O509" s="6"/>
      <c r="P509" s="6"/>
      <c r="Q509" s="6"/>
      <c r="R509" s="6"/>
      <c r="S509" s="6"/>
      <c r="T509" s="6"/>
      <c r="U509" s="6"/>
    </row>
    <row r="510" spans="1:21">
      <c r="A510" s="82"/>
      <c r="B510" s="83"/>
      <c r="C510" s="82"/>
      <c r="D510" s="82"/>
      <c r="E510" s="82"/>
      <c r="F510" s="82"/>
      <c r="G510" s="222"/>
      <c r="H510" s="222"/>
      <c r="I510" s="222"/>
      <c r="J510" s="6"/>
      <c r="K510" s="6"/>
      <c r="L510" s="6"/>
      <c r="M510" s="6"/>
      <c r="N510" s="6"/>
      <c r="O510" s="6"/>
      <c r="P510" s="6"/>
      <c r="Q510" s="6"/>
      <c r="R510" s="6"/>
      <c r="S510" s="6"/>
      <c r="T510" s="6"/>
      <c r="U510" s="6"/>
    </row>
    <row r="511" spans="1:21">
      <c r="A511" s="82"/>
      <c r="B511" s="83"/>
      <c r="C511" s="82"/>
      <c r="D511" s="82"/>
      <c r="E511" s="82"/>
      <c r="F511" s="82"/>
      <c r="G511" s="222"/>
      <c r="H511" s="222"/>
      <c r="I511" s="222"/>
      <c r="J511" s="6"/>
      <c r="K511" s="6"/>
      <c r="L511" s="6"/>
      <c r="M511" s="6"/>
      <c r="N511" s="6"/>
      <c r="O511" s="6"/>
      <c r="P511" s="6"/>
      <c r="Q511" s="6"/>
      <c r="R511" s="6"/>
      <c r="S511" s="6"/>
      <c r="T511" s="6"/>
      <c r="U511" s="6"/>
    </row>
    <row r="512" spans="1:21">
      <c r="A512" s="82"/>
      <c r="B512" s="83"/>
      <c r="C512" s="82"/>
      <c r="D512" s="82"/>
      <c r="E512" s="82"/>
      <c r="F512" s="82"/>
      <c r="G512" s="222"/>
      <c r="H512" s="222"/>
      <c r="I512" s="222"/>
      <c r="J512" s="6"/>
      <c r="K512" s="6"/>
      <c r="L512" s="6"/>
      <c r="M512" s="6"/>
      <c r="N512" s="6"/>
      <c r="O512" s="6"/>
      <c r="P512" s="6"/>
      <c r="Q512" s="6"/>
      <c r="R512" s="6"/>
      <c r="S512" s="6"/>
      <c r="T512" s="6"/>
      <c r="U512" s="6"/>
    </row>
    <row r="513" spans="1:21">
      <c r="A513" s="82"/>
      <c r="B513" s="83"/>
      <c r="C513" s="82"/>
      <c r="D513" s="82"/>
      <c r="E513" s="82"/>
      <c r="F513" s="82"/>
      <c r="G513" s="222"/>
      <c r="H513" s="222"/>
      <c r="I513" s="222"/>
      <c r="J513" s="6"/>
      <c r="K513" s="6"/>
      <c r="L513" s="6"/>
      <c r="M513" s="6"/>
      <c r="N513" s="6"/>
      <c r="O513" s="6"/>
      <c r="P513" s="6"/>
      <c r="Q513" s="6"/>
      <c r="R513" s="6"/>
      <c r="S513" s="6"/>
      <c r="T513" s="6"/>
      <c r="U513" s="6"/>
    </row>
    <row r="514" spans="1:21">
      <c r="A514" s="82"/>
      <c r="B514" s="83"/>
      <c r="C514" s="82"/>
      <c r="D514" s="82"/>
      <c r="E514" s="82"/>
      <c r="F514" s="82"/>
      <c r="G514" s="222"/>
      <c r="H514" s="222"/>
      <c r="I514" s="222"/>
      <c r="J514" s="6"/>
      <c r="K514" s="6"/>
      <c r="L514" s="6"/>
      <c r="M514" s="6"/>
      <c r="N514" s="6"/>
      <c r="O514" s="6"/>
      <c r="P514" s="6"/>
      <c r="Q514" s="6"/>
      <c r="R514" s="6"/>
      <c r="S514" s="6"/>
      <c r="T514" s="6"/>
      <c r="U514" s="6"/>
    </row>
    <row r="515" spans="1:21">
      <c r="A515" s="82"/>
      <c r="B515" s="83"/>
      <c r="C515" s="82"/>
      <c r="D515" s="82"/>
      <c r="E515" s="82"/>
      <c r="F515" s="82"/>
      <c r="G515" s="222"/>
      <c r="H515" s="222"/>
      <c r="I515" s="222"/>
      <c r="J515" s="6"/>
      <c r="K515" s="6"/>
      <c r="L515" s="6"/>
      <c r="M515" s="6"/>
      <c r="N515" s="6"/>
      <c r="O515" s="6"/>
      <c r="P515" s="6"/>
      <c r="Q515" s="6"/>
      <c r="R515" s="6"/>
      <c r="S515" s="6"/>
      <c r="T515" s="6"/>
      <c r="U515" s="6"/>
    </row>
    <row r="516" spans="1:21">
      <c r="A516" s="82"/>
      <c r="B516" s="83"/>
      <c r="C516" s="82"/>
      <c r="D516" s="82"/>
      <c r="E516" s="82"/>
      <c r="F516" s="82"/>
      <c r="G516" s="222"/>
      <c r="H516" s="222"/>
      <c r="I516" s="222"/>
      <c r="J516" s="6"/>
      <c r="K516" s="6"/>
      <c r="L516" s="6"/>
      <c r="M516" s="6"/>
      <c r="N516" s="6"/>
      <c r="O516" s="6"/>
      <c r="P516" s="6"/>
      <c r="Q516" s="6"/>
      <c r="R516" s="6"/>
      <c r="S516" s="6"/>
      <c r="T516" s="6"/>
      <c r="U516" s="6"/>
    </row>
    <row r="517" spans="1:21">
      <c r="A517" s="82"/>
      <c r="B517" s="83"/>
      <c r="C517" s="82"/>
      <c r="D517" s="82"/>
      <c r="E517" s="82"/>
      <c r="F517" s="82"/>
      <c r="G517" s="222"/>
      <c r="H517" s="222"/>
      <c r="I517" s="222"/>
      <c r="J517" s="6"/>
      <c r="K517" s="6"/>
      <c r="L517" s="6"/>
      <c r="M517" s="6"/>
      <c r="N517" s="6"/>
      <c r="O517" s="6"/>
      <c r="P517" s="6"/>
      <c r="Q517" s="6"/>
      <c r="R517" s="6"/>
      <c r="S517" s="6"/>
      <c r="T517" s="6"/>
      <c r="U517" s="6"/>
    </row>
    <row r="518" spans="1:21">
      <c r="A518" s="82"/>
      <c r="B518" s="83"/>
      <c r="C518" s="82"/>
      <c r="D518" s="82"/>
      <c r="E518" s="82"/>
      <c r="F518" s="82"/>
      <c r="G518" s="222"/>
      <c r="H518" s="222"/>
      <c r="I518" s="222"/>
      <c r="J518" s="6"/>
      <c r="K518" s="6"/>
      <c r="L518" s="6"/>
      <c r="M518" s="6"/>
      <c r="N518" s="6"/>
      <c r="O518" s="6"/>
      <c r="P518" s="6"/>
      <c r="Q518" s="6"/>
      <c r="R518" s="6"/>
      <c r="S518" s="6"/>
      <c r="T518" s="6"/>
      <c r="U518" s="6"/>
    </row>
    <row r="519" spans="1:21">
      <c r="A519" s="82"/>
      <c r="B519" s="83"/>
      <c r="C519" s="82"/>
      <c r="D519" s="82"/>
      <c r="E519" s="82"/>
      <c r="F519" s="82"/>
      <c r="G519" s="222"/>
      <c r="H519" s="222"/>
      <c r="I519" s="222"/>
      <c r="J519" s="6"/>
      <c r="K519" s="6"/>
      <c r="L519" s="6"/>
      <c r="M519" s="6"/>
      <c r="N519" s="6"/>
      <c r="O519" s="6"/>
      <c r="P519" s="6"/>
      <c r="Q519" s="6"/>
      <c r="R519" s="6"/>
      <c r="S519" s="6"/>
      <c r="T519" s="6"/>
      <c r="U519" s="6"/>
    </row>
    <row r="520" spans="1:21">
      <c r="A520" s="82"/>
      <c r="B520" s="83"/>
      <c r="C520" s="82"/>
      <c r="D520" s="82"/>
      <c r="E520" s="82"/>
      <c r="F520" s="82"/>
      <c r="G520" s="222"/>
      <c r="H520" s="222"/>
      <c r="I520" s="222"/>
      <c r="J520" s="6"/>
      <c r="K520" s="6"/>
      <c r="L520" s="6"/>
      <c r="M520" s="6"/>
      <c r="N520" s="6"/>
      <c r="O520" s="6"/>
      <c r="P520" s="6"/>
      <c r="Q520" s="6"/>
      <c r="R520" s="6"/>
      <c r="S520" s="6"/>
      <c r="T520" s="6"/>
      <c r="U520" s="6"/>
    </row>
    <row r="521" spans="1:21">
      <c r="A521" s="82"/>
      <c r="B521" s="83"/>
      <c r="C521" s="82"/>
      <c r="D521" s="82"/>
      <c r="E521" s="82"/>
      <c r="F521" s="82"/>
      <c r="G521" s="222"/>
      <c r="H521" s="222"/>
      <c r="I521" s="222"/>
      <c r="J521" s="6"/>
      <c r="K521" s="6"/>
      <c r="L521" s="6"/>
      <c r="M521" s="6"/>
      <c r="N521" s="6"/>
      <c r="O521" s="6"/>
      <c r="P521" s="6"/>
      <c r="Q521" s="6"/>
      <c r="R521" s="6"/>
      <c r="S521" s="6"/>
      <c r="T521" s="6"/>
      <c r="U521" s="6"/>
    </row>
    <row r="522" spans="1:21">
      <c r="A522" s="82"/>
      <c r="B522" s="83"/>
      <c r="C522" s="82"/>
      <c r="D522" s="82"/>
      <c r="E522" s="82"/>
      <c r="F522" s="82"/>
      <c r="G522" s="222"/>
      <c r="H522" s="222"/>
      <c r="I522" s="222"/>
      <c r="J522" s="6"/>
      <c r="K522" s="6"/>
      <c r="L522" s="6"/>
      <c r="M522" s="6"/>
      <c r="N522" s="6"/>
      <c r="O522" s="6"/>
      <c r="P522" s="6"/>
      <c r="Q522" s="6"/>
      <c r="R522" s="6"/>
      <c r="S522" s="6"/>
      <c r="T522" s="6"/>
      <c r="U522" s="6"/>
    </row>
    <row r="523" spans="1:21">
      <c r="A523" s="82"/>
      <c r="B523" s="83"/>
      <c r="C523" s="82"/>
      <c r="D523" s="82"/>
      <c r="E523" s="82"/>
      <c r="F523" s="82"/>
      <c r="G523" s="222"/>
      <c r="H523" s="222"/>
      <c r="I523" s="222"/>
      <c r="J523" s="6"/>
      <c r="K523" s="6"/>
      <c r="L523" s="6"/>
      <c r="M523" s="6"/>
      <c r="N523" s="6"/>
      <c r="O523" s="6"/>
      <c r="P523" s="6"/>
      <c r="Q523" s="6"/>
      <c r="R523" s="6"/>
      <c r="S523" s="6"/>
      <c r="T523" s="6"/>
      <c r="U523" s="6"/>
    </row>
    <row r="524" spans="1:21">
      <c r="A524" s="82"/>
      <c r="B524" s="83"/>
      <c r="C524" s="82"/>
      <c r="D524" s="82"/>
      <c r="E524" s="82"/>
      <c r="F524" s="82"/>
      <c r="G524" s="222"/>
      <c r="H524" s="222"/>
      <c r="I524" s="222"/>
      <c r="J524" s="6"/>
      <c r="K524" s="6"/>
      <c r="L524" s="6"/>
      <c r="M524" s="6"/>
      <c r="N524" s="6"/>
      <c r="O524" s="6"/>
      <c r="P524" s="6"/>
      <c r="Q524" s="6"/>
      <c r="R524" s="6"/>
      <c r="S524" s="6"/>
      <c r="T524" s="6"/>
      <c r="U524" s="6"/>
    </row>
    <row r="525" spans="1:21">
      <c r="A525" s="82"/>
      <c r="B525" s="83"/>
      <c r="C525" s="82"/>
      <c r="D525" s="82"/>
      <c r="E525" s="82"/>
      <c r="F525" s="82"/>
      <c r="G525" s="222"/>
      <c r="H525" s="222"/>
      <c r="I525" s="222"/>
      <c r="J525" s="6"/>
      <c r="K525" s="6"/>
      <c r="L525" s="6"/>
      <c r="M525" s="6"/>
      <c r="N525" s="6"/>
      <c r="O525" s="6"/>
      <c r="P525" s="6"/>
      <c r="Q525" s="6"/>
      <c r="R525" s="6"/>
      <c r="S525" s="6"/>
      <c r="T525" s="6"/>
      <c r="U525" s="6"/>
    </row>
    <row r="526" spans="1:21">
      <c r="A526" s="82"/>
      <c r="B526" s="83"/>
      <c r="C526" s="82"/>
      <c r="D526" s="82"/>
      <c r="E526" s="82"/>
      <c r="F526" s="82"/>
      <c r="G526" s="222"/>
      <c r="H526" s="222"/>
      <c r="I526" s="222"/>
      <c r="J526" s="6"/>
      <c r="K526" s="6"/>
      <c r="L526" s="6"/>
      <c r="M526" s="6"/>
      <c r="N526" s="6"/>
      <c r="O526" s="6"/>
      <c r="P526" s="6"/>
      <c r="Q526" s="6"/>
      <c r="R526" s="6"/>
      <c r="S526" s="6"/>
      <c r="T526" s="6"/>
      <c r="U526" s="6"/>
    </row>
    <row r="527" spans="1:21">
      <c r="A527" s="82"/>
      <c r="B527" s="83"/>
      <c r="C527" s="82"/>
      <c r="D527" s="82"/>
      <c r="E527" s="82"/>
      <c r="F527" s="82"/>
      <c r="G527" s="222"/>
      <c r="H527" s="222"/>
      <c r="I527" s="222"/>
      <c r="J527" s="6"/>
      <c r="K527" s="6"/>
      <c r="L527" s="6"/>
      <c r="M527" s="6"/>
      <c r="N527" s="6"/>
      <c r="O527" s="6"/>
      <c r="P527" s="6"/>
      <c r="Q527" s="6"/>
      <c r="R527" s="6"/>
      <c r="S527" s="6"/>
      <c r="T527" s="6"/>
      <c r="U527" s="6"/>
    </row>
    <row r="528" spans="1:21">
      <c r="A528" s="82"/>
      <c r="B528" s="83"/>
      <c r="C528" s="82"/>
      <c r="D528" s="82"/>
      <c r="E528" s="82"/>
      <c r="F528" s="82"/>
      <c r="G528" s="222"/>
      <c r="H528" s="222"/>
      <c r="I528" s="222"/>
      <c r="J528" s="6"/>
      <c r="K528" s="6"/>
      <c r="L528" s="6"/>
      <c r="M528" s="6"/>
      <c r="N528" s="6"/>
      <c r="O528" s="6"/>
      <c r="P528" s="6"/>
      <c r="Q528" s="6"/>
      <c r="R528" s="6"/>
      <c r="S528" s="6"/>
      <c r="T528" s="6"/>
      <c r="U528" s="6"/>
    </row>
    <row r="529" spans="1:21">
      <c r="A529" s="82"/>
      <c r="B529" s="83"/>
      <c r="C529" s="82"/>
      <c r="D529" s="82"/>
      <c r="E529" s="82"/>
      <c r="F529" s="82"/>
      <c r="G529" s="222"/>
      <c r="H529" s="222"/>
      <c r="I529" s="222"/>
      <c r="J529" s="6"/>
      <c r="K529" s="6"/>
      <c r="L529" s="6"/>
      <c r="M529" s="6"/>
      <c r="N529" s="6"/>
      <c r="O529" s="6"/>
      <c r="P529" s="6"/>
      <c r="Q529" s="6"/>
      <c r="R529" s="6"/>
      <c r="S529" s="6"/>
      <c r="T529" s="6"/>
      <c r="U529" s="6"/>
    </row>
    <row r="530" spans="1:21">
      <c r="A530" s="82"/>
      <c r="B530" s="83"/>
      <c r="C530" s="82"/>
      <c r="D530" s="82"/>
      <c r="E530" s="82"/>
      <c r="F530" s="82"/>
      <c r="G530" s="222"/>
      <c r="H530" s="222"/>
      <c r="I530" s="222"/>
      <c r="J530" s="6"/>
      <c r="K530" s="6"/>
      <c r="L530" s="6"/>
      <c r="M530" s="6"/>
      <c r="N530" s="6"/>
      <c r="O530" s="6"/>
      <c r="P530" s="6"/>
      <c r="Q530" s="6"/>
      <c r="R530" s="6"/>
      <c r="S530" s="6"/>
      <c r="T530" s="6"/>
      <c r="U530" s="6"/>
    </row>
    <row r="531" spans="1:21">
      <c r="A531" s="82"/>
      <c r="B531" s="83"/>
      <c r="C531" s="82"/>
      <c r="D531" s="82"/>
      <c r="E531" s="82"/>
      <c r="F531" s="82"/>
      <c r="G531" s="222"/>
      <c r="H531" s="222"/>
      <c r="I531" s="222"/>
      <c r="J531" s="6"/>
      <c r="K531" s="6"/>
      <c r="L531" s="6"/>
      <c r="M531" s="6"/>
      <c r="N531" s="6"/>
      <c r="O531" s="6"/>
      <c r="P531" s="6"/>
      <c r="Q531" s="6"/>
      <c r="R531" s="6"/>
      <c r="S531" s="6"/>
      <c r="T531" s="6"/>
      <c r="U531" s="6"/>
    </row>
    <row r="532" spans="1:21">
      <c r="A532" s="82"/>
      <c r="B532" s="83"/>
      <c r="C532" s="82"/>
      <c r="D532" s="82"/>
      <c r="E532" s="82"/>
      <c r="F532" s="82"/>
      <c r="G532" s="222"/>
      <c r="H532" s="222"/>
      <c r="I532" s="222"/>
      <c r="J532" s="6"/>
      <c r="K532" s="6"/>
      <c r="L532" s="6"/>
      <c r="M532" s="6"/>
      <c r="N532" s="6"/>
      <c r="O532" s="6"/>
      <c r="P532" s="6"/>
      <c r="Q532" s="6"/>
      <c r="R532" s="6"/>
      <c r="S532" s="6"/>
      <c r="T532" s="6"/>
      <c r="U532" s="6"/>
    </row>
    <row r="533" spans="1:21">
      <c r="A533" s="82"/>
      <c r="B533" s="83"/>
      <c r="C533" s="82"/>
      <c r="D533" s="82"/>
      <c r="E533" s="82"/>
      <c r="F533" s="82"/>
      <c r="G533" s="222"/>
      <c r="H533" s="222"/>
      <c r="I533" s="222"/>
      <c r="J533" s="6"/>
      <c r="K533" s="6"/>
      <c r="L533" s="6"/>
      <c r="M533" s="6"/>
      <c r="N533" s="6"/>
      <c r="O533" s="6"/>
      <c r="P533" s="6"/>
      <c r="Q533" s="6"/>
      <c r="R533" s="6"/>
      <c r="S533" s="6"/>
      <c r="T533" s="6"/>
      <c r="U533" s="6"/>
    </row>
    <row r="534" spans="1:21">
      <c r="A534" s="82"/>
      <c r="B534" s="83"/>
      <c r="C534" s="82"/>
      <c r="D534" s="82"/>
      <c r="E534" s="82"/>
      <c r="F534" s="82"/>
      <c r="G534" s="222"/>
      <c r="H534" s="222"/>
      <c r="I534" s="222"/>
      <c r="J534" s="6"/>
      <c r="K534" s="6"/>
      <c r="L534" s="6"/>
      <c r="M534" s="6"/>
      <c r="N534" s="6"/>
      <c r="O534" s="6"/>
      <c r="P534" s="6"/>
      <c r="Q534" s="6"/>
      <c r="R534" s="6"/>
      <c r="S534" s="6"/>
      <c r="T534" s="6"/>
      <c r="U534" s="6"/>
    </row>
    <row r="535" spans="1:21">
      <c r="A535" s="82"/>
      <c r="B535" s="83"/>
      <c r="C535" s="82"/>
      <c r="D535" s="82"/>
      <c r="E535" s="82"/>
      <c r="F535" s="82"/>
      <c r="G535" s="222"/>
      <c r="H535" s="222"/>
      <c r="I535" s="222"/>
      <c r="J535" s="6"/>
      <c r="K535" s="6"/>
      <c r="L535" s="6"/>
      <c r="M535" s="6"/>
      <c r="N535" s="6"/>
      <c r="O535" s="6"/>
      <c r="P535" s="6"/>
      <c r="Q535" s="6"/>
      <c r="R535" s="6"/>
      <c r="S535" s="6"/>
      <c r="T535" s="6"/>
      <c r="U535" s="6"/>
    </row>
    <row r="536" spans="1:21">
      <c r="A536" s="82"/>
      <c r="B536" s="83"/>
      <c r="C536" s="82"/>
      <c r="D536" s="82"/>
      <c r="E536" s="82"/>
      <c r="F536" s="82"/>
      <c r="G536" s="222"/>
      <c r="H536" s="222"/>
      <c r="I536" s="222"/>
      <c r="J536" s="6"/>
      <c r="K536" s="6"/>
      <c r="L536" s="6"/>
      <c r="M536" s="6"/>
      <c r="N536" s="6"/>
      <c r="O536" s="6"/>
      <c r="P536" s="6"/>
      <c r="Q536" s="6"/>
      <c r="R536" s="6"/>
      <c r="S536" s="6"/>
      <c r="T536" s="6"/>
      <c r="U536" s="6"/>
    </row>
    <row r="537" spans="1:21">
      <c r="A537" s="82"/>
      <c r="B537" s="83"/>
      <c r="C537" s="82"/>
      <c r="D537" s="82"/>
      <c r="E537" s="82"/>
      <c r="F537" s="82"/>
      <c r="G537" s="222"/>
      <c r="H537" s="222"/>
      <c r="I537" s="222"/>
      <c r="J537" s="6"/>
      <c r="K537" s="6"/>
      <c r="L537" s="6"/>
      <c r="M537" s="6"/>
      <c r="N537" s="6"/>
      <c r="O537" s="6"/>
      <c r="P537" s="6"/>
      <c r="Q537" s="6"/>
      <c r="R537" s="6"/>
      <c r="S537" s="6"/>
      <c r="T537" s="6"/>
      <c r="U537" s="6"/>
    </row>
    <row r="538" spans="1:21">
      <c r="A538" s="82"/>
      <c r="B538" s="83"/>
      <c r="C538" s="82"/>
      <c r="D538" s="82"/>
      <c r="E538" s="82"/>
      <c r="F538" s="82"/>
      <c r="G538" s="222"/>
      <c r="H538" s="222"/>
      <c r="I538" s="222"/>
      <c r="J538" s="6"/>
      <c r="K538" s="6"/>
      <c r="L538" s="6"/>
      <c r="M538" s="6"/>
      <c r="N538" s="6"/>
      <c r="O538" s="6"/>
      <c r="P538" s="6"/>
      <c r="Q538" s="6"/>
      <c r="R538" s="6"/>
      <c r="S538" s="6"/>
      <c r="T538" s="6"/>
      <c r="U538" s="6"/>
    </row>
    <row r="539" spans="1:21">
      <c r="A539" s="82"/>
      <c r="B539" s="83"/>
      <c r="C539" s="82"/>
      <c r="D539" s="82"/>
      <c r="E539" s="82"/>
      <c r="F539" s="82"/>
      <c r="G539" s="222"/>
      <c r="H539" s="222"/>
      <c r="I539" s="222"/>
      <c r="J539" s="6"/>
      <c r="K539" s="6"/>
      <c r="L539" s="6"/>
      <c r="M539" s="6"/>
      <c r="N539" s="6"/>
      <c r="O539" s="6"/>
      <c r="P539" s="6"/>
      <c r="Q539" s="6"/>
      <c r="R539" s="6"/>
      <c r="S539" s="6"/>
      <c r="T539" s="6"/>
      <c r="U539" s="6"/>
    </row>
    <row r="540" spans="1:21">
      <c r="A540" s="82"/>
      <c r="B540" s="83"/>
      <c r="C540" s="82"/>
      <c r="D540" s="82"/>
      <c r="E540" s="82"/>
      <c r="F540" s="82"/>
      <c r="G540" s="222"/>
      <c r="H540" s="222"/>
      <c r="I540" s="222"/>
      <c r="J540" s="6"/>
      <c r="K540" s="6"/>
      <c r="L540" s="6"/>
      <c r="M540" s="6"/>
      <c r="N540" s="6"/>
      <c r="O540" s="6"/>
      <c r="P540" s="6"/>
      <c r="Q540" s="6"/>
      <c r="R540" s="6"/>
      <c r="S540" s="6"/>
      <c r="T540" s="6"/>
      <c r="U540" s="6"/>
    </row>
    <row r="541" spans="1:21">
      <c r="A541" s="82"/>
      <c r="B541" s="83"/>
      <c r="C541" s="82"/>
      <c r="D541" s="82"/>
      <c r="E541" s="82"/>
      <c r="F541" s="82"/>
      <c r="G541" s="222"/>
      <c r="H541" s="222"/>
      <c r="I541" s="222"/>
      <c r="J541" s="6"/>
      <c r="K541" s="6"/>
      <c r="L541" s="6"/>
      <c r="M541" s="6"/>
      <c r="N541" s="6"/>
      <c r="O541" s="6"/>
      <c r="P541" s="6"/>
      <c r="Q541" s="6"/>
      <c r="R541" s="6"/>
      <c r="S541" s="6"/>
      <c r="T541" s="6"/>
      <c r="U541" s="6"/>
    </row>
    <row r="542" spans="1:21">
      <c r="A542" s="82"/>
      <c r="B542" s="83"/>
      <c r="C542" s="82"/>
      <c r="D542" s="82"/>
      <c r="E542" s="82"/>
      <c r="F542" s="82"/>
      <c r="G542" s="222"/>
      <c r="H542" s="222"/>
      <c r="I542" s="222"/>
      <c r="J542" s="6"/>
      <c r="K542" s="6"/>
      <c r="L542" s="6"/>
      <c r="M542" s="6"/>
      <c r="N542" s="6"/>
      <c r="O542" s="6"/>
      <c r="P542" s="6"/>
      <c r="Q542" s="6"/>
      <c r="R542" s="6"/>
      <c r="S542" s="6"/>
      <c r="T542" s="6"/>
      <c r="U542" s="6"/>
    </row>
    <row r="543" spans="1:21">
      <c r="A543" s="82"/>
      <c r="B543" s="83"/>
      <c r="C543" s="82"/>
      <c r="D543" s="82"/>
      <c r="E543" s="82"/>
      <c r="F543" s="82"/>
      <c r="G543" s="222"/>
      <c r="H543" s="222"/>
      <c r="I543" s="222"/>
      <c r="J543" s="6"/>
      <c r="K543" s="6"/>
      <c r="L543" s="6"/>
      <c r="M543" s="6"/>
      <c r="N543" s="6"/>
      <c r="O543" s="6"/>
      <c r="P543" s="6"/>
      <c r="Q543" s="6"/>
      <c r="R543" s="6"/>
      <c r="S543" s="6"/>
      <c r="T543" s="6"/>
      <c r="U543" s="6"/>
    </row>
    <row r="544" spans="1:21">
      <c r="A544" s="82"/>
      <c r="B544" s="83"/>
      <c r="C544" s="82"/>
      <c r="D544" s="82"/>
      <c r="E544" s="82"/>
      <c r="F544" s="82"/>
      <c r="G544" s="222"/>
      <c r="H544" s="222"/>
      <c r="I544" s="222"/>
      <c r="J544" s="6"/>
      <c r="K544" s="6"/>
      <c r="L544" s="6"/>
      <c r="M544" s="6"/>
      <c r="N544" s="6"/>
      <c r="O544" s="6"/>
      <c r="P544" s="6"/>
      <c r="Q544" s="6"/>
      <c r="R544" s="6"/>
      <c r="S544" s="6"/>
      <c r="T544" s="6"/>
      <c r="U544" s="6"/>
    </row>
    <row r="545" spans="1:21">
      <c r="A545" s="82"/>
      <c r="B545" s="83"/>
      <c r="C545" s="82"/>
      <c r="D545" s="82"/>
      <c r="E545" s="82"/>
      <c r="F545" s="82"/>
      <c r="G545" s="222"/>
      <c r="H545" s="222"/>
      <c r="I545" s="222"/>
      <c r="J545" s="6"/>
      <c r="K545" s="6"/>
      <c r="L545" s="6"/>
      <c r="M545" s="6"/>
      <c r="N545" s="6"/>
      <c r="O545" s="6"/>
      <c r="P545" s="6"/>
      <c r="Q545" s="6"/>
      <c r="R545" s="6"/>
      <c r="S545" s="6"/>
      <c r="T545" s="6"/>
      <c r="U545" s="6"/>
    </row>
    <row r="546" spans="1:21">
      <c r="A546" s="82"/>
      <c r="B546" s="83"/>
      <c r="C546" s="82"/>
      <c r="D546" s="82"/>
      <c r="E546" s="82"/>
      <c r="F546" s="82"/>
      <c r="G546" s="222"/>
      <c r="H546" s="222"/>
      <c r="I546" s="222"/>
      <c r="J546" s="6"/>
      <c r="K546" s="6"/>
      <c r="L546" s="6"/>
      <c r="M546" s="6"/>
      <c r="N546" s="6"/>
      <c r="O546" s="6"/>
      <c r="P546" s="6"/>
      <c r="Q546" s="6"/>
      <c r="R546" s="6"/>
      <c r="S546" s="6"/>
      <c r="T546" s="6"/>
      <c r="U546" s="6"/>
    </row>
    <row r="547" spans="1:21">
      <c r="A547" s="82"/>
      <c r="B547" s="83"/>
      <c r="C547" s="82"/>
      <c r="D547" s="82"/>
      <c r="E547" s="82"/>
      <c r="F547" s="82"/>
      <c r="G547" s="222"/>
      <c r="H547" s="222"/>
      <c r="I547" s="222"/>
      <c r="J547" s="6"/>
      <c r="K547" s="6"/>
      <c r="L547" s="6"/>
      <c r="M547" s="6"/>
      <c r="N547" s="6"/>
      <c r="O547" s="6"/>
      <c r="P547" s="6"/>
      <c r="Q547" s="6"/>
      <c r="R547" s="6"/>
      <c r="S547" s="6"/>
      <c r="T547" s="6"/>
      <c r="U547" s="6"/>
    </row>
    <row r="548" spans="1:21">
      <c r="A548" s="82"/>
      <c r="B548" s="83"/>
      <c r="C548" s="82"/>
      <c r="D548" s="82"/>
      <c r="E548" s="82"/>
      <c r="F548" s="82"/>
      <c r="G548" s="222"/>
      <c r="H548" s="222"/>
      <c r="I548" s="222"/>
      <c r="J548" s="6"/>
      <c r="K548" s="6"/>
      <c r="L548" s="6"/>
      <c r="M548" s="6"/>
      <c r="N548" s="6"/>
      <c r="O548" s="6"/>
      <c r="P548" s="6"/>
      <c r="Q548" s="6"/>
      <c r="R548" s="6"/>
      <c r="S548" s="6"/>
      <c r="T548" s="6"/>
      <c r="U548" s="6"/>
    </row>
    <row r="549" spans="1:21">
      <c r="A549" s="82"/>
      <c r="B549" s="83"/>
      <c r="C549" s="82"/>
      <c r="D549" s="82"/>
      <c r="E549" s="82"/>
      <c r="F549" s="82"/>
      <c r="G549" s="222"/>
      <c r="H549" s="222"/>
      <c r="I549" s="222"/>
      <c r="J549" s="6"/>
      <c r="K549" s="6"/>
      <c r="L549" s="6"/>
      <c r="M549" s="6"/>
      <c r="N549" s="6"/>
      <c r="O549" s="6"/>
      <c r="P549" s="6"/>
      <c r="Q549" s="6"/>
      <c r="R549" s="6"/>
      <c r="S549" s="6"/>
      <c r="T549" s="6"/>
      <c r="U549" s="6"/>
    </row>
    <row r="550" spans="1:21">
      <c r="A550" s="82"/>
      <c r="B550" s="83"/>
      <c r="C550" s="82"/>
      <c r="D550" s="82"/>
      <c r="E550" s="82"/>
      <c r="F550" s="82"/>
      <c r="G550" s="222"/>
      <c r="H550" s="222"/>
      <c r="I550" s="222"/>
      <c r="J550" s="6"/>
      <c r="K550" s="6"/>
      <c r="L550" s="6"/>
      <c r="M550" s="6"/>
      <c r="N550" s="6"/>
      <c r="O550" s="6"/>
      <c r="P550" s="6"/>
      <c r="Q550" s="6"/>
      <c r="R550" s="6"/>
      <c r="S550" s="6"/>
      <c r="T550" s="6"/>
      <c r="U550" s="6"/>
    </row>
    <row r="551" spans="1:21">
      <c r="A551" s="82"/>
      <c r="B551" s="83"/>
      <c r="C551" s="82"/>
      <c r="D551" s="82"/>
      <c r="E551" s="82"/>
      <c r="F551" s="82"/>
      <c r="G551" s="222"/>
      <c r="H551" s="222"/>
      <c r="I551" s="222"/>
      <c r="J551" s="6"/>
      <c r="K551" s="6"/>
      <c r="L551" s="6"/>
      <c r="M551" s="6"/>
      <c r="N551" s="6"/>
      <c r="O551" s="6"/>
      <c r="P551" s="6"/>
      <c r="Q551" s="6"/>
      <c r="R551" s="6"/>
      <c r="S551" s="6"/>
      <c r="T551" s="6"/>
      <c r="U551" s="6"/>
    </row>
    <row r="552" spans="1:21">
      <c r="A552" s="82"/>
      <c r="B552" s="83"/>
      <c r="C552" s="82"/>
      <c r="D552" s="82"/>
      <c r="E552" s="82"/>
      <c r="F552" s="82"/>
      <c r="G552" s="222"/>
      <c r="H552" s="222"/>
      <c r="I552" s="222"/>
      <c r="J552" s="6"/>
      <c r="K552" s="6"/>
      <c r="L552" s="6"/>
      <c r="M552" s="6"/>
      <c r="N552" s="6"/>
      <c r="O552" s="6"/>
      <c r="P552" s="6"/>
      <c r="Q552" s="6"/>
      <c r="R552" s="6"/>
      <c r="S552" s="6"/>
      <c r="T552" s="6"/>
      <c r="U552" s="6"/>
    </row>
    <row r="553" spans="1:21">
      <c r="A553" s="82"/>
      <c r="B553" s="83"/>
      <c r="C553" s="82"/>
      <c r="D553" s="82"/>
      <c r="E553" s="82"/>
      <c r="F553" s="82"/>
      <c r="G553" s="222"/>
      <c r="H553" s="222"/>
      <c r="I553" s="222"/>
      <c r="J553" s="6"/>
      <c r="K553" s="6"/>
      <c r="L553" s="6"/>
      <c r="M553" s="6"/>
      <c r="N553" s="6"/>
      <c r="O553" s="6"/>
      <c r="P553" s="6"/>
      <c r="Q553" s="6"/>
      <c r="R553" s="6"/>
      <c r="S553" s="6"/>
      <c r="T553" s="6"/>
      <c r="U553" s="6"/>
    </row>
    <row r="554" spans="1:21">
      <c r="A554" s="82"/>
      <c r="B554" s="83"/>
      <c r="C554" s="82"/>
      <c r="D554" s="82"/>
      <c r="E554" s="82"/>
      <c r="F554" s="82"/>
      <c r="G554" s="222"/>
      <c r="H554" s="222"/>
      <c r="I554" s="222"/>
      <c r="J554" s="6"/>
      <c r="K554" s="6"/>
      <c r="L554" s="6"/>
      <c r="M554" s="6"/>
      <c r="N554" s="6"/>
      <c r="O554" s="6"/>
      <c r="P554" s="6"/>
      <c r="Q554" s="6"/>
      <c r="R554" s="6"/>
      <c r="S554" s="6"/>
      <c r="T554" s="6"/>
      <c r="U554" s="6"/>
    </row>
    <row r="555" spans="1:21">
      <c r="A555" s="82"/>
      <c r="B555" s="83"/>
      <c r="C555" s="82"/>
      <c r="D555" s="82"/>
      <c r="E555" s="82"/>
      <c r="F555" s="82"/>
      <c r="G555" s="222"/>
      <c r="H555" s="222"/>
      <c r="I555" s="222"/>
      <c r="J555" s="6"/>
      <c r="K555" s="6"/>
      <c r="L555" s="6"/>
      <c r="M555" s="6"/>
      <c r="N555" s="6"/>
      <c r="O555" s="6"/>
      <c r="P555" s="6"/>
      <c r="Q555" s="6"/>
      <c r="R555" s="6"/>
      <c r="S555" s="6"/>
      <c r="T555" s="6"/>
      <c r="U555" s="6"/>
    </row>
    <row r="556" spans="1:21">
      <c r="A556" s="82"/>
      <c r="B556" s="83"/>
      <c r="C556" s="82"/>
      <c r="D556" s="82"/>
      <c r="E556" s="82"/>
      <c r="F556" s="82"/>
      <c r="G556" s="222"/>
      <c r="H556" s="222"/>
      <c r="I556" s="222"/>
      <c r="J556" s="6"/>
      <c r="K556" s="6"/>
      <c r="L556" s="6"/>
      <c r="M556" s="6"/>
      <c r="N556" s="6"/>
      <c r="O556" s="6"/>
      <c r="P556" s="6"/>
      <c r="Q556" s="6"/>
      <c r="R556" s="6"/>
      <c r="S556" s="6"/>
      <c r="T556" s="6"/>
      <c r="U556" s="6"/>
    </row>
    <row r="557" spans="1:21">
      <c r="A557" s="82"/>
      <c r="B557" s="83"/>
      <c r="C557" s="82"/>
      <c r="D557" s="82"/>
      <c r="E557" s="82"/>
      <c r="F557" s="82"/>
      <c r="G557" s="222"/>
      <c r="H557" s="222"/>
      <c r="I557" s="222"/>
      <c r="J557" s="6"/>
      <c r="K557" s="6"/>
      <c r="L557" s="6"/>
      <c r="M557" s="6"/>
      <c r="N557" s="6"/>
      <c r="O557" s="6"/>
      <c r="P557" s="6"/>
      <c r="Q557" s="6"/>
      <c r="R557" s="6"/>
      <c r="S557" s="6"/>
      <c r="T557" s="6"/>
      <c r="U557" s="6"/>
    </row>
    <row r="558" spans="1:21">
      <c r="A558" s="82"/>
      <c r="B558" s="83"/>
      <c r="C558" s="82"/>
      <c r="D558" s="82"/>
      <c r="E558" s="82"/>
      <c r="F558" s="82"/>
      <c r="G558" s="222"/>
      <c r="H558" s="222"/>
      <c r="I558" s="222"/>
      <c r="J558" s="6"/>
      <c r="K558" s="6"/>
      <c r="L558" s="6"/>
      <c r="M558" s="6"/>
      <c r="N558" s="6"/>
      <c r="O558" s="6"/>
      <c r="P558" s="6"/>
      <c r="Q558" s="6"/>
      <c r="R558" s="6"/>
      <c r="S558" s="6"/>
      <c r="T558" s="6"/>
      <c r="U558" s="6"/>
    </row>
    <row r="559" spans="1:21">
      <c r="A559" s="82"/>
      <c r="B559" s="83"/>
      <c r="C559" s="82"/>
      <c r="D559" s="82"/>
      <c r="E559" s="82"/>
      <c r="F559" s="82"/>
      <c r="G559" s="222"/>
      <c r="H559" s="222"/>
      <c r="I559" s="222"/>
      <c r="J559" s="6"/>
      <c r="K559" s="6"/>
      <c r="L559" s="6"/>
      <c r="M559" s="6"/>
      <c r="N559" s="6"/>
      <c r="O559" s="6"/>
      <c r="P559" s="6"/>
      <c r="Q559" s="6"/>
      <c r="R559" s="6"/>
      <c r="S559" s="6"/>
      <c r="T559" s="6"/>
      <c r="U559" s="6"/>
    </row>
    <row r="560" spans="1:21">
      <c r="A560" s="82"/>
      <c r="B560" s="83"/>
      <c r="C560" s="82"/>
      <c r="D560" s="82"/>
      <c r="E560" s="82"/>
      <c r="F560" s="82"/>
      <c r="G560" s="222"/>
      <c r="H560" s="222"/>
      <c r="I560" s="222"/>
      <c r="J560" s="6"/>
      <c r="K560" s="6"/>
      <c r="L560" s="6"/>
      <c r="M560" s="6"/>
      <c r="N560" s="6"/>
      <c r="O560" s="6"/>
      <c r="P560" s="6"/>
      <c r="Q560" s="6"/>
      <c r="R560" s="6"/>
      <c r="S560" s="6"/>
      <c r="T560" s="6"/>
      <c r="U560" s="6"/>
    </row>
    <row r="561" spans="1:21">
      <c r="A561" s="82"/>
      <c r="B561" s="83"/>
      <c r="C561" s="82"/>
      <c r="D561" s="82"/>
      <c r="E561" s="82"/>
      <c r="F561" s="82"/>
      <c r="G561" s="222"/>
      <c r="H561" s="222"/>
      <c r="I561" s="222"/>
      <c r="J561" s="6"/>
      <c r="K561" s="6"/>
      <c r="L561" s="6"/>
      <c r="M561" s="6"/>
      <c r="N561" s="6"/>
      <c r="O561" s="6"/>
      <c r="P561" s="6"/>
      <c r="Q561" s="6"/>
      <c r="R561" s="6"/>
      <c r="S561" s="6"/>
      <c r="T561" s="6"/>
      <c r="U561" s="6"/>
    </row>
    <row r="562" spans="1:21">
      <c r="A562" s="82"/>
      <c r="B562" s="83"/>
      <c r="C562" s="82"/>
      <c r="D562" s="82"/>
      <c r="E562" s="82"/>
      <c r="F562" s="82"/>
      <c r="G562" s="222"/>
      <c r="H562" s="222"/>
      <c r="I562" s="222"/>
      <c r="J562" s="6"/>
      <c r="K562" s="6"/>
      <c r="L562" s="6"/>
      <c r="M562" s="6"/>
      <c r="N562" s="6"/>
      <c r="O562" s="6"/>
      <c r="P562" s="6"/>
      <c r="Q562" s="6"/>
      <c r="R562" s="6"/>
      <c r="S562" s="6"/>
      <c r="T562" s="6"/>
      <c r="U562" s="6"/>
    </row>
    <row r="563" spans="1:21">
      <c r="A563" s="82"/>
      <c r="B563" s="83"/>
      <c r="C563" s="82"/>
      <c r="D563" s="82"/>
      <c r="E563" s="82"/>
      <c r="F563" s="82"/>
      <c r="G563" s="222"/>
      <c r="H563" s="222"/>
      <c r="I563" s="222"/>
      <c r="J563" s="6"/>
      <c r="K563" s="6"/>
      <c r="L563" s="6"/>
      <c r="M563" s="6"/>
      <c r="N563" s="6"/>
      <c r="O563" s="6"/>
      <c r="P563" s="6"/>
      <c r="Q563" s="6"/>
      <c r="R563" s="6"/>
      <c r="S563" s="6"/>
      <c r="T563" s="6"/>
      <c r="U563" s="6"/>
    </row>
    <row r="564" spans="1:21">
      <c r="A564" s="82"/>
      <c r="B564" s="83"/>
      <c r="C564" s="82"/>
      <c r="D564" s="82"/>
      <c r="E564" s="82"/>
      <c r="F564" s="82"/>
      <c r="G564" s="222"/>
      <c r="H564" s="222"/>
      <c r="I564" s="222"/>
      <c r="J564" s="6"/>
      <c r="K564" s="6"/>
      <c r="L564" s="6"/>
      <c r="M564" s="6"/>
      <c r="N564" s="6"/>
      <c r="O564" s="6"/>
      <c r="P564" s="6"/>
      <c r="Q564" s="6"/>
      <c r="R564" s="6"/>
      <c r="S564" s="6"/>
      <c r="T564" s="6"/>
      <c r="U564" s="6"/>
    </row>
    <row r="565" spans="1:21">
      <c r="A565" s="82"/>
      <c r="B565" s="83"/>
      <c r="C565" s="82"/>
      <c r="D565" s="82"/>
      <c r="E565" s="82"/>
      <c r="F565" s="82"/>
      <c r="G565" s="222"/>
      <c r="H565" s="222"/>
      <c r="I565" s="222"/>
      <c r="J565" s="6"/>
      <c r="K565" s="6"/>
      <c r="L565" s="6"/>
      <c r="M565" s="6"/>
      <c r="N565" s="6"/>
      <c r="O565" s="6"/>
      <c r="P565" s="6"/>
      <c r="Q565" s="6"/>
      <c r="R565" s="6"/>
      <c r="S565" s="6"/>
      <c r="T565" s="6"/>
      <c r="U565" s="6"/>
    </row>
    <row r="566" spans="1:21">
      <c r="A566" s="82"/>
      <c r="B566" s="83"/>
      <c r="C566" s="82"/>
      <c r="D566" s="82"/>
      <c r="E566" s="82"/>
      <c r="F566" s="82"/>
      <c r="G566" s="222"/>
      <c r="H566" s="222"/>
      <c r="I566" s="222"/>
      <c r="J566" s="6"/>
      <c r="K566" s="6"/>
      <c r="L566" s="6"/>
      <c r="M566" s="6"/>
      <c r="N566" s="6"/>
      <c r="O566" s="6"/>
      <c r="P566" s="6"/>
      <c r="Q566" s="6"/>
      <c r="R566" s="6"/>
      <c r="S566" s="6"/>
      <c r="T566" s="6"/>
      <c r="U566" s="6"/>
    </row>
    <row r="567" spans="1:21">
      <c r="A567" s="82"/>
      <c r="B567" s="83"/>
      <c r="C567" s="82"/>
      <c r="D567" s="82"/>
      <c r="E567" s="82"/>
      <c r="F567" s="82"/>
      <c r="G567" s="222"/>
      <c r="H567" s="222"/>
      <c r="I567" s="222"/>
      <c r="J567" s="6"/>
      <c r="K567" s="6"/>
      <c r="L567" s="6"/>
      <c r="M567" s="6"/>
      <c r="N567" s="6"/>
      <c r="O567" s="6"/>
      <c r="P567" s="6"/>
      <c r="Q567" s="6"/>
      <c r="R567" s="6"/>
      <c r="S567" s="6"/>
      <c r="T567" s="6"/>
      <c r="U567" s="6"/>
    </row>
    <row r="568" spans="1:21">
      <c r="A568" s="82"/>
      <c r="B568" s="83"/>
      <c r="C568" s="82"/>
      <c r="D568" s="82"/>
      <c r="E568" s="82"/>
      <c r="F568" s="82"/>
      <c r="G568" s="222"/>
      <c r="H568" s="222"/>
      <c r="I568" s="222"/>
      <c r="J568" s="6"/>
      <c r="K568" s="6"/>
      <c r="L568" s="6"/>
      <c r="M568" s="6"/>
      <c r="N568" s="6"/>
      <c r="O568" s="6"/>
      <c r="P568" s="6"/>
      <c r="Q568" s="6"/>
      <c r="R568" s="6"/>
      <c r="S568" s="6"/>
      <c r="T568" s="6"/>
      <c r="U568" s="6"/>
    </row>
    <row r="569" spans="1:21">
      <c r="A569" s="82"/>
      <c r="B569" s="83"/>
      <c r="C569" s="82"/>
      <c r="D569" s="82"/>
      <c r="E569" s="82"/>
      <c r="F569" s="82"/>
      <c r="G569" s="222"/>
      <c r="H569" s="222"/>
      <c r="I569" s="222"/>
      <c r="J569" s="6"/>
      <c r="K569" s="6"/>
      <c r="L569" s="6"/>
      <c r="M569" s="6"/>
      <c r="N569" s="6"/>
      <c r="O569" s="6"/>
      <c r="P569" s="6"/>
      <c r="Q569" s="6"/>
      <c r="R569" s="6"/>
      <c r="S569" s="6"/>
      <c r="T569" s="6"/>
      <c r="U569" s="6"/>
    </row>
    <row r="570" spans="1:21">
      <c r="A570" s="82"/>
      <c r="B570" s="83"/>
      <c r="C570" s="82"/>
      <c r="D570" s="82"/>
      <c r="E570" s="82"/>
      <c r="F570" s="82"/>
      <c r="G570" s="222"/>
      <c r="H570" s="222"/>
      <c r="I570" s="222"/>
      <c r="J570" s="6"/>
      <c r="K570" s="6"/>
      <c r="L570" s="6"/>
      <c r="M570" s="6"/>
      <c r="N570" s="6"/>
      <c r="O570" s="6"/>
      <c r="P570" s="6"/>
      <c r="Q570" s="6"/>
      <c r="R570" s="6"/>
      <c r="S570" s="6"/>
      <c r="T570" s="6"/>
      <c r="U570" s="6"/>
    </row>
    <row r="571" spans="1:21">
      <c r="A571" s="82"/>
      <c r="B571" s="83"/>
      <c r="C571" s="82"/>
      <c r="D571" s="82"/>
      <c r="E571" s="82"/>
      <c r="F571" s="82"/>
      <c r="G571" s="222"/>
      <c r="H571" s="222"/>
      <c r="I571" s="222"/>
      <c r="J571" s="6"/>
      <c r="K571" s="6"/>
      <c r="L571" s="6"/>
      <c r="M571" s="6"/>
      <c r="N571" s="6"/>
      <c r="O571" s="6"/>
      <c r="P571" s="6"/>
      <c r="Q571" s="6"/>
      <c r="R571" s="6"/>
      <c r="S571" s="6"/>
      <c r="T571" s="6"/>
      <c r="U571" s="6"/>
    </row>
    <row r="572" spans="1:21">
      <c r="A572" s="82"/>
      <c r="B572" s="83"/>
      <c r="C572" s="82"/>
      <c r="D572" s="82"/>
      <c r="E572" s="82"/>
      <c r="F572" s="82"/>
      <c r="G572" s="222"/>
      <c r="H572" s="222"/>
      <c r="I572" s="222"/>
      <c r="J572" s="6"/>
      <c r="K572" s="6"/>
      <c r="L572" s="6"/>
      <c r="M572" s="6"/>
      <c r="N572" s="6"/>
      <c r="O572" s="6"/>
      <c r="P572" s="6"/>
      <c r="Q572" s="6"/>
      <c r="R572" s="6"/>
      <c r="S572" s="6"/>
      <c r="T572" s="6"/>
      <c r="U572" s="6"/>
    </row>
    <row r="573" spans="1:21">
      <c r="A573" s="82"/>
      <c r="B573" s="83"/>
      <c r="C573" s="82"/>
      <c r="D573" s="82"/>
      <c r="E573" s="82"/>
      <c r="F573" s="82"/>
      <c r="G573" s="222"/>
      <c r="H573" s="222"/>
      <c r="I573" s="222"/>
      <c r="J573" s="6"/>
      <c r="K573" s="6"/>
      <c r="L573" s="6"/>
      <c r="M573" s="6"/>
      <c r="N573" s="6"/>
      <c r="O573" s="6"/>
      <c r="P573" s="6"/>
      <c r="Q573" s="6"/>
      <c r="R573" s="6"/>
      <c r="S573" s="6"/>
      <c r="T573" s="6"/>
      <c r="U573" s="6"/>
    </row>
    <row r="574" spans="1:21">
      <c r="A574" s="82"/>
      <c r="B574" s="83"/>
      <c r="C574" s="82"/>
      <c r="D574" s="82"/>
      <c r="E574" s="82"/>
      <c r="F574" s="82"/>
      <c r="G574" s="222"/>
      <c r="H574" s="222"/>
      <c r="I574" s="222"/>
      <c r="J574" s="6"/>
      <c r="K574" s="6"/>
      <c r="L574" s="6"/>
      <c r="M574" s="6"/>
      <c r="N574" s="6"/>
      <c r="O574" s="6"/>
      <c r="P574" s="6"/>
      <c r="Q574" s="6"/>
      <c r="R574" s="6"/>
      <c r="S574" s="6"/>
      <c r="T574" s="6"/>
      <c r="U574" s="6"/>
    </row>
    <row r="575" spans="1:21">
      <c r="A575" s="82"/>
      <c r="B575" s="83"/>
      <c r="C575" s="82"/>
      <c r="D575" s="82"/>
      <c r="E575" s="82"/>
      <c r="F575" s="82"/>
      <c r="G575" s="222"/>
      <c r="H575" s="222"/>
      <c r="I575" s="222"/>
      <c r="J575" s="6"/>
      <c r="K575" s="6"/>
      <c r="L575" s="6"/>
      <c r="M575" s="6"/>
      <c r="N575" s="6"/>
      <c r="O575" s="6"/>
      <c r="P575" s="6"/>
      <c r="Q575" s="6"/>
      <c r="R575" s="6"/>
      <c r="S575" s="6"/>
      <c r="T575" s="6"/>
      <c r="U575" s="6"/>
    </row>
    <row r="576" spans="1:21">
      <c r="A576" s="82"/>
      <c r="B576" s="83"/>
      <c r="C576" s="82"/>
      <c r="D576" s="82"/>
      <c r="E576" s="82"/>
      <c r="F576" s="82"/>
      <c r="G576" s="222"/>
      <c r="H576" s="222"/>
      <c r="I576" s="222"/>
      <c r="J576" s="6"/>
      <c r="K576" s="6"/>
      <c r="L576" s="6"/>
      <c r="M576" s="6"/>
      <c r="N576" s="6"/>
      <c r="O576" s="6"/>
      <c r="P576" s="6"/>
      <c r="Q576" s="6"/>
      <c r="R576" s="6"/>
      <c r="S576" s="6"/>
      <c r="T576" s="6"/>
      <c r="U576" s="6"/>
    </row>
    <row r="577" spans="1:21">
      <c r="A577" s="82"/>
      <c r="B577" s="83"/>
      <c r="C577" s="82"/>
      <c r="D577" s="82"/>
      <c r="E577" s="82"/>
      <c r="F577" s="82"/>
      <c r="G577" s="222"/>
      <c r="H577" s="222"/>
      <c r="I577" s="222"/>
      <c r="J577" s="6"/>
      <c r="K577" s="6"/>
      <c r="L577" s="6"/>
      <c r="M577" s="6"/>
      <c r="N577" s="6"/>
      <c r="O577" s="6"/>
      <c r="P577" s="6"/>
      <c r="Q577" s="6"/>
      <c r="R577" s="6"/>
      <c r="S577" s="6"/>
      <c r="T577" s="6"/>
      <c r="U577" s="6"/>
    </row>
    <row r="578" spans="1:21">
      <c r="A578" s="82"/>
      <c r="B578" s="83"/>
      <c r="C578" s="82"/>
      <c r="D578" s="82"/>
      <c r="E578" s="82"/>
      <c r="F578" s="82"/>
      <c r="G578" s="222"/>
      <c r="H578" s="222"/>
      <c r="I578" s="222"/>
      <c r="J578" s="6"/>
      <c r="K578" s="6"/>
      <c r="L578" s="6"/>
      <c r="M578" s="6"/>
      <c r="N578" s="6"/>
      <c r="O578" s="6"/>
      <c r="P578" s="6"/>
      <c r="Q578" s="6"/>
      <c r="R578" s="6"/>
      <c r="S578" s="6"/>
      <c r="T578" s="6"/>
      <c r="U578" s="6"/>
    </row>
    <row r="579" spans="1:21">
      <c r="A579" s="82"/>
      <c r="B579" s="83"/>
      <c r="C579" s="82"/>
      <c r="D579" s="82"/>
      <c r="E579" s="82"/>
      <c r="F579" s="82"/>
      <c r="G579" s="222"/>
      <c r="H579" s="222"/>
      <c r="I579" s="222"/>
      <c r="J579" s="6"/>
      <c r="K579" s="6"/>
      <c r="L579" s="6"/>
      <c r="M579" s="6"/>
      <c r="N579" s="6"/>
      <c r="O579" s="6"/>
      <c r="P579" s="6"/>
      <c r="Q579" s="6"/>
      <c r="R579" s="6"/>
      <c r="S579" s="6"/>
      <c r="T579" s="6"/>
      <c r="U579" s="6"/>
    </row>
    <row r="580" spans="1:21">
      <c r="A580" s="82"/>
      <c r="B580" s="83"/>
      <c r="C580" s="82"/>
      <c r="D580" s="82"/>
      <c r="E580" s="82"/>
      <c r="F580" s="82"/>
      <c r="G580" s="222"/>
      <c r="H580" s="222"/>
      <c r="I580" s="222"/>
      <c r="J580" s="6"/>
      <c r="K580" s="6"/>
      <c r="L580" s="6"/>
      <c r="M580" s="6"/>
      <c r="N580" s="6"/>
      <c r="O580" s="6"/>
      <c r="P580" s="6"/>
      <c r="Q580" s="6"/>
      <c r="R580" s="6"/>
      <c r="S580" s="6"/>
      <c r="T580" s="6"/>
      <c r="U580" s="6"/>
    </row>
    <row r="581" spans="1:21">
      <c r="A581" s="82"/>
      <c r="B581" s="83"/>
      <c r="C581" s="82"/>
      <c r="D581" s="82"/>
      <c r="E581" s="82"/>
      <c r="F581" s="82"/>
      <c r="G581" s="222"/>
      <c r="H581" s="222"/>
      <c r="I581" s="222"/>
      <c r="J581" s="6"/>
      <c r="K581" s="6"/>
      <c r="L581" s="6"/>
      <c r="M581" s="6"/>
      <c r="N581" s="6"/>
      <c r="O581" s="6"/>
      <c r="P581" s="6"/>
      <c r="Q581" s="6"/>
      <c r="R581" s="6"/>
      <c r="S581" s="6"/>
      <c r="T581" s="6"/>
      <c r="U581" s="6"/>
    </row>
    <row r="582" spans="1:21">
      <c r="A582" s="82"/>
      <c r="B582" s="83"/>
      <c r="C582" s="82"/>
      <c r="D582" s="82"/>
      <c r="E582" s="82"/>
      <c r="F582" s="82"/>
      <c r="G582" s="222"/>
      <c r="H582" s="222"/>
      <c r="I582" s="222"/>
      <c r="J582" s="6"/>
      <c r="K582" s="6"/>
      <c r="L582" s="6"/>
      <c r="M582" s="6"/>
      <c r="N582" s="6"/>
      <c r="O582" s="6"/>
      <c r="P582" s="6"/>
      <c r="Q582" s="6"/>
      <c r="R582" s="6"/>
      <c r="S582" s="6"/>
      <c r="T582" s="6"/>
      <c r="U582" s="6"/>
    </row>
    <row r="583" spans="1:21">
      <c r="A583" s="82"/>
      <c r="B583" s="83"/>
      <c r="C583" s="82"/>
      <c r="D583" s="82"/>
      <c r="E583" s="82"/>
      <c r="F583" s="82"/>
      <c r="G583" s="222"/>
      <c r="H583" s="222"/>
      <c r="I583" s="222"/>
      <c r="J583" s="6"/>
      <c r="K583" s="6"/>
      <c r="L583" s="6"/>
      <c r="M583" s="6"/>
      <c r="N583" s="6"/>
      <c r="O583" s="6"/>
      <c r="P583" s="6"/>
      <c r="Q583" s="6"/>
      <c r="R583" s="6"/>
      <c r="S583" s="6"/>
      <c r="T583" s="6"/>
      <c r="U583" s="6"/>
    </row>
    <row r="584" spans="1:21">
      <c r="A584" s="82"/>
      <c r="B584" s="83"/>
      <c r="C584" s="82"/>
      <c r="D584" s="82"/>
      <c r="E584" s="82"/>
      <c r="F584" s="82"/>
      <c r="G584" s="222"/>
      <c r="H584" s="222"/>
      <c r="I584" s="222"/>
      <c r="J584" s="6"/>
      <c r="K584" s="6"/>
      <c r="L584" s="6"/>
      <c r="M584" s="6"/>
      <c r="N584" s="6"/>
      <c r="O584" s="6"/>
      <c r="P584" s="6"/>
      <c r="Q584" s="6"/>
      <c r="R584" s="6"/>
      <c r="S584" s="6"/>
      <c r="T584" s="6"/>
      <c r="U584" s="6"/>
    </row>
    <row r="585" spans="1:21">
      <c r="A585" s="82"/>
      <c r="B585" s="83"/>
      <c r="C585" s="82"/>
      <c r="D585" s="82"/>
      <c r="E585" s="82"/>
      <c r="F585" s="82"/>
      <c r="G585" s="222"/>
      <c r="H585" s="222"/>
      <c r="I585" s="222"/>
      <c r="J585" s="6"/>
      <c r="K585" s="6"/>
      <c r="L585" s="6"/>
      <c r="M585" s="6"/>
      <c r="N585" s="6"/>
      <c r="O585" s="6"/>
      <c r="P585" s="6"/>
      <c r="Q585" s="6"/>
      <c r="R585" s="6"/>
      <c r="S585" s="6"/>
      <c r="T585" s="6"/>
      <c r="U585" s="6"/>
    </row>
    <row r="586" spans="1:21">
      <c r="A586" s="82"/>
      <c r="B586" s="83"/>
      <c r="C586" s="82"/>
      <c r="D586" s="82"/>
      <c r="E586" s="82"/>
      <c r="F586" s="82"/>
      <c r="G586" s="222"/>
      <c r="H586" s="222"/>
      <c r="I586" s="222"/>
      <c r="J586" s="6"/>
      <c r="K586" s="6"/>
      <c r="L586" s="6"/>
      <c r="M586" s="6"/>
      <c r="N586" s="6"/>
      <c r="O586" s="6"/>
      <c r="P586" s="6"/>
      <c r="Q586" s="6"/>
      <c r="R586" s="6"/>
      <c r="S586" s="6"/>
      <c r="T586" s="6"/>
      <c r="U586" s="6"/>
    </row>
    <row r="587" spans="1:21">
      <c r="A587" s="82"/>
      <c r="B587" s="83"/>
      <c r="C587" s="82"/>
      <c r="D587" s="82"/>
      <c r="E587" s="82"/>
      <c r="F587" s="82"/>
      <c r="G587" s="222"/>
      <c r="H587" s="222"/>
      <c r="I587" s="222"/>
      <c r="J587" s="6"/>
      <c r="K587" s="6"/>
      <c r="L587" s="6"/>
      <c r="M587" s="6"/>
      <c r="N587" s="6"/>
      <c r="O587" s="6"/>
      <c r="P587" s="6"/>
      <c r="Q587" s="6"/>
      <c r="R587" s="6"/>
      <c r="S587" s="6"/>
      <c r="T587" s="6"/>
      <c r="U587" s="6"/>
    </row>
    <row r="588" spans="1:21">
      <c r="A588" s="82"/>
      <c r="B588" s="83"/>
      <c r="C588" s="82"/>
      <c r="D588" s="82"/>
      <c r="E588" s="82"/>
      <c r="F588" s="82"/>
      <c r="G588" s="222"/>
      <c r="H588" s="222"/>
      <c r="I588" s="222"/>
      <c r="J588" s="6"/>
      <c r="K588" s="6"/>
      <c r="L588" s="6"/>
      <c r="M588" s="6"/>
      <c r="N588" s="6"/>
      <c r="O588" s="6"/>
      <c r="P588" s="6"/>
      <c r="Q588" s="6"/>
      <c r="R588" s="6"/>
      <c r="S588" s="6"/>
      <c r="T588" s="6"/>
      <c r="U588" s="6"/>
    </row>
    <row r="589" spans="1:21">
      <c r="A589" s="82"/>
      <c r="B589" s="83"/>
      <c r="C589" s="82"/>
      <c r="D589" s="82"/>
      <c r="E589" s="82"/>
      <c r="F589" s="82"/>
      <c r="G589" s="222"/>
      <c r="H589" s="222"/>
      <c r="I589" s="222"/>
      <c r="J589" s="6"/>
      <c r="K589" s="6"/>
      <c r="L589" s="6"/>
      <c r="M589" s="6"/>
      <c r="N589" s="6"/>
      <c r="O589" s="6"/>
      <c r="P589" s="6"/>
      <c r="Q589" s="6"/>
      <c r="R589" s="6"/>
      <c r="S589" s="6"/>
      <c r="T589" s="6"/>
      <c r="U589" s="6"/>
    </row>
    <row r="590" spans="1:21">
      <c r="A590" s="82"/>
      <c r="B590" s="83"/>
      <c r="C590" s="82"/>
      <c r="D590" s="82"/>
      <c r="E590" s="82"/>
      <c r="F590" s="82"/>
      <c r="G590" s="222"/>
      <c r="H590" s="222"/>
      <c r="I590" s="222"/>
      <c r="J590" s="6"/>
      <c r="K590" s="6"/>
      <c r="L590" s="6"/>
      <c r="M590" s="6"/>
      <c r="N590" s="6"/>
      <c r="O590" s="6"/>
      <c r="P590" s="6"/>
      <c r="Q590" s="6"/>
      <c r="R590" s="6"/>
      <c r="S590" s="6"/>
      <c r="T590" s="6"/>
      <c r="U590" s="6"/>
    </row>
    <row r="591" spans="1:21">
      <c r="A591" s="82"/>
      <c r="B591" s="83"/>
      <c r="C591" s="82"/>
      <c r="D591" s="82"/>
      <c r="E591" s="82"/>
      <c r="F591" s="82"/>
      <c r="G591" s="222"/>
      <c r="H591" s="222"/>
      <c r="I591" s="222"/>
      <c r="J591" s="6"/>
      <c r="K591" s="6"/>
      <c r="L591" s="6"/>
      <c r="M591" s="6"/>
      <c r="N591" s="6"/>
      <c r="O591" s="6"/>
      <c r="P591" s="6"/>
      <c r="Q591" s="6"/>
      <c r="R591" s="6"/>
      <c r="S591" s="6"/>
      <c r="T591" s="6"/>
      <c r="U591" s="6"/>
    </row>
    <row r="592" spans="1:21">
      <c r="A592" s="82"/>
      <c r="B592" s="83"/>
      <c r="C592" s="82"/>
      <c r="D592" s="82"/>
      <c r="E592" s="82"/>
      <c r="F592" s="82"/>
      <c r="G592" s="222"/>
      <c r="H592" s="222"/>
      <c r="I592" s="222"/>
      <c r="J592" s="6"/>
      <c r="K592" s="6"/>
      <c r="L592" s="6"/>
      <c r="M592" s="6"/>
      <c r="N592" s="6"/>
      <c r="O592" s="6"/>
      <c r="P592" s="6"/>
      <c r="Q592" s="6"/>
      <c r="R592" s="6"/>
      <c r="S592" s="6"/>
      <c r="T592" s="6"/>
      <c r="U592" s="6"/>
    </row>
    <row r="593" spans="1:21">
      <c r="A593" s="82"/>
      <c r="B593" s="83"/>
      <c r="C593" s="82"/>
      <c r="D593" s="82"/>
      <c r="E593" s="82"/>
      <c r="F593" s="82"/>
      <c r="G593" s="222"/>
      <c r="H593" s="222"/>
      <c r="I593" s="222"/>
      <c r="J593" s="6"/>
      <c r="K593" s="6"/>
      <c r="L593" s="6"/>
      <c r="M593" s="6"/>
      <c r="N593" s="6"/>
      <c r="O593" s="6"/>
      <c r="P593" s="6"/>
      <c r="Q593" s="6"/>
      <c r="R593" s="6"/>
      <c r="S593" s="6"/>
      <c r="T593" s="6"/>
      <c r="U593" s="6"/>
    </row>
    <row r="594" spans="1:21">
      <c r="A594" s="82"/>
      <c r="B594" s="83"/>
      <c r="C594" s="82"/>
      <c r="D594" s="82"/>
      <c r="E594" s="82"/>
      <c r="F594" s="82"/>
      <c r="G594" s="222"/>
      <c r="H594" s="222"/>
      <c r="I594" s="222"/>
      <c r="J594" s="6"/>
      <c r="K594" s="6"/>
      <c r="L594" s="6"/>
      <c r="M594" s="6"/>
      <c r="N594" s="6"/>
      <c r="O594" s="6"/>
      <c r="P594" s="6"/>
      <c r="Q594" s="6"/>
      <c r="R594" s="6"/>
      <c r="S594" s="6"/>
      <c r="T594" s="6"/>
      <c r="U594" s="6"/>
    </row>
    <row r="595" spans="1:21">
      <c r="A595" s="82"/>
      <c r="B595" s="83"/>
      <c r="C595" s="82"/>
      <c r="D595" s="82"/>
      <c r="E595" s="82"/>
      <c r="F595" s="82"/>
      <c r="G595" s="222"/>
      <c r="H595" s="222"/>
      <c r="I595" s="222"/>
      <c r="J595" s="6"/>
      <c r="K595" s="6"/>
      <c r="L595" s="6"/>
      <c r="M595" s="6"/>
      <c r="N595" s="6"/>
      <c r="O595" s="6"/>
      <c r="P595" s="6"/>
      <c r="Q595" s="6"/>
      <c r="R595" s="6"/>
      <c r="S595" s="6"/>
      <c r="T595" s="6"/>
      <c r="U595" s="6"/>
    </row>
    <row r="596" spans="1:21">
      <c r="A596" s="82"/>
      <c r="B596" s="83"/>
      <c r="C596" s="82"/>
      <c r="D596" s="82"/>
      <c r="E596" s="82"/>
      <c r="F596" s="82"/>
      <c r="G596" s="222"/>
      <c r="H596" s="222"/>
      <c r="I596" s="222"/>
      <c r="J596" s="6"/>
      <c r="K596" s="6"/>
      <c r="L596" s="6"/>
      <c r="M596" s="6"/>
      <c r="N596" s="6"/>
      <c r="O596" s="6"/>
      <c r="P596" s="6"/>
      <c r="Q596" s="6"/>
      <c r="R596" s="6"/>
      <c r="S596" s="6"/>
      <c r="T596" s="6"/>
      <c r="U596" s="6"/>
    </row>
    <row r="597" spans="1:21">
      <c r="A597" s="82"/>
      <c r="B597" s="83"/>
      <c r="C597" s="82"/>
      <c r="D597" s="82"/>
      <c r="E597" s="82"/>
      <c r="F597" s="82"/>
      <c r="G597" s="222"/>
      <c r="H597" s="222"/>
      <c r="I597" s="222"/>
      <c r="J597" s="6"/>
      <c r="K597" s="6"/>
      <c r="L597" s="6"/>
      <c r="M597" s="6"/>
      <c r="N597" s="6"/>
      <c r="O597" s="6"/>
      <c r="P597" s="6"/>
      <c r="Q597" s="6"/>
      <c r="R597" s="6"/>
      <c r="S597" s="6"/>
      <c r="T597" s="6"/>
      <c r="U597" s="6"/>
    </row>
    <row r="598" spans="1:21">
      <c r="A598" s="82"/>
      <c r="B598" s="83"/>
      <c r="C598" s="82"/>
      <c r="D598" s="82"/>
      <c r="E598" s="82"/>
      <c r="F598" s="82"/>
      <c r="G598" s="222"/>
      <c r="H598" s="222"/>
      <c r="I598" s="222"/>
      <c r="J598" s="6"/>
      <c r="K598" s="6"/>
      <c r="L598" s="6"/>
      <c r="M598" s="6"/>
      <c r="N598" s="6"/>
      <c r="O598" s="6"/>
      <c r="P598" s="6"/>
      <c r="Q598" s="6"/>
      <c r="R598" s="6"/>
      <c r="S598" s="6"/>
      <c r="T598" s="6"/>
      <c r="U598" s="6"/>
    </row>
    <row r="599" spans="1:21">
      <c r="A599" s="82"/>
      <c r="B599" s="83"/>
      <c r="C599" s="82"/>
      <c r="D599" s="82"/>
      <c r="E599" s="82"/>
      <c r="F599" s="82"/>
      <c r="G599" s="222"/>
      <c r="H599" s="222"/>
      <c r="I599" s="222"/>
      <c r="J599" s="6"/>
      <c r="K599" s="6"/>
      <c r="L599" s="6"/>
      <c r="M599" s="6"/>
      <c r="N599" s="6"/>
      <c r="O599" s="6"/>
      <c r="P599" s="6"/>
      <c r="Q599" s="6"/>
      <c r="R599" s="6"/>
      <c r="S599" s="6"/>
      <c r="T599" s="6"/>
      <c r="U599" s="6"/>
    </row>
    <row r="600" spans="1:21">
      <c r="A600" s="82"/>
      <c r="B600" s="83"/>
      <c r="C600" s="82"/>
      <c r="D600" s="82"/>
      <c r="E600" s="82"/>
      <c r="F600" s="82"/>
      <c r="G600" s="222"/>
      <c r="H600" s="222"/>
      <c r="I600" s="222"/>
      <c r="J600" s="6"/>
      <c r="K600" s="6"/>
      <c r="L600" s="6"/>
      <c r="M600" s="6"/>
      <c r="N600" s="6"/>
      <c r="O600" s="6"/>
      <c r="P600" s="6"/>
      <c r="Q600" s="6"/>
      <c r="R600" s="6"/>
      <c r="S600" s="6"/>
      <c r="T600" s="6"/>
      <c r="U600" s="6"/>
    </row>
    <row r="601" spans="1:21">
      <c r="A601" s="82"/>
      <c r="B601" s="83"/>
      <c r="C601" s="82"/>
      <c r="D601" s="82"/>
      <c r="E601" s="82"/>
      <c r="F601" s="82"/>
      <c r="G601" s="222"/>
      <c r="H601" s="222"/>
      <c r="I601" s="222"/>
      <c r="J601" s="6"/>
      <c r="K601" s="6"/>
      <c r="L601" s="6"/>
      <c r="M601" s="6"/>
      <c r="N601" s="6"/>
      <c r="O601" s="6"/>
      <c r="P601" s="6"/>
      <c r="Q601" s="6"/>
      <c r="R601" s="6"/>
      <c r="S601" s="6"/>
      <c r="T601" s="6"/>
      <c r="U601" s="6"/>
    </row>
    <row r="602" spans="1:21">
      <c r="A602" s="82"/>
      <c r="B602" s="83"/>
      <c r="C602" s="82"/>
      <c r="D602" s="82"/>
      <c r="E602" s="82"/>
      <c r="F602" s="82"/>
      <c r="G602" s="222"/>
      <c r="H602" s="222"/>
      <c r="I602" s="222"/>
      <c r="J602" s="6"/>
      <c r="K602" s="6"/>
      <c r="L602" s="6"/>
      <c r="M602" s="6"/>
      <c r="N602" s="6"/>
      <c r="O602" s="6"/>
      <c r="P602" s="6"/>
      <c r="Q602" s="6"/>
      <c r="R602" s="6"/>
      <c r="S602" s="6"/>
      <c r="T602" s="6"/>
      <c r="U602" s="6"/>
    </row>
    <row r="603" spans="1:21">
      <c r="A603" s="82"/>
      <c r="B603" s="83"/>
      <c r="C603" s="82"/>
      <c r="D603" s="82"/>
      <c r="E603" s="82"/>
      <c r="F603" s="82"/>
      <c r="G603" s="222"/>
      <c r="H603" s="222"/>
      <c r="I603" s="222"/>
      <c r="J603" s="6"/>
      <c r="K603" s="6"/>
      <c r="L603" s="6"/>
      <c r="M603" s="6"/>
      <c r="N603" s="6"/>
      <c r="O603" s="6"/>
      <c r="P603" s="6"/>
      <c r="Q603" s="6"/>
      <c r="R603" s="6"/>
      <c r="S603" s="6"/>
      <c r="T603" s="6"/>
      <c r="U603" s="6"/>
    </row>
    <row r="604" spans="1:21">
      <c r="A604" s="82"/>
      <c r="B604" s="83"/>
      <c r="C604" s="82"/>
      <c r="D604" s="82"/>
      <c r="E604" s="82"/>
      <c r="F604" s="82"/>
      <c r="G604" s="222"/>
      <c r="H604" s="222"/>
      <c r="I604" s="222"/>
      <c r="J604" s="6"/>
      <c r="K604" s="6"/>
      <c r="L604" s="6"/>
      <c r="M604" s="6"/>
      <c r="N604" s="6"/>
      <c r="O604" s="6"/>
      <c r="P604" s="6"/>
      <c r="Q604" s="6"/>
      <c r="R604" s="6"/>
      <c r="S604" s="6"/>
      <c r="T604" s="6"/>
      <c r="U604" s="6"/>
    </row>
    <row r="605" spans="1:21">
      <c r="A605" s="82"/>
      <c r="B605" s="83"/>
      <c r="C605" s="82"/>
      <c r="D605" s="82"/>
      <c r="E605" s="82"/>
      <c r="F605" s="82"/>
      <c r="G605" s="222"/>
      <c r="H605" s="222"/>
      <c r="I605" s="222"/>
      <c r="J605" s="6"/>
      <c r="K605" s="6"/>
      <c r="L605" s="6"/>
      <c r="M605" s="6"/>
      <c r="N605" s="6"/>
      <c r="O605" s="6"/>
      <c r="P605" s="6"/>
      <c r="Q605" s="6"/>
      <c r="R605" s="6"/>
      <c r="S605" s="6"/>
      <c r="T605" s="6"/>
      <c r="U605" s="6"/>
    </row>
    <row r="606" spans="1:21">
      <c r="A606" s="82"/>
      <c r="B606" s="83"/>
      <c r="C606" s="82"/>
      <c r="D606" s="82"/>
      <c r="E606" s="82"/>
      <c r="F606" s="82"/>
      <c r="G606" s="222"/>
      <c r="H606" s="222"/>
      <c r="I606" s="222"/>
      <c r="J606" s="6"/>
      <c r="K606" s="6"/>
      <c r="L606" s="6"/>
      <c r="M606" s="6"/>
      <c r="N606" s="6"/>
      <c r="O606" s="6"/>
      <c r="P606" s="6"/>
      <c r="Q606" s="6"/>
      <c r="R606" s="6"/>
      <c r="S606" s="6"/>
      <c r="T606" s="6"/>
      <c r="U606" s="6"/>
    </row>
    <row r="607" spans="1:21">
      <c r="A607" s="82"/>
      <c r="B607" s="83"/>
      <c r="C607" s="82"/>
      <c r="D607" s="82"/>
      <c r="E607" s="82"/>
      <c r="F607" s="82"/>
      <c r="G607" s="222"/>
      <c r="H607" s="222"/>
      <c r="I607" s="222"/>
      <c r="J607" s="6"/>
      <c r="K607" s="6"/>
      <c r="L607" s="6"/>
      <c r="M607" s="6"/>
      <c r="N607" s="6"/>
      <c r="O607" s="6"/>
      <c r="P607" s="6"/>
      <c r="Q607" s="6"/>
      <c r="R607" s="6"/>
      <c r="S607" s="6"/>
      <c r="T607" s="6"/>
      <c r="U607" s="6"/>
    </row>
    <row r="608" spans="1:21">
      <c r="A608" s="82"/>
      <c r="B608" s="83"/>
      <c r="C608" s="82"/>
      <c r="D608" s="82"/>
      <c r="E608" s="82"/>
      <c r="F608" s="82"/>
      <c r="G608" s="222"/>
      <c r="H608" s="222"/>
      <c r="I608" s="222"/>
      <c r="J608" s="6"/>
      <c r="K608" s="6"/>
      <c r="L608" s="6"/>
      <c r="M608" s="6"/>
      <c r="N608" s="6"/>
      <c r="O608" s="6"/>
      <c r="P608" s="6"/>
      <c r="Q608" s="6"/>
      <c r="R608" s="6"/>
      <c r="S608" s="6"/>
      <c r="T608" s="6"/>
      <c r="U608" s="6"/>
    </row>
    <row r="609" spans="1:21">
      <c r="A609" s="82"/>
      <c r="B609" s="83"/>
      <c r="C609" s="82"/>
      <c r="D609" s="82"/>
      <c r="E609" s="82"/>
      <c r="F609" s="82"/>
      <c r="G609" s="222"/>
      <c r="H609" s="222"/>
      <c r="I609" s="222"/>
      <c r="J609" s="6"/>
      <c r="K609" s="6"/>
      <c r="L609" s="6"/>
      <c r="M609" s="6"/>
      <c r="N609" s="6"/>
      <c r="O609" s="6"/>
      <c r="P609" s="6"/>
      <c r="Q609" s="6"/>
      <c r="R609" s="6"/>
      <c r="S609" s="6"/>
      <c r="T609" s="6"/>
      <c r="U609" s="6"/>
    </row>
    <row r="610" spans="1:21">
      <c r="A610" s="82"/>
      <c r="B610" s="83"/>
      <c r="C610" s="82"/>
      <c r="D610" s="82"/>
      <c r="E610" s="82"/>
      <c r="F610" s="82"/>
      <c r="G610" s="222"/>
      <c r="H610" s="222"/>
      <c r="I610" s="222"/>
      <c r="J610" s="6"/>
      <c r="K610" s="6"/>
      <c r="L610" s="6"/>
      <c r="M610" s="6"/>
      <c r="N610" s="6"/>
      <c r="O610" s="6"/>
      <c r="P610" s="6"/>
      <c r="Q610" s="6"/>
      <c r="R610" s="6"/>
      <c r="S610" s="6"/>
      <c r="T610" s="6"/>
      <c r="U610" s="6"/>
    </row>
    <row r="611" spans="1:21">
      <c r="A611" s="82"/>
      <c r="B611" s="83"/>
      <c r="C611" s="82"/>
      <c r="D611" s="82"/>
      <c r="E611" s="82"/>
      <c r="F611" s="82"/>
      <c r="G611" s="222"/>
      <c r="H611" s="222"/>
      <c r="I611" s="222"/>
      <c r="J611" s="6"/>
      <c r="K611" s="6"/>
      <c r="L611" s="6"/>
      <c r="M611" s="6"/>
      <c r="N611" s="6"/>
      <c r="O611" s="6"/>
      <c r="P611" s="6"/>
      <c r="Q611" s="6"/>
      <c r="R611" s="6"/>
      <c r="S611" s="6"/>
      <c r="T611" s="6"/>
      <c r="U611" s="6"/>
    </row>
    <row r="612" spans="1:21">
      <c r="A612" s="82"/>
      <c r="B612" s="83"/>
      <c r="C612" s="82"/>
      <c r="D612" s="82"/>
      <c r="E612" s="82"/>
      <c r="F612" s="82"/>
      <c r="G612" s="222"/>
      <c r="H612" s="222"/>
      <c r="I612" s="222"/>
      <c r="J612" s="6"/>
      <c r="K612" s="6"/>
      <c r="L612" s="6"/>
      <c r="M612" s="6"/>
      <c r="N612" s="6"/>
      <c r="O612" s="6"/>
      <c r="P612" s="6"/>
      <c r="Q612" s="6"/>
      <c r="R612" s="6"/>
      <c r="S612" s="6"/>
      <c r="T612" s="6"/>
      <c r="U612" s="6"/>
    </row>
    <row r="613" spans="1:21">
      <c r="A613" s="82"/>
      <c r="B613" s="83"/>
      <c r="C613" s="82"/>
      <c r="D613" s="82"/>
      <c r="E613" s="82"/>
      <c r="F613" s="82"/>
      <c r="G613" s="222"/>
      <c r="H613" s="222"/>
      <c r="I613" s="222"/>
      <c r="J613" s="6"/>
      <c r="K613" s="6"/>
      <c r="L613" s="6"/>
      <c r="M613" s="6"/>
      <c r="N613" s="6"/>
      <c r="O613" s="6"/>
      <c r="P613" s="6"/>
      <c r="Q613" s="6"/>
      <c r="R613" s="6"/>
      <c r="S613" s="6"/>
      <c r="T613" s="6"/>
      <c r="U613" s="6"/>
    </row>
    <row r="614" spans="1:21">
      <c r="A614" s="82"/>
      <c r="B614" s="83"/>
      <c r="C614" s="82"/>
      <c r="D614" s="82"/>
      <c r="E614" s="82"/>
      <c r="F614" s="82"/>
      <c r="G614" s="222"/>
      <c r="H614" s="222"/>
      <c r="I614" s="222"/>
      <c r="J614" s="6"/>
      <c r="K614" s="6"/>
      <c r="L614" s="6"/>
      <c r="M614" s="6"/>
      <c r="N614" s="6"/>
      <c r="O614" s="6"/>
      <c r="P614" s="6"/>
      <c r="Q614" s="6"/>
      <c r="R614" s="6"/>
      <c r="S614" s="6"/>
      <c r="T614" s="6"/>
      <c r="U614" s="6"/>
    </row>
    <row r="615" spans="1:21">
      <c r="A615" s="82"/>
      <c r="B615" s="83"/>
      <c r="C615" s="82"/>
      <c r="D615" s="82"/>
      <c r="E615" s="82"/>
      <c r="F615" s="82"/>
      <c r="G615" s="222"/>
      <c r="H615" s="222"/>
      <c r="I615" s="222"/>
      <c r="J615" s="6"/>
      <c r="K615" s="6"/>
      <c r="L615" s="6"/>
      <c r="M615" s="6"/>
      <c r="N615" s="6"/>
      <c r="O615" s="6"/>
      <c r="P615" s="6"/>
      <c r="Q615" s="6"/>
      <c r="R615" s="6"/>
      <c r="S615" s="6"/>
      <c r="T615" s="6"/>
      <c r="U615" s="6"/>
    </row>
    <row r="616" spans="1:21">
      <c r="A616" s="82"/>
      <c r="B616" s="83"/>
      <c r="C616" s="82"/>
      <c r="D616" s="82"/>
      <c r="E616" s="82"/>
      <c r="F616" s="82"/>
      <c r="G616" s="222"/>
      <c r="H616" s="222"/>
      <c r="I616" s="222"/>
      <c r="J616" s="6"/>
      <c r="K616" s="6"/>
      <c r="L616" s="6"/>
      <c r="M616" s="6"/>
      <c r="N616" s="6"/>
      <c r="O616" s="6"/>
      <c r="P616" s="6"/>
      <c r="Q616" s="6"/>
      <c r="R616" s="6"/>
      <c r="S616" s="6"/>
      <c r="T616" s="6"/>
      <c r="U616" s="6"/>
    </row>
    <row r="617" spans="1:21">
      <c r="A617" s="82"/>
      <c r="B617" s="83"/>
      <c r="C617" s="82"/>
      <c r="D617" s="82"/>
      <c r="E617" s="82"/>
      <c r="F617" s="82"/>
      <c r="G617" s="222"/>
      <c r="H617" s="222"/>
      <c r="I617" s="222"/>
      <c r="J617" s="6"/>
      <c r="K617" s="6"/>
      <c r="L617" s="6"/>
      <c r="M617" s="6"/>
      <c r="N617" s="6"/>
      <c r="O617" s="6"/>
      <c r="P617" s="6"/>
      <c r="Q617" s="6"/>
      <c r="R617" s="6"/>
      <c r="S617" s="6"/>
      <c r="T617" s="6"/>
      <c r="U617" s="6"/>
    </row>
    <row r="618" spans="1:21">
      <c r="A618" s="82"/>
      <c r="B618" s="83"/>
      <c r="C618" s="82"/>
      <c r="D618" s="82"/>
      <c r="E618" s="82"/>
      <c r="F618" s="82"/>
      <c r="G618" s="222"/>
      <c r="H618" s="222"/>
      <c r="I618" s="222"/>
      <c r="J618" s="6"/>
      <c r="K618" s="6"/>
      <c r="L618" s="6"/>
      <c r="M618" s="6"/>
      <c r="N618" s="6"/>
      <c r="O618" s="6"/>
      <c r="P618" s="6"/>
      <c r="Q618" s="6"/>
      <c r="R618" s="6"/>
      <c r="S618" s="6"/>
      <c r="T618" s="6"/>
      <c r="U618" s="6"/>
    </row>
    <row r="619" spans="1:21">
      <c r="A619" s="82"/>
      <c r="B619" s="83"/>
      <c r="C619" s="82"/>
      <c r="D619" s="82"/>
      <c r="E619" s="82"/>
      <c r="F619" s="82"/>
      <c r="G619" s="222"/>
      <c r="H619" s="222"/>
      <c r="I619" s="222"/>
      <c r="J619" s="6"/>
      <c r="K619" s="6"/>
      <c r="L619" s="6"/>
      <c r="M619" s="6"/>
      <c r="N619" s="6"/>
      <c r="O619" s="6"/>
      <c r="P619" s="6"/>
      <c r="Q619" s="6"/>
      <c r="R619" s="6"/>
      <c r="S619" s="6"/>
      <c r="T619" s="6"/>
      <c r="U619" s="6"/>
    </row>
    <row r="620" spans="1:21">
      <c r="A620" s="82"/>
      <c r="B620" s="83"/>
      <c r="C620" s="82"/>
      <c r="D620" s="82"/>
      <c r="E620" s="82"/>
      <c r="F620" s="82"/>
      <c r="G620" s="222"/>
      <c r="H620" s="222"/>
      <c r="I620" s="222"/>
      <c r="J620" s="6"/>
      <c r="K620" s="6"/>
      <c r="L620" s="6"/>
      <c r="M620" s="6"/>
      <c r="N620" s="6"/>
      <c r="O620" s="6"/>
      <c r="P620" s="6"/>
      <c r="Q620" s="6"/>
      <c r="R620" s="6"/>
      <c r="S620" s="6"/>
      <c r="T620" s="6"/>
      <c r="U620" s="6"/>
    </row>
    <row r="621" spans="1:21">
      <c r="A621" s="82"/>
      <c r="B621" s="83"/>
      <c r="C621" s="82"/>
      <c r="D621" s="82"/>
      <c r="E621" s="82"/>
      <c r="F621" s="82"/>
      <c r="G621" s="222"/>
      <c r="H621" s="222"/>
      <c r="I621" s="222"/>
      <c r="J621" s="6"/>
      <c r="K621" s="6"/>
      <c r="L621" s="6"/>
      <c r="M621" s="6"/>
      <c r="N621" s="6"/>
      <c r="O621" s="6"/>
      <c r="P621" s="6"/>
      <c r="Q621" s="6"/>
      <c r="R621" s="6"/>
      <c r="S621" s="6"/>
      <c r="T621" s="6"/>
      <c r="U621" s="6"/>
    </row>
    <row r="622" spans="1:21">
      <c r="A622" s="82"/>
      <c r="B622" s="83"/>
      <c r="C622" s="82"/>
      <c r="D622" s="82"/>
      <c r="E622" s="82"/>
      <c r="F622" s="82"/>
      <c r="G622" s="222"/>
      <c r="H622" s="222"/>
      <c r="I622" s="222"/>
      <c r="J622" s="6"/>
      <c r="K622" s="6"/>
      <c r="L622" s="6"/>
      <c r="M622" s="6"/>
      <c r="N622" s="6"/>
      <c r="O622" s="6"/>
      <c r="P622" s="6"/>
      <c r="Q622" s="6"/>
      <c r="R622" s="6"/>
      <c r="S622" s="6"/>
      <c r="T622" s="6"/>
      <c r="U622" s="6"/>
    </row>
    <row r="623" spans="1:21">
      <c r="A623" s="82"/>
      <c r="B623" s="83"/>
      <c r="C623" s="82"/>
      <c r="D623" s="82"/>
      <c r="E623" s="82"/>
      <c r="F623" s="82"/>
      <c r="G623" s="222"/>
      <c r="H623" s="222"/>
      <c r="I623" s="222"/>
      <c r="J623" s="6"/>
      <c r="K623" s="6"/>
      <c r="L623" s="6"/>
      <c r="M623" s="6"/>
      <c r="N623" s="6"/>
      <c r="O623" s="6"/>
      <c r="P623" s="6"/>
      <c r="Q623" s="6"/>
      <c r="R623" s="6"/>
      <c r="S623" s="6"/>
      <c r="T623" s="6"/>
      <c r="U623" s="6"/>
    </row>
    <row r="624" spans="1:21">
      <c r="A624" s="82"/>
      <c r="B624" s="83"/>
      <c r="C624" s="82"/>
      <c r="D624" s="82"/>
      <c r="E624" s="82"/>
      <c r="F624" s="82"/>
      <c r="G624" s="222"/>
      <c r="H624" s="222"/>
      <c r="I624" s="222"/>
      <c r="J624" s="6"/>
      <c r="K624" s="6"/>
      <c r="L624" s="6"/>
      <c r="M624" s="6"/>
      <c r="N624" s="6"/>
      <c r="O624" s="6"/>
      <c r="P624" s="6"/>
      <c r="Q624" s="6"/>
      <c r="R624" s="6"/>
      <c r="S624" s="6"/>
      <c r="T624" s="6"/>
      <c r="U624" s="6"/>
    </row>
    <row r="625" spans="1:21">
      <c r="A625" s="82"/>
      <c r="B625" s="83"/>
      <c r="C625" s="82"/>
      <c r="D625" s="82"/>
      <c r="E625" s="82"/>
      <c r="F625" s="82"/>
      <c r="G625" s="222"/>
      <c r="H625" s="222"/>
      <c r="I625" s="222"/>
      <c r="J625" s="6"/>
      <c r="K625" s="6"/>
      <c r="L625" s="6"/>
      <c r="M625" s="6"/>
      <c r="N625" s="6"/>
      <c r="O625" s="6"/>
      <c r="P625" s="6"/>
      <c r="Q625" s="6"/>
      <c r="R625" s="6"/>
      <c r="S625" s="6"/>
      <c r="T625" s="6"/>
      <c r="U625" s="6"/>
    </row>
    <row r="626" spans="1:21">
      <c r="A626" s="82"/>
      <c r="B626" s="83"/>
      <c r="C626" s="82"/>
      <c r="D626" s="82"/>
      <c r="E626" s="82"/>
      <c r="F626" s="82"/>
      <c r="G626" s="222"/>
      <c r="H626" s="222"/>
      <c r="I626" s="222"/>
      <c r="J626" s="6"/>
      <c r="K626" s="6"/>
      <c r="L626" s="6"/>
      <c r="M626" s="6"/>
      <c r="N626" s="6"/>
      <c r="O626" s="6"/>
      <c r="P626" s="6"/>
      <c r="Q626" s="6"/>
      <c r="R626" s="6"/>
      <c r="S626" s="6"/>
      <c r="T626" s="6"/>
      <c r="U626" s="6"/>
    </row>
    <row r="627" spans="1:21">
      <c r="A627" s="82"/>
      <c r="B627" s="83"/>
      <c r="C627" s="82"/>
      <c r="D627" s="82"/>
      <c r="E627" s="82"/>
      <c r="F627" s="82"/>
      <c r="G627" s="222"/>
      <c r="H627" s="222"/>
      <c r="I627" s="222"/>
      <c r="J627" s="6"/>
      <c r="K627" s="6"/>
      <c r="L627" s="6"/>
      <c r="M627" s="6"/>
      <c r="N627" s="6"/>
      <c r="O627" s="6"/>
      <c r="P627" s="6"/>
      <c r="Q627" s="6"/>
      <c r="R627" s="6"/>
      <c r="S627" s="6"/>
      <c r="T627" s="6"/>
      <c r="U627" s="6"/>
    </row>
    <row r="628" spans="1:21">
      <c r="A628" s="82"/>
      <c r="B628" s="83"/>
      <c r="C628" s="82"/>
      <c r="D628" s="82"/>
      <c r="E628" s="82"/>
      <c r="F628" s="82"/>
      <c r="G628" s="222"/>
      <c r="H628" s="222"/>
      <c r="I628" s="222"/>
      <c r="J628" s="6"/>
      <c r="K628" s="6"/>
      <c r="L628" s="6"/>
      <c r="M628" s="6"/>
      <c r="N628" s="6"/>
      <c r="O628" s="6"/>
      <c r="P628" s="6"/>
      <c r="Q628" s="6"/>
      <c r="R628" s="6"/>
      <c r="S628" s="6"/>
      <c r="T628" s="6"/>
      <c r="U628" s="6"/>
    </row>
    <row r="629" spans="1:21">
      <c r="A629" s="82"/>
      <c r="B629" s="83"/>
      <c r="C629" s="82"/>
      <c r="D629" s="82"/>
      <c r="E629" s="82"/>
      <c r="F629" s="82"/>
      <c r="G629" s="222"/>
      <c r="H629" s="222"/>
      <c r="I629" s="222"/>
      <c r="J629" s="6"/>
      <c r="K629" s="6"/>
      <c r="L629" s="6"/>
      <c r="M629" s="6"/>
      <c r="N629" s="6"/>
      <c r="O629" s="6"/>
      <c r="P629" s="6"/>
      <c r="Q629" s="6"/>
      <c r="R629" s="6"/>
      <c r="S629" s="6"/>
      <c r="T629" s="6"/>
      <c r="U629" s="6"/>
    </row>
    <row r="630" spans="1:21">
      <c r="A630" s="82"/>
      <c r="B630" s="83"/>
      <c r="C630" s="82"/>
      <c r="D630" s="82"/>
      <c r="E630" s="82"/>
      <c r="F630" s="82"/>
      <c r="G630" s="222"/>
      <c r="H630" s="222"/>
      <c r="I630" s="222"/>
      <c r="J630" s="6"/>
      <c r="K630" s="6"/>
      <c r="L630" s="6"/>
      <c r="M630" s="6"/>
      <c r="N630" s="6"/>
      <c r="O630" s="6"/>
      <c r="P630" s="6"/>
      <c r="Q630" s="6"/>
      <c r="R630" s="6"/>
      <c r="S630" s="6"/>
      <c r="T630" s="6"/>
      <c r="U630" s="6"/>
    </row>
    <row r="631" spans="1:21">
      <c r="A631" s="82"/>
      <c r="B631" s="83"/>
      <c r="C631" s="82"/>
      <c r="D631" s="82"/>
      <c r="E631" s="82"/>
      <c r="F631" s="82"/>
      <c r="G631" s="222"/>
      <c r="H631" s="222"/>
      <c r="I631" s="222"/>
      <c r="J631" s="6"/>
      <c r="K631" s="6"/>
      <c r="L631" s="6"/>
      <c r="M631" s="6"/>
      <c r="N631" s="6"/>
      <c r="O631" s="6"/>
      <c r="P631" s="6"/>
      <c r="Q631" s="6"/>
      <c r="R631" s="6"/>
      <c r="S631" s="6"/>
      <c r="T631" s="6"/>
      <c r="U631" s="6"/>
    </row>
    <row r="632" spans="1:21">
      <c r="A632" s="82"/>
      <c r="B632" s="83"/>
      <c r="C632" s="82"/>
      <c r="D632" s="82"/>
      <c r="E632" s="82"/>
      <c r="F632" s="82"/>
      <c r="G632" s="222"/>
      <c r="H632" s="222"/>
      <c r="I632" s="222"/>
      <c r="J632" s="6"/>
      <c r="K632" s="6"/>
      <c r="L632" s="6"/>
      <c r="M632" s="6"/>
      <c r="N632" s="6"/>
      <c r="O632" s="6"/>
      <c r="P632" s="6"/>
      <c r="Q632" s="6"/>
      <c r="R632" s="6"/>
      <c r="S632" s="6"/>
      <c r="T632" s="6"/>
      <c r="U632" s="6"/>
    </row>
    <row r="633" spans="1:21">
      <c r="A633" s="82"/>
      <c r="B633" s="83"/>
      <c r="C633" s="82"/>
      <c r="D633" s="82"/>
      <c r="E633" s="82"/>
      <c r="F633" s="82"/>
      <c r="G633" s="222"/>
      <c r="H633" s="222"/>
      <c r="I633" s="222"/>
      <c r="J633" s="6"/>
      <c r="K633" s="6"/>
      <c r="L633" s="6"/>
      <c r="M633" s="6"/>
      <c r="N633" s="6"/>
      <c r="O633" s="6"/>
      <c r="P633" s="6"/>
      <c r="Q633" s="6"/>
      <c r="R633" s="6"/>
      <c r="S633" s="6"/>
      <c r="T633" s="6"/>
      <c r="U633" s="6"/>
    </row>
    <row r="634" spans="1:21">
      <c r="A634" s="82"/>
      <c r="B634" s="83"/>
      <c r="C634" s="82"/>
      <c r="D634" s="82"/>
      <c r="E634" s="82"/>
      <c r="F634" s="82"/>
      <c r="G634" s="222"/>
      <c r="H634" s="222"/>
      <c r="I634" s="222"/>
      <c r="J634" s="6"/>
      <c r="K634" s="6"/>
      <c r="L634" s="6"/>
      <c r="M634" s="6"/>
      <c r="N634" s="6"/>
      <c r="O634" s="6"/>
      <c r="P634" s="6"/>
      <c r="Q634" s="6"/>
      <c r="R634" s="6"/>
      <c r="S634" s="6"/>
      <c r="T634" s="6"/>
      <c r="U634" s="6"/>
    </row>
    <row r="635" spans="1:21">
      <c r="A635" s="82"/>
      <c r="B635" s="83"/>
      <c r="C635" s="82"/>
      <c r="D635" s="82"/>
      <c r="E635" s="82"/>
      <c r="F635" s="82"/>
      <c r="G635" s="222"/>
      <c r="H635" s="222"/>
      <c r="I635" s="222"/>
      <c r="J635" s="6"/>
      <c r="K635" s="6"/>
      <c r="L635" s="6"/>
      <c r="M635" s="6"/>
      <c r="N635" s="6"/>
      <c r="O635" s="6"/>
      <c r="P635" s="6"/>
      <c r="Q635" s="6"/>
      <c r="R635" s="6"/>
      <c r="S635" s="6"/>
      <c r="T635" s="6"/>
      <c r="U635" s="6"/>
    </row>
    <row r="636" spans="1:21">
      <c r="A636" s="82"/>
      <c r="B636" s="83"/>
      <c r="C636" s="82"/>
      <c r="D636" s="82"/>
      <c r="E636" s="82"/>
      <c r="F636" s="82"/>
      <c r="G636" s="222"/>
      <c r="H636" s="222"/>
      <c r="I636" s="222"/>
      <c r="J636" s="6"/>
      <c r="K636" s="6"/>
      <c r="L636" s="6"/>
      <c r="M636" s="6"/>
      <c r="N636" s="6"/>
      <c r="O636" s="6"/>
      <c r="P636" s="6"/>
      <c r="Q636" s="6"/>
      <c r="R636" s="6"/>
      <c r="S636" s="6"/>
      <c r="T636" s="6"/>
      <c r="U636" s="6"/>
    </row>
    <row r="637" spans="1:21">
      <c r="A637" s="82"/>
      <c r="B637" s="83"/>
      <c r="C637" s="82"/>
      <c r="D637" s="82"/>
      <c r="E637" s="82"/>
      <c r="F637" s="82"/>
      <c r="G637" s="222"/>
      <c r="H637" s="222"/>
      <c r="I637" s="222"/>
      <c r="J637" s="6"/>
      <c r="K637" s="6"/>
      <c r="L637" s="6"/>
      <c r="M637" s="6"/>
      <c r="N637" s="6"/>
      <c r="O637" s="6"/>
      <c r="P637" s="6"/>
      <c r="Q637" s="6"/>
      <c r="R637" s="6"/>
      <c r="S637" s="6"/>
      <c r="T637" s="6"/>
      <c r="U637" s="6"/>
    </row>
    <row r="638" spans="1:21">
      <c r="A638" s="82"/>
      <c r="B638" s="83"/>
      <c r="C638" s="82"/>
      <c r="D638" s="82"/>
      <c r="E638" s="82"/>
      <c r="F638" s="82"/>
      <c r="G638" s="222"/>
      <c r="H638" s="222"/>
      <c r="I638" s="222"/>
      <c r="J638" s="6"/>
      <c r="K638" s="6"/>
      <c r="L638" s="6"/>
      <c r="M638" s="6"/>
      <c r="N638" s="6"/>
      <c r="O638" s="6"/>
      <c r="P638" s="6"/>
      <c r="Q638" s="6"/>
      <c r="R638" s="6"/>
      <c r="S638" s="6"/>
      <c r="T638" s="6"/>
      <c r="U638" s="6"/>
    </row>
    <row r="639" spans="1:21">
      <c r="A639" s="82"/>
      <c r="B639" s="83"/>
      <c r="C639" s="82"/>
      <c r="D639" s="82"/>
      <c r="E639" s="82"/>
      <c r="F639" s="82"/>
      <c r="G639" s="222"/>
      <c r="H639" s="222"/>
      <c r="I639" s="222"/>
      <c r="J639" s="6"/>
      <c r="K639" s="6"/>
      <c r="L639" s="6"/>
      <c r="M639" s="6"/>
      <c r="N639" s="6"/>
      <c r="O639" s="6"/>
      <c r="P639" s="6"/>
      <c r="Q639" s="6"/>
      <c r="R639" s="6"/>
      <c r="S639" s="6"/>
      <c r="T639" s="6"/>
      <c r="U639" s="6"/>
    </row>
    <row r="640" spans="1:21">
      <c r="A640" s="82"/>
      <c r="B640" s="83"/>
      <c r="C640" s="82"/>
      <c r="D640" s="82"/>
      <c r="E640" s="82"/>
      <c r="F640" s="82"/>
      <c r="G640" s="222"/>
      <c r="H640" s="222"/>
      <c r="I640" s="222"/>
      <c r="J640" s="6"/>
      <c r="K640" s="6"/>
      <c r="L640" s="6"/>
      <c r="M640" s="6"/>
      <c r="N640" s="6"/>
      <c r="O640" s="6"/>
      <c r="P640" s="6"/>
      <c r="Q640" s="6"/>
      <c r="R640" s="6"/>
      <c r="S640" s="6"/>
      <c r="T640" s="6"/>
      <c r="U640" s="6"/>
    </row>
    <row r="641" spans="1:21">
      <c r="A641" s="82"/>
      <c r="B641" s="83"/>
      <c r="C641" s="82"/>
      <c r="D641" s="82"/>
      <c r="E641" s="82"/>
      <c r="F641" s="82"/>
      <c r="G641" s="222"/>
      <c r="H641" s="222"/>
      <c r="I641" s="222"/>
      <c r="J641" s="6"/>
      <c r="K641" s="6"/>
      <c r="L641" s="6"/>
      <c r="M641" s="6"/>
      <c r="N641" s="6"/>
      <c r="O641" s="6"/>
      <c r="P641" s="6"/>
      <c r="Q641" s="6"/>
      <c r="R641" s="6"/>
      <c r="S641" s="6"/>
      <c r="T641" s="6"/>
      <c r="U641" s="6"/>
    </row>
    <row r="642" spans="1:21">
      <c r="A642" s="82"/>
      <c r="B642" s="83"/>
      <c r="C642" s="82"/>
      <c r="D642" s="82"/>
      <c r="E642" s="82"/>
      <c r="F642" s="82"/>
      <c r="G642" s="222"/>
      <c r="H642" s="222"/>
      <c r="I642" s="222"/>
      <c r="J642" s="6"/>
      <c r="K642" s="6"/>
      <c r="L642" s="6"/>
      <c r="M642" s="6"/>
      <c r="N642" s="6"/>
      <c r="O642" s="6"/>
      <c r="P642" s="6"/>
      <c r="Q642" s="6"/>
      <c r="R642" s="6"/>
      <c r="S642" s="6"/>
      <c r="T642" s="6"/>
      <c r="U642" s="6"/>
    </row>
    <row r="643" spans="1:21">
      <c r="A643" s="82"/>
      <c r="B643" s="83"/>
      <c r="C643" s="82"/>
      <c r="D643" s="82"/>
      <c r="E643" s="82"/>
      <c r="F643" s="82"/>
      <c r="G643" s="222"/>
      <c r="H643" s="222"/>
      <c r="I643" s="222"/>
      <c r="J643" s="6"/>
      <c r="K643" s="6"/>
      <c r="L643" s="6"/>
      <c r="M643" s="6"/>
      <c r="N643" s="6"/>
      <c r="O643" s="6"/>
      <c r="P643" s="6"/>
      <c r="Q643" s="6"/>
      <c r="R643" s="6"/>
      <c r="S643" s="6"/>
      <c r="T643" s="6"/>
      <c r="U643" s="6"/>
    </row>
    <row r="644" spans="1:21">
      <c r="A644" s="82"/>
      <c r="B644" s="83"/>
      <c r="C644" s="82"/>
      <c r="D644" s="82"/>
      <c r="E644" s="82"/>
      <c r="F644" s="82"/>
      <c r="G644" s="222"/>
      <c r="H644" s="222"/>
      <c r="I644" s="222"/>
      <c r="J644" s="6"/>
      <c r="K644" s="6"/>
      <c r="L644" s="6"/>
      <c r="M644" s="6"/>
      <c r="N644" s="6"/>
      <c r="O644" s="6"/>
      <c r="P644" s="6"/>
      <c r="Q644" s="6"/>
      <c r="R644" s="6"/>
      <c r="S644" s="6"/>
      <c r="T644" s="6"/>
      <c r="U644" s="6"/>
    </row>
    <row r="645" spans="1:21">
      <c r="A645" s="82"/>
      <c r="B645" s="83"/>
      <c r="C645" s="82"/>
      <c r="D645" s="82"/>
      <c r="E645" s="82"/>
      <c r="F645" s="82"/>
      <c r="G645" s="222"/>
      <c r="H645" s="222"/>
      <c r="I645" s="222"/>
      <c r="J645" s="6"/>
      <c r="K645" s="6"/>
      <c r="L645" s="6"/>
      <c r="M645" s="6"/>
      <c r="N645" s="6"/>
      <c r="O645" s="6"/>
      <c r="P645" s="6"/>
      <c r="Q645" s="6"/>
      <c r="R645" s="6"/>
      <c r="S645" s="6"/>
      <c r="T645" s="6"/>
      <c r="U645" s="6"/>
    </row>
    <row r="646" spans="1:21">
      <c r="A646" s="82"/>
      <c r="B646" s="83"/>
      <c r="C646" s="82"/>
      <c r="D646" s="82"/>
      <c r="E646" s="82"/>
      <c r="F646" s="82"/>
      <c r="G646" s="222"/>
      <c r="H646" s="222"/>
      <c r="I646" s="222"/>
      <c r="J646" s="6"/>
      <c r="K646" s="6"/>
      <c r="L646" s="6"/>
      <c r="M646" s="6"/>
      <c r="N646" s="6"/>
      <c r="O646" s="6"/>
      <c r="P646" s="6"/>
      <c r="Q646" s="6"/>
      <c r="R646" s="6"/>
      <c r="S646" s="6"/>
      <c r="T646" s="6"/>
      <c r="U646" s="6"/>
    </row>
    <row r="647" spans="1:21">
      <c r="A647" s="82"/>
      <c r="B647" s="83"/>
      <c r="C647" s="82"/>
      <c r="D647" s="82"/>
      <c r="E647" s="82"/>
      <c r="F647" s="82"/>
      <c r="G647" s="222"/>
      <c r="H647" s="222"/>
      <c r="I647" s="222"/>
      <c r="J647" s="6"/>
      <c r="K647" s="6"/>
      <c r="L647" s="6"/>
      <c r="M647" s="6"/>
      <c r="N647" s="6"/>
      <c r="O647" s="6"/>
      <c r="P647" s="6"/>
      <c r="Q647" s="6"/>
      <c r="R647" s="6"/>
      <c r="S647" s="6"/>
      <c r="T647" s="6"/>
      <c r="U647" s="6"/>
    </row>
    <row r="648" spans="1:21">
      <c r="A648" s="82"/>
      <c r="B648" s="83"/>
      <c r="C648" s="82"/>
      <c r="D648" s="82"/>
      <c r="E648" s="82"/>
      <c r="F648" s="82"/>
      <c r="G648" s="222"/>
      <c r="H648" s="222"/>
      <c r="I648" s="222"/>
      <c r="J648" s="6"/>
      <c r="K648" s="6"/>
      <c r="L648" s="6"/>
      <c r="M648" s="6"/>
      <c r="N648" s="6"/>
      <c r="O648" s="6"/>
      <c r="P648" s="6"/>
      <c r="Q648" s="6"/>
      <c r="R648" s="6"/>
      <c r="S648" s="6"/>
      <c r="T648" s="6"/>
      <c r="U648" s="6"/>
    </row>
    <row r="649" spans="1:21">
      <c r="A649" s="82"/>
      <c r="B649" s="83"/>
      <c r="C649" s="82"/>
      <c r="D649" s="82"/>
      <c r="E649" s="82"/>
      <c r="F649" s="82"/>
      <c r="G649" s="222"/>
      <c r="H649" s="222"/>
      <c r="I649" s="222"/>
      <c r="J649" s="6"/>
      <c r="K649" s="6"/>
      <c r="L649" s="6"/>
      <c r="M649" s="6"/>
      <c r="N649" s="6"/>
      <c r="O649" s="6"/>
      <c r="P649" s="6"/>
      <c r="Q649" s="6"/>
      <c r="R649" s="6"/>
      <c r="S649" s="6"/>
      <c r="T649" s="6"/>
      <c r="U649" s="6"/>
    </row>
    <row r="650" spans="1:21">
      <c r="A650" s="82"/>
      <c r="B650" s="83"/>
      <c r="C650" s="82"/>
      <c r="D650" s="82"/>
      <c r="E650" s="82"/>
      <c r="F650" s="82"/>
      <c r="G650" s="222"/>
      <c r="H650" s="222"/>
      <c r="I650" s="222"/>
      <c r="J650" s="6"/>
      <c r="K650" s="6"/>
      <c r="L650" s="6"/>
      <c r="M650" s="6"/>
      <c r="N650" s="6"/>
      <c r="O650" s="6"/>
      <c r="P650" s="6"/>
      <c r="Q650" s="6"/>
      <c r="R650" s="6"/>
      <c r="S650" s="6"/>
      <c r="T650" s="6"/>
      <c r="U650" s="6"/>
    </row>
    <row r="651" spans="1:21">
      <c r="A651" s="82"/>
      <c r="B651" s="83"/>
      <c r="C651" s="82"/>
      <c r="D651" s="82"/>
      <c r="E651" s="82"/>
      <c r="F651" s="82"/>
      <c r="G651" s="222"/>
      <c r="H651" s="222"/>
      <c r="I651" s="222"/>
      <c r="J651" s="6"/>
      <c r="K651" s="6"/>
      <c r="L651" s="6"/>
      <c r="M651" s="6"/>
      <c r="N651" s="6"/>
      <c r="O651" s="6"/>
      <c r="P651" s="6"/>
      <c r="Q651" s="6"/>
      <c r="R651" s="6"/>
      <c r="S651" s="6"/>
      <c r="T651" s="6"/>
      <c r="U651" s="6"/>
    </row>
    <row r="652" spans="1:21">
      <c r="A652" s="82"/>
      <c r="B652" s="83"/>
      <c r="C652" s="82"/>
      <c r="D652" s="82"/>
      <c r="E652" s="82"/>
      <c r="F652" s="82"/>
      <c r="G652" s="222"/>
      <c r="H652" s="222"/>
      <c r="I652" s="222"/>
      <c r="J652" s="6"/>
      <c r="K652" s="6"/>
      <c r="L652" s="6"/>
      <c r="M652" s="6"/>
      <c r="N652" s="6"/>
      <c r="O652" s="6"/>
      <c r="P652" s="6"/>
      <c r="Q652" s="6"/>
      <c r="R652" s="6"/>
      <c r="S652" s="6"/>
      <c r="T652" s="6"/>
      <c r="U652" s="6"/>
    </row>
    <row r="653" spans="1:21">
      <c r="A653" s="82"/>
      <c r="B653" s="83"/>
      <c r="C653" s="82"/>
      <c r="D653" s="82"/>
      <c r="E653" s="82"/>
      <c r="F653" s="82"/>
      <c r="G653" s="222"/>
      <c r="H653" s="222"/>
      <c r="I653" s="222"/>
      <c r="J653" s="6"/>
      <c r="K653" s="6"/>
      <c r="L653" s="6"/>
      <c r="M653" s="6"/>
      <c r="N653" s="6"/>
      <c r="O653" s="6"/>
      <c r="P653" s="6"/>
      <c r="Q653" s="6"/>
      <c r="R653" s="6"/>
      <c r="S653" s="6"/>
      <c r="T653" s="6"/>
      <c r="U653" s="6"/>
    </row>
    <row r="654" spans="1:21">
      <c r="A654" s="82"/>
      <c r="B654" s="83"/>
      <c r="C654" s="82"/>
      <c r="D654" s="82"/>
      <c r="E654" s="82"/>
      <c r="F654" s="82"/>
      <c r="G654" s="222"/>
      <c r="H654" s="222"/>
      <c r="I654" s="222"/>
      <c r="J654" s="6"/>
      <c r="K654" s="6"/>
      <c r="L654" s="6"/>
      <c r="M654" s="6"/>
      <c r="N654" s="6"/>
      <c r="O654" s="6"/>
      <c r="P654" s="6"/>
      <c r="Q654" s="6"/>
      <c r="R654" s="6"/>
      <c r="S654" s="6"/>
      <c r="T654" s="6"/>
      <c r="U654" s="6"/>
    </row>
    <row r="655" spans="1:21">
      <c r="A655" s="82"/>
      <c r="B655" s="83"/>
      <c r="C655" s="82"/>
      <c r="D655" s="82"/>
      <c r="E655" s="82"/>
      <c r="F655" s="82"/>
      <c r="G655" s="222"/>
      <c r="H655" s="222"/>
      <c r="I655" s="222"/>
      <c r="J655" s="6"/>
      <c r="K655" s="6"/>
      <c r="L655" s="6"/>
      <c r="M655" s="6"/>
      <c r="N655" s="6"/>
      <c r="O655" s="6"/>
      <c r="P655" s="6"/>
      <c r="Q655" s="6"/>
      <c r="R655" s="6"/>
      <c r="S655" s="6"/>
      <c r="T655" s="6"/>
      <c r="U655" s="6"/>
    </row>
    <row r="656" spans="1:21">
      <c r="A656" s="82"/>
      <c r="B656" s="83"/>
      <c r="C656" s="82"/>
      <c r="D656" s="82"/>
      <c r="E656" s="82"/>
      <c r="F656" s="82"/>
      <c r="G656" s="222"/>
      <c r="H656" s="222"/>
      <c r="I656" s="222"/>
      <c r="J656" s="6"/>
      <c r="K656" s="6"/>
      <c r="L656" s="6"/>
      <c r="M656" s="6"/>
      <c r="N656" s="6"/>
      <c r="O656" s="6"/>
      <c r="P656" s="6"/>
      <c r="Q656" s="6"/>
      <c r="R656" s="6"/>
      <c r="S656" s="6"/>
      <c r="T656" s="6"/>
      <c r="U656" s="6"/>
    </row>
    <row r="657" spans="1:21">
      <c r="A657" s="82"/>
      <c r="B657" s="83"/>
      <c r="C657" s="82"/>
      <c r="D657" s="82"/>
      <c r="E657" s="82"/>
      <c r="F657" s="82"/>
      <c r="G657" s="222"/>
      <c r="H657" s="222"/>
      <c r="I657" s="222"/>
      <c r="J657" s="6"/>
      <c r="K657" s="6"/>
      <c r="L657" s="6"/>
      <c r="M657" s="6"/>
      <c r="N657" s="6"/>
      <c r="O657" s="6"/>
      <c r="P657" s="6"/>
      <c r="Q657" s="6"/>
      <c r="R657" s="6"/>
      <c r="S657" s="6"/>
      <c r="T657" s="6"/>
      <c r="U657" s="6"/>
    </row>
    <row r="658" spans="1:21">
      <c r="A658" s="82"/>
      <c r="B658" s="83"/>
      <c r="C658" s="82"/>
      <c r="D658" s="82"/>
      <c r="E658" s="82"/>
      <c r="F658" s="82"/>
      <c r="G658" s="222"/>
      <c r="H658" s="222"/>
      <c r="I658" s="222"/>
      <c r="J658" s="6"/>
      <c r="K658" s="6"/>
      <c r="L658" s="6"/>
      <c r="M658" s="6"/>
      <c r="N658" s="6"/>
      <c r="O658" s="6"/>
      <c r="P658" s="6"/>
      <c r="Q658" s="6"/>
      <c r="R658" s="6"/>
      <c r="S658" s="6"/>
      <c r="T658" s="6"/>
      <c r="U658" s="6"/>
    </row>
    <row r="659" spans="1:21">
      <c r="A659" s="82"/>
      <c r="B659" s="83"/>
      <c r="C659" s="82"/>
      <c r="D659" s="82"/>
      <c r="E659" s="82"/>
      <c r="F659" s="82"/>
      <c r="G659" s="222"/>
      <c r="H659" s="222"/>
      <c r="I659" s="222"/>
      <c r="J659" s="6"/>
      <c r="K659" s="6"/>
      <c r="L659" s="6"/>
      <c r="M659" s="6"/>
      <c r="N659" s="6"/>
      <c r="O659" s="6"/>
      <c r="P659" s="6"/>
      <c r="Q659" s="6"/>
      <c r="R659" s="6"/>
      <c r="S659" s="6"/>
      <c r="T659" s="6"/>
      <c r="U659" s="6"/>
    </row>
    <row r="660" spans="1:21">
      <c r="A660" s="82"/>
      <c r="B660" s="83"/>
      <c r="C660" s="82"/>
      <c r="D660" s="82"/>
      <c r="E660" s="82"/>
      <c r="F660" s="82"/>
      <c r="G660" s="222"/>
      <c r="H660" s="222"/>
      <c r="I660" s="222"/>
      <c r="J660" s="6"/>
      <c r="K660" s="6"/>
      <c r="L660" s="6"/>
      <c r="M660" s="6"/>
      <c r="N660" s="6"/>
      <c r="O660" s="6"/>
      <c r="P660" s="6"/>
      <c r="Q660" s="6"/>
      <c r="R660" s="6"/>
      <c r="S660" s="6"/>
      <c r="T660" s="6"/>
      <c r="U660" s="6"/>
    </row>
    <row r="661" spans="1:21">
      <c r="A661" s="82"/>
      <c r="B661" s="83"/>
      <c r="C661" s="82"/>
      <c r="D661" s="82"/>
      <c r="E661" s="82"/>
      <c r="F661" s="82"/>
      <c r="G661" s="222"/>
      <c r="H661" s="222"/>
      <c r="I661" s="222"/>
      <c r="J661" s="6"/>
      <c r="K661" s="6"/>
      <c r="L661" s="6"/>
      <c r="M661" s="6"/>
      <c r="N661" s="6"/>
      <c r="O661" s="6"/>
      <c r="P661" s="6"/>
      <c r="Q661" s="6"/>
      <c r="R661" s="6"/>
      <c r="S661" s="6"/>
      <c r="T661" s="6"/>
      <c r="U661" s="6"/>
    </row>
    <row r="662" spans="1:21">
      <c r="A662" s="82"/>
      <c r="B662" s="83"/>
      <c r="C662" s="82"/>
      <c r="D662" s="82"/>
      <c r="E662" s="82"/>
      <c r="F662" s="82"/>
      <c r="G662" s="222"/>
      <c r="H662" s="222"/>
      <c r="I662" s="222"/>
      <c r="J662" s="6"/>
      <c r="K662" s="6"/>
      <c r="L662" s="6"/>
      <c r="M662" s="6"/>
      <c r="N662" s="6"/>
      <c r="O662" s="6"/>
      <c r="P662" s="6"/>
      <c r="Q662" s="6"/>
      <c r="R662" s="6"/>
      <c r="S662" s="6"/>
      <c r="T662" s="6"/>
      <c r="U662" s="6"/>
    </row>
    <row r="663" spans="1:21">
      <c r="A663" s="82"/>
      <c r="B663" s="83"/>
      <c r="C663" s="82"/>
      <c r="D663" s="82"/>
      <c r="E663" s="82"/>
      <c r="F663" s="82"/>
      <c r="G663" s="222"/>
      <c r="H663" s="222"/>
      <c r="I663" s="222"/>
      <c r="J663" s="6"/>
      <c r="K663" s="6"/>
      <c r="L663" s="6"/>
      <c r="M663" s="6"/>
      <c r="N663" s="6"/>
      <c r="O663" s="6"/>
      <c r="P663" s="6"/>
      <c r="Q663" s="6"/>
      <c r="R663" s="6"/>
      <c r="S663" s="6"/>
      <c r="T663" s="6"/>
      <c r="U663" s="6"/>
    </row>
    <row r="664" spans="1:21">
      <c r="A664" s="82"/>
      <c r="B664" s="83"/>
      <c r="C664" s="82"/>
      <c r="D664" s="82"/>
      <c r="E664" s="82"/>
      <c r="F664" s="82"/>
      <c r="G664" s="222"/>
      <c r="H664" s="222"/>
      <c r="I664" s="222"/>
      <c r="J664" s="6"/>
      <c r="K664" s="6"/>
      <c r="L664" s="6"/>
      <c r="M664" s="6"/>
      <c r="N664" s="6"/>
      <c r="O664" s="6"/>
      <c r="P664" s="6"/>
      <c r="Q664" s="6"/>
      <c r="R664" s="6"/>
      <c r="S664" s="6"/>
      <c r="T664" s="6"/>
      <c r="U664" s="6"/>
    </row>
    <row r="665" spans="1:21">
      <c r="A665" s="82"/>
      <c r="B665" s="83"/>
      <c r="C665" s="82"/>
      <c r="D665" s="82"/>
      <c r="E665" s="82"/>
      <c r="F665" s="82"/>
      <c r="G665" s="222"/>
      <c r="H665" s="222"/>
      <c r="I665" s="222"/>
      <c r="J665" s="6"/>
      <c r="K665" s="6"/>
      <c r="L665" s="6"/>
      <c r="M665" s="6"/>
      <c r="N665" s="6"/>
      <c r="O665" s="6"/>
      <c r="P665" s="6"/>
      <c r="Q665" s="6"/>
      <c r="R665" s="6"/>
      <c r="S665" s="6"/>
      <c r="T665" s="6"/>
      <c r="U665" s="6"/>
    </row>
    <row r="666" spans="1:21">
      <c r="A666" s="82"/>
      <c r="B666" s="83"/>
      <c r="C666" s="82"/>
      <c r="D666" s="82"/>
      <c r="E666" s="82"/>
      <c r="F666" s="82"/>
      <c r="G666" s="222"/>
      <c r="H666" s="222"/>
      <c r="I666" s="222"/>
      <c r="J666" s="6"/>
      <c r="K666" s="6"/>
      <c r="L666" s="6"/>
      <c r="M666" s="6"/>
      <c r="N666" s="6"/>
      <c r="O666" s="6"/>
      <c r="P666" s="6"/>
      <c r="Q666" s="6"/>
      <c r="R666" s="6"/>
      <c r="S666" s="6"/>
      <c r="T666" s="6"/>
      <c r="U666" s="6"/>
    </row>
    <row r="667" spans="1:21">
      <c r="A667" s="82"/>
      <c r="B667" s="83"/>
      <c r="C667" s="82"/>
      <c r="D667" s="82"/>
      <c r="E667" s="82"/>
      <c r="F667" s="82"/>
      <c r="G667" s="222"/>
      <c r="H667" s="222"/>
      <c r="I667" s="222"/>
      <c r="J667" s="6"/>
      <c r="K667" s="6"/>
      <c r="L667" s="6"/>
      <c r="M667" s="6"/>
      <c r="N667" s="6"/>
      <c r="O667" s="6"/>
      <c r="P667" s="6"/>
      <c r="Q667" s="6"/>
      <c r="R667" s="6"/>
      <c r="S667" s="6"/>
      <c r="T667" s="6"/>
      <c r="U667" s="6"/>
    </row>
    <row r="668" spans="1:21">
      <c r="A668" s="82"/>
      <c r="B668" s="83"/>
      <c r="C668" s="82"/>
      <c r="D668" s="82"/>
      <c r="E668" s="82"/>
      <c r="F668" s="82"/>
      <c r="G668" s="222"/>
      <c r="H668" s="222"/>
      <c r="I668" s="222"/>
      <c r="J668" s="6"/>
      <c r="K668" s="6"/>
      <c r="L668" s="6"/>
      <c r="M668" s="6"/>
      <c r="N668" s="6"/>
      <c r="O668" s="6"/>
      <c r="P668" s="6"/>
      <c r="Q668" s="6"/>
      <c r="R668" s="6"/>
      <c r="S668" s="6"/>
      <c r="T668" s="6"/>
      <c r="U668" s="6"/>
    </row>
    <row r="669" spans="1:21">
      <c r="A669" s="82"/>
      <c r="B669" s="83"/>
      <c r="C669" s="82"/>
      <c r="D669" s="82"/>
      <c r="E669" s="82"/>
      <c r="F669" s="82"/>
      <c r="G669" s="222"/>
      <c r="H669" s="222"/>
      <c r="I669" s="222"/>
      <c r="J669" s="6"/>
      <c r="K669" s="6"/>
      <c r="L669" s="6"/>
      <c r="M669" s="6"/>
      <c r="N669" s="6"/>
      <c r="O669" s="6"/>
      <c r="P669" s="6"/>
      <c r="Q669" s="6"/>
      <c r="R669" s="6"/>
      <c r="S669" s="6"/>
      <c r="T669" s="6"/>
      <c r="U669" s="6"/>
    </row>
    <row r="670" spans="1:21">
      <c r="A670" s="82"/>
      <c r="B670" s="83"/>
      <c r="C670" s="82"/>
      <c r="D670" s="82"/>
      <c r="E670" s="82"/>
      <c r="F670" s="82"/>
      <c r="G670" s="222"/>
      <c r="H670" s="222"/>
      <c r="I670" s="222"/>
      <c r="J670" s="6"/>
      <c r="K670" s="6"/>
      <c r="L670" s="6"/>
      <c r="M670" s="6"/>
      <c r="N670" s="6"/>
      <c r="O670" s="6"/>
      <c r="P670" s="6"/>
      <c r="Q670" s="6"/>
      <c r="R670" s="6"/>
      <c r="S670" s="6"/>
      <c r="T670" s="6"/>
      <c r="U670" s="6"/>
    </row>
    <row r="671" spans="1:21">
      <c r="A671" s="82"/>
      <c r="B671" s="83"/>
      <c r="C671" s="82"/>
      <c r="D671" s="82"/>
      <c r="E671" s="82"/>
      <c r="F671" s="82"/>
      <c r="G671" s="222"/>
      <c r="H671" s="222"/>
      <c r="I671" s="222"/>
      <c r="J671" s="6"/>
      <c r="K671" s="6"/>
      <c r="L671" s="6"/>
      <c r="M671" s="6"/>
      <c r="N671" s="6"/>
      <c r="O671" s="6"/>
      <c r="P671" s="6"/>
      <c r="Q671" s="6"/>
      <c r="R671" s="6"/>
      <c r="S671" s="6"/>
      <c r="T671" s="6"/>
      <c r="U671" s="6"/>
    </row>
    <row r="672" spans="1:21">
      <c r="A672" s="82"/>
      <c r="B672" s="83"/>
      <c r="C672" s="82"/>
      <c r="D672" s="82"/>
      <c r="E672" s="82"/>
      <c r="F672" s="82"/>
      <c r="G672" s="222"/>
      <c r="H672" s="222"/>
      <c r="I672" s="222"/>
      <c r="J672" s="6"/>
      <c r="K672" s="6"/>
      <c r="L672" s="6"/>
      <c r="M672" s="6"/>
      <c r="N672" s="6"/>
      <c r="O672" s="6"/>
      <c r="P672" s="6"/>
      <c r="Q672" s="6"/>
      <c r="R672" s="6"/>
      <c r="S672" s="6"/>
      <c r="T672" s="6"/>
      <c r="U672" s="6"/>
    </row>
    <row r="673" spans="1:21">
      <c r="A673" s="82"/>
      <c r="B673" s="83"/>
      <c r="C673" s="82"/>
      <c r="D673" s="82"/>
      <c r="E673" s="82"/>
      <c r="F673" s="82"/>
      <c r="G673" s="222"/>
      <c r="H673" s="222"/>
      <c r="I673" s="222"/>
      <c r="J673" s="6"/>
      <c r="K673" s="6"/>
      <c r="L673" s="6"/>
      <c r="M673" s="6"/>
      <c r="N673" s="6"/>
      <c r="O673" s="6"/>
      <c r="P673" s="6"/>
      <c r="Q673" s="6"/>
      <c r="R673" s="6"/>
      <c r="S673" s="6"/>
      <c r="T673" s="6"/>
      <c r="U673" s="6"/>
    </row>
    <row r="674" spans="1:21">
      <c r="A674" s="82"/>
      <c r="B674" s="83"/>
      <c r="C674" s="82"/>
      <c r="D674" s="82"/>
      <c r="E674" s="82"/>
      <c r="F674" s="82"/>
      <c r="G674" s="222"/>
      <c r="H674" s="222"/>
      <c r="I674" s="222"/>
      <c r="J674" s="6"/>
      <c r="K674" s="6"/>
      <c r="L674" s="6"/>
      <c r="M674" s="6"/>
      <c r="N674" s="6"/>
      <c r="O674" s="6"/>
      <c r="P674" s="6"/>
      <c r="Q674" s="6"/>
      <c r="R674" s="6"/>
      <c r="S674" s="6"/>
      <c r="T674" s="6"/>
      <c r="U674" s="6"/>
    </row>
    <row r="675" spans="1:21">
      <c r="A675" s="82"/>
      <c r="B675" s="83"/>
      <c r="C675" s="82"/>
      <c r="D675" s="82"/>
      <c r="E675" s="82"/>
      <c r="F675" s="82"/>
      <c r="G675" s="222"/>
      <c r="H675" s="222"/>
      <c r="I675" s="222"/>
      <c r="J675" s="6"/>
      <c r="K675" s="6"/>
      <c r="L675" s="6"/>
      <c r="M675" s="6"/>
      <c r="N675" s="6"/>
      <c r="O675" s="6"/>
      <c r="P675" s="6"/>
      <c r="Q675" s="6"/>
      <c r="R675" s="6"/>
      <c r="S675" s="6"/>
      <c r="T675" s="6"/>
      <c r="U675" s="6"/>
    </row>
    <row r="676" spans="1:21">
      <c r="A676" s="82"/>
      <c r="B676" s="83"/>
      <c r="C676" s="82"/>
      <c r="D676" s="82"/>
      <c r="E676" s="82"/>
      <c r="F676" s="82"/>
      <c r="G676" s="222"/>
      <c r="H676" s="222"/>
      <c r="I676" s="222"/>
      <c r="J676" s="6"/>
      <c r="K676" s="6"/>
      <c r="L676" s="6"/>
      <c r="M676" s="6"/>
      <c r="N676" s="6"/>
      <c r="O676" s="6"/>
      <c r="P676" s="6"/>
      <c r="Q676" s="6"/>
      <c r="R676" s="6"/>
      <c r="S676" s="6"/>
      <c r="T676" s="6"/>
      <c r="U676" s="6"/>
    </row>
    <row r="677" spans="1:21">
      <c r="A677" s="82"/>
      <c r="B677" s="83"/>
      <c r="C677" s="82"/>
      <c r="D677" s="82"/>
      <c r="E677" s="82"/>
      <c r="F677" s="82"/>
      <c r="G677" s="222"/>
      <c r="H677" s="222"/>
      <c r="I677" s="222"/>
      <c r="J677" s="6"/>
      <c r="K677" s="6"/>
      <c r="L677" s="6"/>
      <c r="M677" s="6"/>
      <c r="N677" s="6"/>
      <c r="O677" s="6"/>
      <c r="P677" s="6"/>
      <c r="Q677" s="6"/>
      <c r="R677" s="6"/>
      <c r="S677" s="6"/>
      <c r="T677" s="6"/>
      <c r="U677" s="6"/>
    </row>
    <row r="678" spans="1:21">
      <c r="A678" s="82"/>
      <c r="B678" s="83"/>
      <c r="C678" s="82"/>
      <c r="D678" s="82"/>
      <c r="E678" s="82"/>
      <c r="F678" s="82"/>
      <c r="G678" s="222"/>
      <c r="H678" s="222"/>
      <c r="I678" s="222"/>
      <c r="J678" s="6"/>
      <c r="K678" s="6"/>
      <c r="L678" s="6"/>
      <c r="M678" s="6"/>
      <c r="N678" s="6"/>
      <c r="O678" s="6"/>
      <c r="P678" s="6"/>
      <c r="Q678" s="6"/>
      <c r="R678" s="6"/>
      <c r="S678" s="6"/>
      <c r="T678" s="6"/>
      <c r="U678" s="6"/>
    </row>
    <row r="679" spans="1:21">
      <c r="A679" s="82"/>
      <c r="B679" s="83"/>
      <c r="C679" s="82"/>
      <c r="D679" s="82"/>
      <c r="E679" s="82"/>
      <c r="F679" s="82"/>
      <c r="G679" s="222"/>
      <c r="H679" s="222"/>
      <c r="I679" s="222"/>
      <c r="J679" s="6"/>
      <c r="K679" s="6"/>
      <c r="L679" s="6"/>
      <c r="M679" s="6"/>
      <c r="N679" s="6"/>
      <c r="O679" s="6"/>
      <c r="P679" s="6"/>
      <c r="Q679" s="6"/>
      <c r="R679" s="6"/>
      <c r="S679" s="6"/>
      <c r="T679" s="6"/>
      <c r="U679" s="6"/>
    </row>
    <row r="680" spans="1:21">
      <c r="A680" s="82"/>
      <c r="B680" s="83"/>
      <c r="C680" s="82"/>
      <c r="D680" s="82"/>
      <c r="E680" s="82"/>
      <c r="F680" s="82"/>
      <c r="G680" s="222"/>
      <c r="H680" s="222"/>
      <c r="I680" s="222"/>
      <c r="J680" s="6"/>
      <c r="K680" s="6"/>
      <c r="L680" s="6"/>
      <c r="M680" s="6"/>
      <c r="N680" s="6"/>
      <c r="O680" s="6"/>
      <c r="P680" s="6"/>
      <c r="Q680" s="6"/>
      <c r="R680" s="6"/>
      <c r="S680" s="6"/>
      <c r="T680" s="6"/>
      <c r="U680" s="6"/>
    </row>
    <row r="681" spans="1:21">
      <c r="A681" s="82"/>
      <c r="B681" s="83"/>
      <c r="C681" s="82"/>
      <c r="D681" s="82"/>
      <c r="E681" s="82"/>
      <c r="F681" s="82"/>
      <c r="G681" s="222"/>
      <c r="H681" s="222"/>
      <c r="I681" s="222"/>
      <c r="J681" s="6"/>
      <c r="K681" s="6"/>
      <c r="L681" s="6"/>
      <c r="M681" s="6"/>
      <c r="N681" s="6"/>
      <c r="O681" s="6"/>
      <c r="P681" s="6"/>
      <c r="Q681" s="6"/>
      <c r="R681" s="6"/>
      <c r="S681" s="6"/>
      <c r="T681" s="6"/>
      <c r="U681" s="6"/>
    </row>
    <row r="682" spans="1:21">
      <c r="A682" s="82"/>
      <c r="B682" s="83"/>
      <c r="C682" s="82"/>
      <c r="D682" s="82"/>
      <c r="E682" s="82"/>
      <c r="F682" s="82"/>
      <c r="G682" s="222"/>
      <c r="H682" s="222"/>
      <c r="I682" s="222"/>
      <c r="J682" s="6"/>
      <c r="K682" s="6"/>
      <c r="L682" s="6"/>
      <c r="M682" s="6"/>
      <c r="N682" s="6"/>
      <c r="O682" s="6"/>
      <c r="P682" s="6"/>
      <c r="Q682" s="6"/>
      <c r="R682" s="6"/>
      <c r="S682" s="6"/>
      <c r="T682" s="6"/>
      <c r="U682" s="6"/>
    </row>
    <row r="683" spans="1:21">
      <c r="A683" s="82"/>
      <c r="B683" s="83"/>
      <c r="C683" s="82"/>
      <c r="D683" s="82"/>
      <c r="E683" s="82"/>
      <c r="F683" s="82"/>
      <c r="G683" s="222"/>
      <c r="H683" s="222"/>
      <c r="I683" s="222"/>
      <c r="J683" s="6"/>
      <c r="K683" s="6"/>
      <c r="L683" s="6"/>
      <c r="M683" s="6"/>
      <c r="N683" s="6"/>
      <c r="O683" s="6"/>
      <c r="P683" s="6"/>
      <c r="Q683" s="6"/>
      <c r="R683" s="6"/>
      <c r="S683" s="6"/>
      <c r="T683" s="6"/>
      <c r="U683" s="6"/>
    </row>
    <row r="684" spans="1:21">
      <c r="A684" s="82"/>
      <c r="B684" s="83"/>
      <c r="C684" s="82"/>
      <c r="D684" s="82"/>
      <c r="E684" s="82"/>
      <c r="F684" s="82"/>
      <c r="G684" s="222"/>
      <c r="H684" s="222"/>
      <c r="I684" s="222"/>
      <c r="J684" s="6"/>
      <c r="K684" s="6"/>
      <c r="L684" s="6"/>
      <c r="M684" s="6"/>
      <c r="N684" s="6"/>
      <c r="O684" s="6"/>
      <c r="P684" s="6"/>
      <c r="Q684" s="6"/>
      <c r="R684" s="6"/>
      <c r="S684" s="6"/>
      <c r="T684" s="6"/>
      <c r="U684" s="6"/>
    </row>
    <row r="685" spans="1:21">
      <c r="A685" s="82"/>
      <c r="B685" s="83"/>
      <c r="C685" s="82"/>
      <c r="D685" s="82"/>
      <c r="E685" s="82"/>
      <c r="F685" s="82"/>
      <c r="G685" s="222"/>
      <c r="H685" s="222"/>
      <c r="I685" s="222"/>
      <c r="J685" s="6"/>
      <c r="K685" s="6"/>
      <c r="L685" s="6"/>
      <c r="M685" s="6"/>
      <c r="N685" s="6"/>
      <c r="O685" s="6"/>
      <c r="P685" s="6"/>
      <c r="Q685" s="6"/>
      <c r="R685" s="6"/>
      <c r="S685" s="6"/>
      <c r="T685" s="6"/>
      <c r="U685" s="6"/>
    </row>
    <row r="686" spans="1:21">
      <c r="A686" s="82"/>
      <c r="B686" s="83"/>
      <c r="C686" s="82"/>
      <c r="D686" s="82"/>
      <c r="E686" s="82"/>
      <c r="F686" s="82"/>
      <c r="G686" s="222"/>
      <c r="H686" s="222"/>
      <c r="I686" s="222"/>
      <c r="J686" s="6"/>
      <c r="K686" s="6"/>
      <c r="L686" s="6"/>
      <c r="M686" s="6"/>
      <c r="N686" s="6"/>
      <c r="O686" s="6"/>
      <c r="P686" s="6"/>
      <c r="Q686" s="6"/>
      <c r="R686" s="6"/>
      <c r="S686" s="6"/>
      <c r="T686" s="6"/>
      <c r="U686" s="6"/>
    </row>
    <row r="687" spans="1:21">
      <c r="A687" s="82"/>
      <c r="B687" s="83"/>
      <c r="C687" s="82"/>
      <c r="D687" s="82"/>
      <c r="E687" s="82"/>
      <c r="F687" s="82"/>
      <c r="G687" s="222"/>
      <c r="H687" s="222"/>
      <c r="I687" s="222"/>
      <c r="J687" s="6"/>
      <c r="K687" s="6"/>
      <c r="L687" s="6"/>
      <c r="M687" s="6"/>
      <c r="N687" s="6"/>
      <c r="O687" s="6"/>
      <c r="P687" s="6"/>
      <c r="Q687" s="6"/>
      <c r="R687" s="6"/>
      <c r="S687" s="6"/>
      <c r="T687" s="6"/>
      <c r="U687" s="6"/>
    </row>
    <row r="688" spans="1:21">
      <c r="A688" s="82"/>
      <c r="B688" s="83"/>
      <c r="C688" s="82"/>
      <c r="D688" s="82"/>
      <c r="E688" s="82"/>
      <c r="F688" s="82"/>
      <c r="G688" s="222"/>
      <c r="H688" s="222"/>
      <c r="I688" s="222"/>
      <c r="J688" s="6"/>
      <c r="K688" s="6"/>
      <c r="L688" s="6"/>
      <c r="M688" s="6"/>
      <c r="N688" s="6"/>
      <c r="O688" s="6"/>
      <c r="P688" s="6"/>
      <c r="Q688" s="6"/>
      <c r="R688" s="6"/>
      <c r="S688" s="6"/>
      <c r="T688" s="6"/>
      <c r="U688" s="6"/>
    </row>
    <row r="689" spans="1:21">
      <c r="A689" s="82"/>
      <c r="B689" s="83"/>
      <c r="C689" s="82"/>
      <c r="D689" s="82"/>
      <c r="E689" s="82"/>
      <c r="F689" s="82"/>
      <c r="G689" s="222"/>
      <c r="H689" s="222"/>
      <c r="I689" s="222"/>
      <c r="J689" s="6"/>
      <c r="K689" s="6"/>
      <c r="L689" s="6"/>
      <c r="M689" s="6"/>
      <c r="N689" s="6"/>
      <c r="O689" s="6"/>
      <c r="P689" s="6"/>
      <c r="Q689" s="6"/>
      <c r="R689" s="6"/>
      <c r="S689" s="6"/>
      <c r="T689" s="6"/>
      <c r="U689" s="6"/>
    </row>
    <row r="690" spans="1:21">
      <c r="A690" s="82"/>
      <c r="B690" s="83"/>
      <c r="C690" s="82"/>
      <c r="D690" s="82"/>
      <c r="E690" s="82"/>
      <c r="F690" s="82"/>
      <c r="G690" s="222"/>
      <c r="H690" s="222"/>
      <c r="I690" s="222"/>
      <c r="J690" s="6"/>
      <c r="K690" s="6"/>
      <c r="L690" s="6"/>
      <c r="M690" s="6"/>
      <c r="N690" s="6"/>
      <c r="O690" s="6"/>
      <c r="P690" s="6"/>
      <c r="Q690" s="6"/>
      <c r="R690" s="6"/>
      <c r="S690" s="6"/>
      <c r="T690" s="6"/>
      <c r="U690" s="6"/>
    </row>
    <row r="691" spans="1:21">
      <c r="A691" s="82"/>
      <c r="B691" s="83"/>
      <c r="C691" s="82"/>
      <c r="D691" s="82"/>
      <c r="E691" s="82"/>
      <c r="F691" s="82"/>
      <c r="G691" s="222"/>
      <c r="H691" s="222"/>
      <c r="I691" s="222"/>
      <c r="J691" s="6"/>
      <c r="K691" s="6"/>
      <c r="L691" s="6"/>
      <c r="M691" s="6"/>
      <c r="N691" s="6"/>
      <c r="O691" s="6"/>
      <c r="P691" s="6"/>
      <c r="Q691" s="6"/>
      <c r="R691" s="6"/>
      <c r="S691" s="6"/>
      <c r="T691" s="6"/>
      <c r="U691" s="6"/>
    </row>
    <row r="692" spans="1:21">
      <c r="A692" s="82"/>
      <c r="B692" s="83"/>
      <c r="C692" s="82"/>
      <c r="D692" s="82"/>
      <c r="E692" s="82"/>
      <c r="F692" s="82"/>
      <c r="G692" s="222"/>
      <c r="H692" s="222"/>
      <c r="I692" s="222"/>
      <c r="J692" s="6"/>
      <c r="K692" s="6"/>
      <c r="L692" s="6"/>
      <c r="M692" s="6"/>
      <c r="N692" s="6"/>
      <c r="O692" s="6"/>
      <c r="P692" s="6"/>
      <c r="Q692" s="6"/>
      <c r="R692" s="6"/>
      <c r="S692" s="6"/>
      <c r="T692" s="6"/>
      <c r="U692" s="6"/>
    </row>
    <row r="693" spans="1:21">
      <c r="A693" s="82"/>
      <c r="B693" s="83"/>
      <c r="C693" s="82"/>
      <c r="D693" s="82"/>
      <c r="E693" s="82"/>
      <c r="F693" s="82"/>
      <c r="G693" s="222"/>
      <c r="H693" s="222"/>
      <c r="I693" s="222"/>
      <c r="J693" s="6"/>
      <c r="K693" s="6"/>
      <c r="L693" s="6"/>
      <c r="M693" s="6"/>
      <c r="N693" s="6"/>
      <c r="O693" s="6"/>
      <c r="P693" s="6"/>
      <c r="Q693" s="6"/>
      <c r="R693" s="6"/>
      <c r="S693" s="6"/>
      <c r="T693" s="6"/>
      <c r="U693" s="6"/>
    </row>
    <row r="694" spans="1:21">
      <c r="A694" s="82"/>
      <c r="B694" s="83"/>
      <c r="C694" s="82"/>
      <c r="D694" s="82"/>
      <c r="E694" s="82"/>
      <c r="F694" s="82"/>
      <c r="G694" s="222"/>
      <c r="H694" s="222"/>
      <c r="I694" s="222"/>
      <c r="J694" s="6"/>
      <c r="K694" s="6"/>
      <c r="L694" s="6"/>
      <c r="M694" s="6"/>
      <c r="N694" s="6"/>
      <c r="O694" s="6"/>
      <c r="P694" s="6"/>
      <c r="Q694" s="6"/>
      <c r="R694" s="6"/>
      <c r="S694" s="6"/>
      <c r="T694" s="6"/>
      <c r="U694" s="6"/>
    </row>
    <row r="695" spans="1:21">
      <c r="A695" s="82"/>
      <c r="B695" s="83"/>
      <c r="C695" s="82"/>
      <c r="D695" s="82"/>
      <c r="E695" s="82"/>
      <c r="F695" s="82"/>
      <c r="G695" s="222"/>
      <c r="H695" s="222"/>
      <c r="I695" s="222"/>
      <c r="J695" s="6"/>
      <c r="K695" s="6"/>
      <c r="L695" s="6"/>
      <c r="M695" s="6"/>
      <c r="N695" s="6"/>
      <c r="O695" s="6"/>
      <c r="P695" s="6"/>
      <c r="Q695" s="6"/>
      <c r="R695" s="6"/>
      <c r="S695" s="6"/>
      <c r="T695" s="6"/>
      <c r="U695" s="6"/>
    </row>
    <row r="696" spans="1:21">
      <c r="A696" s="82"/>
      <c r="B696" s="83"/>
      <c r="C696" s="82"/>
      <c r="D696" s="82"/>
      <c r="E696" s="82"/>
      <c r="F696" s="82"/>
      <c r="G696" s="222"/>
      <c r="H696" s="222"/>
      <c r="I696" s="222"/>
      <c r="J696" s="6"/>
      <c r="K696" s="6"/>
      <c r="L696" s="6"/>
      <c r="M696" s="6"/>
      <c r="N696" s="6"/>
      <c r="O696" s="6"/>
      <c r="P696" s="6"/>
      <c r="Q696" s="6"/>
      <c r="R696" s="6"/>
      <c r="S696" s="6"/>
      <c r="T696" s="6"/>
      <c r="U696" s="6"/>
    </row>
    <row r="697" spans="1:21">
      <c r="A697" s="82"/>
      <c r="B697" s="83"/>
      <c r="C697" s="82"/>
      <c r="D697" s="82"/>
      <c r="E697" s="82"/>
      <c r="F697" s="82"/>
      <c r="G697" s="222"/>
      <c r="H697" s="222"/>
      <c r="I697" s="222"/>
      <c r="J697" s="6"/>
      <c r="K697" s="6"/>
      <c r="L697" s="6"/>
      <c r="M697" s="6"/>
      <c r="N697" s="6"/>
      <c r="O697" s="6"/>
      <c r="P697" s="6"/>
      <c r="Q697" s="6"/>
      <c r="R697" s="6"/>
      <c r="S697" s="6"/>
      <c r="T697" s="6"/>
      <c r="U697" s="6"/>
    </row>
    <row r="698" spans="1:21">
      <c r="A698" s="82"/>
      <c r="B698" s="83"/>
      <c r="C698" s="82"/>
      <c r="D698" s="82"/>
      <c r="E698" s="82"/>
      <c r="F698" s="82"/>
      <c r="G698" s="222"/>
      <c r="H698" s="222"/>
      <c r="I698" s="222"/>
      <c r="J698" s="6"/>
      <c r="K698" s="6"/>
      <c r="L698" s="6"/>
      <c r="M698" s="6"/>
      <c r="N698" s="6"/>
      <c r="O698" s="6"/>
      <c r="P698" s="6"/>
      <c r="Q698" s="6"/>
      <c r="R698" s="6"/>
      <c r="S698" s="6"/>
      <c r="T698" s="6"/>
      <c r="U698" s="6"/>
    </row>
    <row r="699" spans="1:21">
      <c r="A699" s="82"/>
      <c r="B699" s="83"/>
      <c r="C699" s="82"/>
      <c r="D699" s="82"/>
      <c r="E699" s="82"/>
      <c r="F699" s="82"/>
      <c r="G699" s="222"/>
      <c r="H699" s="222"/>
      <c r="I699" s="222"/>
      <c r="J699" s="6"/>
      <c r="K699" s="6"/>
      <c r="L699" s="6"/>
      <c r="M699" s="6"/>
      <c r="N699" s="6"/>
      <c r="O699" s="6"/>
      <c r="P699" s="6"/>
      <c r="Q699" s="6"/>
      <c r="R699" s="6"/>
      <c r="S699" s="6"/>
      <c r="T699" s="6"/>
      <c r="U699" s="6"/>
    </row>
    <row r="700" spans="1:21">
      <c r="A700" s="82"/>
      <c r="B700" s="83"/>
      <c r="C700" s="82"/>
      <c r="D700" s="82"/>
      <c r="E700" s="82"/>
      <c r="F700" s="82"/>
      <c r="G700" s="222"/>
      <c r="H700" s="222"/>
      <c r="I700" s="222"/>
      <c r="J700" s="6"/>
      <c r="K700" s="6"/>
      <c r="L700" s="6"/>
      <c r="M700" s="6"/>
      <c r="N700" s="6"/>
      <c r="O700" s="6"/>
      <c r="P700" s="6"/>
      <c r="Q700" s="6"/>
      <c r="R700" s="6"/>
      <c r="S700" s="6"/>
      <c r="T700" s="6"/>
      <c r="U700" s="6"/>
    </row>
    <row r="701" spans="1:21">
      <c r="A701" s="82"/>
      <c r="B701" s="83"/>
      <c r="C701" s="82"/>
      <c r="D701" s="82"/>
      <c r="E701" s="82"/>
      <c r="F701" s="82"/>
      <c r="G701" s="222"/>
      <c r="H701" s="222"/>
      <c r="I701" s="222"/>
      <c r="J701" s="6"/>
      <c r="K701" s="6"/>
      <c r="L701" s="6"/>
      <c r="M701" s="6"/>
      <c r="N701" s="6"/>
      <c r="O701" s="6"/>
      <c r="P701" s="6"/>
      <c r="Q701" s="6"/>
      <c r="R701" s="6"/>
      <c r="S701" s="6"/>
      <c r="T701" s="6"/>
      <c r="U701" s="6"/>
    </row>
    <row r="702" spans="1:21">
      <c r="A702" s="82"/>
      <c r="B702" s="83"/>
      <c r="C702" s="82"/>
      <c r="D702" s="82"/>
      <c r="E702" s="82"/>
      <c r="F702" s="82"/>
      <c r="G702" s="222"/>
      <c r="H702" s="222"/>
      <c r="I702" s="222"/>
      <c r="J702" s="6"/>
      <c r="K702" s="6"/>
      <c r="L702" s="6"/>
      <c r="M702" s="6"/>
      <c r="N702" s="6"/>
      <c r="O702" s="6"/>
      <c r="P702" s="6"/>
      <c r="Q702" s="6"/>
      <c r="R702" s="6"/>
      <c r="S702" s="6"/>
      <c r="T702" s="6"/>
      <c r="U702" s="6"/>
    </row>
    <row r="703" spans="1:21">
      <c r="A703" s="82"/>
      <c r="B703" s="83"/>
      <c r="C703" s="82"/>
      <c r="D703" s="82"/>
      <c r="E703" s="82"/>
      <c r="F703" s="82"/>
      <c r="G703" s="222"/>
      <c r="H703" s="222"/>
      <c r="I703" s="222"/>
      <c r="J703" s="6"/>
      <c r="K703" s="6"/>
      <c r="L703" s="6"/>
      <c r="M703" s="6"/>
      <c r="N703" s="6"/>
      <c r="O703" s="6"/>
      <c r="P703" s="6"/>
      <c r="Q703" s="6"/>
      <c r="R703" s="6"/>
      <c r="S703" s="6"/>
      <c r="T703" s="6"/>
      <c r="U703" s="6"/>
    </row>
    <row r="704" spans="1:21">
      <c r="A704" s="82"/>
      <c r="B704" s="83"/>
      <c r="C704" s="82"/>
      <c r="D704" s="82"/>
      <c r="E704" s="82"/>
      <c r="F704" s="82"/>
      <c r="G704" s="222"/>
      <c r="H704" s="222"/>
      <c r="I704" s="222"/>
      <c r="J704" s="6"/>
      <c r="K704" s="6"/>
      <c r="L704" s="6"/>
      <c r="M704" s="6"/>
      <c r="N704" s="6"/>
      <c r="O704" s="6"/>
      <c r="P704" s="6"/>
      <c r="Q704" s="6"/>
      <c r="R704" s="6"/>
      <c r="S704" s="6"/>
      <c r="T704" s="6"/>
      <c r="U704" s="6"/>
    </row>
    <row r="705" spans="1:21">
      <c r="A705" s="82"/>
      <c r="B705" s="83"/>
      <c r="C705" s="82"/>
      <c r="D705" s="82"/>
      <c r="E705" s="82"/>
      <c r="F705" s="82"/>
      <c r="G705" s="222"/>
      <c r="H705" s="222"/>
      <c r="I705" s="222"/>
      <c r="J705" s="6"/>
      <c r="K705" s="6"/>
      <c r="L705" s="6"/>
      <c r="M705" s="6"/>
      <c r="N705" s="6"/>
      <c r="O705" s="6"/>
      <c r="P705" s="6"/>
      <c r="Q705" s="6"/>
      <c r="R705" s="6"/>
      <c r="S705" s="6"/>
      <c r="T705" s="6"/>
      <c r="U705" s="6"/>
    </row>
    <row r="706" spans="1:21">
      <c r="A706" s="82"/>
      <c r="B706" s="83"/>
      <c r="C706" s="82"/>
      <c r="D706" s="82"/>
      <c r="E706" s="82"/>
      <c r="F706" s="82"/>
      <c r="G706" s="222"/>
      <c r="H706" s="222"/>
      <c r="I706" s="222"/>
      <c r="J706" s="6"/>
      <c r="K706" s="6"/>
      <c r="L706" s="6"/>
      <c r="M706" s="6"/>
      <c r="N706" s="6"/>
      <c r="O706" s="6"/>
      <c r="P706" s="6"/>
      <c r="Q706" s="6"/>
      <c r="R706" s="6"/>
      <c r="S706" s="6"/>
      <c r="T706" s="6"/>
      <c r="U706" s="6"/>
    </row>
    <row r="707" spans="1:21">
      <c r="A707" s="82"/>
      <c r="B707" s="83"/>
      <c r="C707" s="82"/>
      <c r="D707" s="82"/>
      <c r="E707" s="82"/>
      <c r="F707" s="82"/>
      <c r="G707" s="222"/>
      <c r="H707" s="222"/>
      <c r="I707" s="222"/>
      <c r="J707" s="6"/>
      <c r="K707" s="6"/>
      <c r="L707" s="6"/>
      <c r="M707" s="6"/>
      <c r="N707" s="6"/>
      <c r="O707" s="6"/>
      <c r="P707" s="6"/>
      <c r="Q707" s="6"/>
      <c r="R707" s="6"/>
      <c r="S707" s="6"/>
      <c r="T707" s="6"/>
      <c r="U707" s="6"/>
    </row>
    <row r="708" spans="1:21">
      <c r="A708" s="82"/>
      <c r="B708" s="83"/>
      <c r="C708" s="82"/>
      <c r="D708" s="82"/>
      <c r="E708" s="82"/>
      <c r="F708" s="82"/>
      <c r="G708" s="222"/>
      <c r="H708" s="222"/>
      <c r="I708" s="222"/>
      <c r="J708" s="6"/>
      <c r="K708" s="6"/>
      <c r="L708" s="6"/>
      <c r="M708" s="6"/>
      <c r="N708" s="6"/>
      <c r="O708" s="6"/>
      <c r="P708" s="6"/>
      <c r="Q708" s="6"/>
      <c r="R708" s="6"/>
      <c r="S708" s="6"/>
      <c r="T708" s="6"/>
      <c r="U708" s="6"/>
    </row>
    <row r="709" spans="1:21">
      <c r="A709" s="82"/>
      <c r="B709" s="83"/>
      <c r="C709" s="82"/>
      <c r="D709" s="82"/>
      <c r="E709" s="82"/>
      <c r="F709" s="82"/>
      <c r="G709" s="222"/>
      <c r="H709" s="222"/>
      <c r="I709" s="222"/>
      <c r="J709" s="6"/>
      <c r="K709" s="6"/>
      <c r="L709" s="6"/>
      <c r="M709" s="6"/>
      <c r="N709" s="6"/>
      <c r="O709" s="6"/>
      <c r="P709" s="6"/>
      <c r="Q709" s="6"/>
      <c r="R709" s="6"/>
      <c r="S709" s="6"/>
      <c r="T709" s="6"/>
      <c r="U709" s="6"/>
    </row>
    <row r="710" spans="1:21">
      <c r="A710" s="82"/>
      <c r="B710" s="83"/>
      <c r="C710" s="82"/>
      <c r="D710" s="82"/>
      <c r="E710" s="82"/>
      <c r="F710" s="82"/>
      <c r="G710" s="222"/>
      <c r="H710" s="222"/>
      <c r="I710" s="222"/>
      <c r="J710" s="6"/>
      <c r="K710" s="6"/>
      <c r="L710" s="6"/>
      <c r="M710" s="6"/>
      <c r="N710" s="6"/>
      <c r="O710" s="6"/>
      <c r="P710" s="6"/>
      <c r="Q710" s="6"/>
      <c r="R710" s="6"/>
      <c r="S710" s="6"/>
      <c r="T710" s="6"/>
      <c r="U710" s="6"/>
    </row>
    <row r="711" spans="1:21">
      <c r="A711" s="82"/>
      <c r="B711" s="83"/>
      <c r="C711" s="82"/>
      <c r="D711" s="82"/>
      <c r="E711" s="82"/>
      <c r="F711" s="82"/>
      <c r="G711" s="222"/>
      <c r="H711" s="222"/>
      <c r="I711" s="222"/>
      <c r="J711" s="6"/>
      <c r="K711" s="6"/>
      <c r="L711" s="6"/>
      <c r="M711" s="6"/>
      <c r="N711" s="6"/>
      <c r="O711" s="6"/>
      <c r="P711" s="6"/>
      <c r="Q711" s="6"/>
      <c r="R711" s="6"/>
      <c r="S711" s="6"/>
      <c r="T711" s="6"/>
      <c r="U711" s="6"/>
    </row>
    <row r="712" spans="1:21">
      <c r="A712" s="82"/>
      <c r="B712" s="83"/>
      <c r="C712" s="82"/>
      <c r="D712" s="82"/>
      <c r="E712" s="82"/>
      <c r="F712" s="82"/>
      <c r="G712" s="222"/>
      <c r="H712" s="222"/>
      <c r="I712" s="222"/>
      <c r="J712" s="6"/>
      <c r="K712" s="6"/>
      <c r="L712" s="6"/>
      <c r="M712" s="6"/>
      <c r="N712" s="6"/>
      <c r="O712" s="6"/>
      <c r="P712" s="6"/>
      <c r="Q712" s="6"/>
      <c r="R712" s="6"/>
      <c r="S712" s="6"/>
      <c r="T712" s="6"/>
      <c r="U712" s="6"/>
    </row>
    <row r="713" spans="1:21">
      <c r="A713" s="82"/>
      <c r="B713" s="83"/>
      <c r="C713" s="82"/>
      <c r="D713" s="82"/>
      <c r="E713" s="82"/>
      <c r="F713" s="82"/>
      <c r="G713" s="222"/>
      <c r="H713" s="222"/>
      <c r="I713" s="222"/>
      <c r="J713" s="6"/>
      <c r="K713" s="6"/>
      <c r="L713" s="6"/>
      <c r="M713" s="6"/>
      <c r="N713" s="6"/>
      <c r="O713" s="6"/>
      <c r="P713" s="6"/>
      <c r="Q713" s="6"/>
      <c r="R713" s="6"/>
      <c r="S713" s="6"/>
      <c r="T713" s="6"/>
      <c r="U713" s="6"/>
    </row>
    <row r="714" spans="1:21">
      <c r="A714" s="82"/>
      <c r="B714" s="83"/>
      <c r="C714" s="82"/>
      <c r="D714" s="82"/>
      <c r="E714" s="82"/>
      <c r="F714" s="82"/>
      <c r="G714" s="222"/>
      <c r="H714" s="222"/>
      <c r="I714" s="222"/>
      <c r="J714" s="6"/>
      <c r="K714" s="6"/>
      <c r="L714" s="6"/>
      <c r="M714" s="6"/>
      <c r="N714" s="6"/>
      <c r="O714" s="6"/>
      <c r="P714" s="6"/>
      <c r="Q714" s="6"/>
      <c r="R714" s="6"/>
      <c r="S714" s="6"/>
      <c r="T714" s="6"/>
      <c r="U714" s="6"/>
    </row>
    <row r="715" spans="1:21">
      <c r="A715" s="82"/>
      <c r="B715" s="83"/>
      <c r="C715" s="82"/>
      <c r="D715" s="82"/>
      <c r="E715" s="82"/>
      <c r="F715" s="82"/>
      <c r="G715" s="222"/>
      <c r="H715" s="222"/>
      <c r="I715" s="222"/>
      <c r="J715" s="6"/>
      <c r="K715" s="6"/>
      <c r="L715" s="6"/>
      <c r="M715" s="6"/>
      <c r="N715" s="6"/>
      <c r="O715" s="6"/>
      <c r="P715" s="6"/>
      <c r="Q715" s="6"/>
      <c r="R715" s="6"/>
      <c r="S715" s="6"/>
      <c r="T715" s="6"/>
      <c r="U715" s="6"/>
    </row>
    <row r="716" spans="1:21">
      <c r="A716" s="82"/>
      <c r="B716" s="83"/>
      <c r="C716" s="82"/>
      <c r="D716" s="82"/>
      <c r="E716" s="82"/>
      <c r="F716" s="82"/>
      <c r="G716" s="222"/>
      <c r="H716" s="222"/>
      <c r="I716" s="222"/>
      <c r="J716" s="6"/>
      <c r="K716" s="6"/>
      <c r="L716" s="6"/>
      <c r="M716" s="6"/>
      <c r="N716" s="6"/>
      <c r="O716" s="6"/>
      <c r="P716" s="6"/>
      <c r="Q716" s="6"/>
      <c r="R716" s="6"/>
      <c r="S716" s="6"/>
      <c r="T716" s="6"/>
      <c r="U716" s="6"/>
    </row>
    <row r="717" spans="1:21">
      <c r="A717" s="82"/>
      <c r="B717" s="83"/>
      <c r="C717" s="82"/>
      <c r="D717" s="82"/>
      <c r="E717" s="82"/>
      <c r="F717" s="82"/>
      <c r="G717" s="222"/>
      <c r="H717" s="222"/>
      <c r="I717" s="222"/>
      <c r="J717" s="6"/>
      <c r="K717" s="6"/>
      <c r="L717" s="6"/>
      <c r="M717" s="6"/>
      <c r="N717" s="6"/>
      <c r="O717" s="6"/>
      <c r="P717" s="6"/>
      <c r="Q717" s="6"/>
      <c r="R717" s="6"/>
      <c r="S717" s="6"/>
      <c r="T717" s="6"/>
      <c r="U717" s="6"/>
    </row>
    <row r="718" spans="1:21">
      <c r="A718" s="82"/>
      <c r="B718" s="83"/>
      <c r="C718" s="82"/>
      <c r="D718" s="82"/>
      <c r="E718" s="82"/>
      <c r="F718" s="82"/>
      <c r="G718" s="222"/>
      <c r="H718" s="222"/>
      <c r="I718" s="222"/>
      <c r="J718" s="6"/>
      <c r="K718" s="6"/>
      <c r="L718" s="6"/>
      <c r="M718" s="6"/>
      <c r="N718" s="6"/>
      <c r="O718" s="6"/>
      <c r="P718" s="6"/>
      <c r="Q718" s="6"/>
      <c r="R718" s="6"/>
      <c r="S718" s="6"/>
      <c r="T718" s="6"/>
      <c r="U718" s="6"/>
    </row>
    <row r="719" spans="1:21">
      <c r="A719" s="82"/>
      <c r="B719" s="83"/>
      <c r="C719" s="82"/>
      <c r="D719" s="82"/>
      <c r="E719" s="82"/>
      <c r="F719" s="82"/>
      <c r="G719" s="222"/>
      <c r="H719" s="222"/>
      <c r="I719" s="222"/>
      <c r="J719" s="6"/>
      <c r="K719" s="6"/>
      <c r="L719" s="6"/>
      <c r="M719" s="6"/>
      <c r="N719" s="6"/>
      <c r="O719" s="6"/>
      <c r="P719" s="6"/>
      <c r="Q719" s="6"/>
      <c r="R719" s="6"/>
      <c r="S719" s="6"/>
      <c r="T719" s="6"/>
      <c r="U719" s="6"/>
    </row>
    <row r="720" spans="1:21">
      <c r="A720" s="82"/>
      <c r="B720" s="83"/>
      <c r="C720" s="82"/>
      <c r="D720" s="82"/>
      <c r="E720" s="82"/>
      <c r="F720" s="82"/>
      <c r="G720" s="222"/>
      <c r="H720" s="222"/>
      <c r="I720" s="222"/>
      <c r="J720" s="6"/>
      <c r="K720" s="6"/>
      <c r="L720" s="6"/>
      <c r="M720" s="6"/>
      <c r="N720" s="6"/>
      <c r="O720" s="6"/>
      <c r="P720" s="6"/>
      <c r="Q720" s="6"/>
      <c r="R720" s="6"/>
      <c r="S720" s="6"/>
      <c r="T720" s="6"/>
      <c r="U720" s="6"/>
    </row>
    <row r="721" spans="1:21">
      <c r="A721" s="82"/>
      <c r="B721" s="83"/>
      <c r="C721" s="82"/>
      <c r="D721" s="82"/>
      <c r="E721" s="82"/>
      <c r="F721" s="82"/>
      <c r="G721" s="222"/>
      <c r="H721" s="222"/>
      <c r="I721" s="222"/>
      <c r="J721" s="6"/>
      <c r="K721" s="6"/>
      <c r="L721" s="6"/>
      <c r="M721" s="6"/>
      <c r="N721" s="6"/>
      <c r="O721" s="6"/>
      <c r="P721" s="6"/>
      <c r="Q721" s="6"/>
      <c r="R721" s="6"/>
      <c r="S721" s="6"/>
      <c r="T721" s="6"/>
      <c r="U721" s="6"/>
    </row>
    <row r="722" spans="1:21">
      <c r="A722" s="82"/>
      <c r="B722" s="83"/>
      <c r="C722" s="82"/>
      <c r="D722" s="82"/>
      <c r="E722" s="82"/>
      <c r="F722" s="82"/>
      <c r="G722" s="222"/>
      <c r="H722" s="222"/>
      <c r="I722" s="222"/>
      <c r="J722" s="6"/>
      <c r="K722" s="6"/>
      <c r="L722" s="6"/>
      <c r="M722" s="6"/>
      <c r="N722" s="6"/>
      <c r="O722" s="6"/>
      <c r="P722" s="6"/>
      <c r="Q722" s="6"/>
      <c r="R722" s="6"/>
      <c r="S722" s="6"/>
      <c r="T722" s="6"/>
      <c r="U722" s="6"/>
    </row>
    <row r="723" spans="1:21">
      <c r="A723" s="82"/>
      <c r="B723" s="83"/>
      <c r="C723" s="82"/>
      <c r="D723" s="82"/>
      <c r="E723" s="82"/>
      <c r="F723" s="82"/>
      <c r="G723" s="222"/>
      <c r="H723" s="222"/>
      <c r="I723" s="222"/>
      <c r="J723" s="6"/>
      <c r="K723" s="6"/>
      <c r="L723" s="6"/>
      <c r="M723" s="6"/>
      <c r="N723" s="6"/>
      <c r="O723" s="6"/>
      <c r="P723" s="6"/>
      <c r="Q723" s="6"/>
      <c r="R723" s="6"/>
      <c r="S723" s="6"/>
      <c r="T723" s="6"/>
      <c r="U723" s="6"/>
    </row>
    <row r="724" spans="1:21">
      <c r="A724" s="82"/>
      <c r="B724" s="83"/>
      <c r="C724" s="82"/>
      <c r="D724" s="82"/>
      <c r="E724" s="82"/>
      <c r="F724" s="82"/>
      <c r="G724" s="222"/>
      <c r="H724" s="222"/>
      <c r="I724" s="222"/>
      <c r="J724" s="6"/>
      <c r="K724" s="6"/>
      <c r="L724" s="6"/>
      <c r="M724" s="6"/>
      <c r="N724" s="6"/>
      <c r="O724" s="6"/>
      <c r="P724" s="6"/>
      <c r="Q724" s="6"/>
      <c r="R724" s="6"/>
      <c r="S724" s="6"/>
      <c r="T724" s="6"/>
      <c r="U724" s="6"/>
    </row>
    <row r="725" spans="1:21">
      <c r="A725" s="82"/>
      <c r="B725" s="83"/>
      <c r="C725" s="82"/>
      <c r="D725" s="82"/>
      <c r="E725" s="82"/>
      <c r="F725" s="82"/>
      <c r="G725" s="222"/>
      <c r="H725" s="222"/>
      <c r="I725" s="222"/>
      <c r="J725" s="6"/>
      <c r="K725" s="6"/>
      <c r="L725" s="6"/>
      <c r="M725" s="6"/>
      <c r="N725" s="6"/>
      <c r="O725" s="6"/>
      <c r="P725" s="6"/>
      <c r="Q725" s="6"/>
      <c r="R725" s="6"/>
      <c r="S725" s="6"/>
      <c r="T725" s="6"/>
      <c r="U725" s="6"/>
    </row>
    <row r="726" spans="1:21">
      <c r="A726" s="82"/>
      <c r="B726" s="83"/>
      <c r="C726" s="82"/>
      <c r="D726" s="82"/>
      <c r="E726" s="82"/>
      <c r="F726" s="82"/>
      <c r="G726" s="222"/>
      <c r="H726" s="222"/>
      <c r="I726" s="222"/>
      <c r="J726" s="6"/>
      <c r="K726" s="6"/>
      <c r="L726" s="6"/>
      <c r="M726" s="6"/>
      <c r="N726" s="6"/>
      <c r="O726" s="6"/>
      <c r="P726" s="6"/>
      <c r="Q726" s="6"/>
      <c r="R726" s="6"/>
      <c r="S726" s="6"/>
      <c r="T726" s="6"/>
      <c r="U726" s="6"/>
    </row>
    <row r="727" spans="1:21">
      <c r="A727" s="82"/>
      <c r="B727" s="83"/>
      <c r="C727" s="82"/>
      <c r="D727" s="82"/>
      <c r="E727" s="82"/>
      <c r="F727" s="82"/>
      <c r="G727" s="222"/>
      <c r="H727" s="222"/>
      <c r="I727" s="222"/>
      <c r="J727" s="6"/>
      <c r="K727" s="6"/>
      <c r="L727" s="6"/>
      <c r="M727" s="6"/>
      <c r="N727" s="6"/>
      <c r="O727" s="6"/>
      <c r="P727" s="6"/>
      <c r="Q727" s="6"/>
      <c r="R727" s="6"/>
      <c r="S727" s="6"/>
      <c r="T727" s="6"/>
      <c r="U727" s="6"/>
    </row>
    <row r="728" spans="1:21">
      <c r="A728" s="82"/>
      <c r="B728" s="83"/>
      <c r="C728" s="82"/>
      <c r="D728" s="82"/>
      <c r="E728" s="82"/>
      <c r="F728" s="82"/>
      <c r="G728" s="222"/>
      <c r="H728" s="222"/>
      <c r="I728" s="222"/>
      <c r="J728" s="6"/>
      <c r="K728" s="6"/>
      <c r="L728" s="6"/>
      <c r="M728" s="6"/>
      <c r="N728" s="6"/>
      <c r="O728" s="6"/>
      <c r="P728" s="6"/>
      <c r="Q728" s="6"/>
      <c r="R728" s="6"/>
      <c r="S728" s="6"/>
      <c r="T728" s="6"/>
      <c r="U728" s="6"/>
    </row>
    <row r="729" spans="1:21">
      <c r="A729" s="82"/>
      <c r="B729" s="83"/>
      <c r="C729" s="82"/>
      <c r="D729" s="82"/>
      <c r="E729" s="82"/>
      <c r="F729" s="82"/>
      <c r="G729" s="222"/>
      <c r="H729" s="222"/>
      <c r="I729" s="222"/>
      <c r="J729" s="6"/>
      <c r="K729" s="6"/>
      <c r="L729" s="6"/>
      <c r="M729" s="6"/>
      <c r="N729" s="6"/>
      <c r="O729" s="6"/>
      <c r="P729" s="6"/>
      <c r="Q729" s="6"/>
      <c r="R729" s="6"/>
      <c r="S729" s="6"/>
      <c r="T729" s="6"/>
      <c r="U729" s="6"/>
    </row>
    <row r="730" spans="1:21">
      <c r="A730" s="82"/>
      <c r="B730" s="83"/>
      <c r="C730" s="82"/>
      <c r="D730" s="82"/>
      <c r="E730" s="82"/>
      <c r="F730" s="82"/>
      <c r="G730" s="222"/>
      <c r="H730" s="222"/>
      <c r="I730" s="222"/>
      <c r="J730" s="6"/>
      <c r="K730" s="6"/>
      <c r="L730" s="6"/>
      <c r="M730" s="6"/>
      <c r="N730" s="6"/>
      <c r="O730" s="6"/>
      <c r="P730" s="6"/>
      <c r="Q730" s="6"/>
      <c r="R730" s="6"/>
      <c r="S730" s="6"/>
      <c r="T730" s="6"/>
      <c r="U730" s="6"/>
    </row>
    <row r="731" spans="1:21">
      <c r="A731" s="82"/>
      <c r="B731" s="83"/>
      <c r="C731" s="82"/>
      <c r="D731" s="82"/>
      <c r="E731" s="82"/>
      <c r="F731" s="82"/>
      <c r="G731" s="222"/>
      <c r="H731" s="222"/>
      <c r="I731" s="222"/>
      <c r="J731" s="6"/>
      <c r="K731" s="6"/>
      <c r="L731" s="6"/>
      <c r="M731" s="6"/>
      <c r="N731" s="6"/>
      <c r="O731" s="6"/>
      <c r="P731" s="6"/>
      <c r="Q731" s="6"/>
      <c r="R731" s="6"/>
      <c r="S731" s="6"/>
      <c r="T731" s="6"/>
      <c r="U731" s="6"/>
    </row>
    <row r="732" spans="1:21">
      <c r="A732" s="82"/>
      <c r="B732" s="83"/>
      <c r="C732" s="82"/>
      <c r="D732" s="82"/>
      <c r="E732" s="82"/>
      <c r="F732" s="82"/>
      <c r="G732" s="222"/>
      <c r="H732" s="222"/>
      <c r="I732" s="222"/>
      <c r="J732" s="6"/>
      <c r="K732" s="6"/>
      <c r="L732" s="6"/>
      <c r="M732" s="6"/>
      <c r="N732" s="6"/>
      <c r="O732" s="6"/>
      <c r="P732" s="6"/>
      <c r="Q732" s="6"/>
      <c r="R732" s="6"/>
      <c r="S732" s="6"/>
      <c r="T732" s="6"/>
      <c r="U732" s="6"/>
    </row>
    <row r="733" spans="1:21">
      <c r="A733" s="82"/>
      <c r="B733" s="83"/>
      <c r="C733" s="82"/>
      <c r="D733" s="82"/>
      <c r="E733" s="82"/>
      <c r="F733" s="82"/>
      <c r="G733" s="222"/>
      <c r="H733" s="222"/>
      <c r="I733" s="222"/>
      <c r="J733" s="6"/>
      <c r="K733" s="6"/>
      <c r="L733" s="6"/>
      <c r="M733" s="6"/>
      <c r="N733" s="6"/>
      <c r="O733" s="6"/>
      <c r="P733" s="6"/>
      <c r="Q733" s="6"/>
      <c r="R733" s="6"/>
      <c r="S733" s="6"/>
      <c r="T733" s="6"/>
      <c r="U733" s="6"/>
    </row>
    <row r="734" spans="1:21">
      <c r="A734" s="82"/>
      <c r="B734" s="83"/>
      <c r="C734" s="82"/>
      <c r="D734" s="82"/>
      <c r="E734" s="82"/>
      <c r="F734" s="82"/>
      <c r="G734" s="222"/>
      <c r="H734" s="222"/>
      <c r="I734" s="222"/>
      <c r="J734" s="6"/>
      <c r="K734" s="6"/>
      <c r="L734" s="6"/>
      <c r="M734" s="6"/>
      <c r="N734" s="6"/>
      <c r="O734" s="6"/>
      <c r="P734" s="6"/>
      <c r="Q734" s="6"/>
      <c r="R734" s="6"/>
      <c r="S734" s="6"/>
      <c r="T734" s="6"/>
      <c r="U734" s="6"/>
    </row>
    <row r="735" spans="1:21">
      <c r="A735" s="82"/>
      <c r="B735" s="83"/>
      <c r="C735" s="82"/>
      <c r="D735" s="82"/>
      <c r="E735" s="82"/>
      <c r="F735" s="82"/>
      <c r="G735" s="222"/>
      <c r="H735" s="222"/>
      <c r="I735" s="222"/>
      <c r="J735" s="6"/>
      <c r="K735" s="6"/>
      <c r="L735" s="6"/>
      <c r="M735" s="6"/>
      <c r="N735" s="6"/>
      <c r="O735" s="6"/>
      <c r="P735" s="6"/>
      <c r="Q735" s="6"/>
      <c r="R735" s="6"/>
      <c r="S735" s="6"/>
      <c r="T735" s="6"/>
      <c r="U735" s="6"/>
    </row>
    <row r="736" spans="1:21">
      <c r="A736" s="82"/>
      <c r="B736" s="83"/>
      <c r="C736" s="82"/>
      <c r="D736" s="82"/>
      <c r="E736" s="82"/>
      <c r="F736" s="82"/>
      <c r="G736" s="222"/>
      <c r="H736" s="222"/>
      <c r="I736" s="222"/>
      <c r="J736" s="6"/>
      <c r="K736" s="6"/>
      <c r="L736" s="6"/>
      <c r="M736" s="6"/>
      <c r="N736" s="6"/>
      <c r="O736" s="6"/>
      <c r="P736" s="6"/>
      <c r="Q736" s="6"/>
      <c r="R736" s="6"/>
      <c r="S736" s="6"/>
      <c r="T736" s="6"/>
      <c r="U736" s="6"/>
    </row>
    <row r="737" spans="1:21">
      <c r="A737" s="82"/>
      <c r="B737" s="83"/>
      <c r="C737" s="82"/>
      <c r="D737" s="82"/>
      <c r="E737" s="82"/>
      <c r="F737" s="82"/>
      <c r="G737" s="222"/>
      <c r="H737" s="222"/>
      <c r="I737" s="222"/>
      <c r="J737" s="6"/>
      <c r="K737" s="6"/>
      <c r="L737" s="6"/>
      <c r="M737" s="6"/>
      <c r="N737" s="6"/>
      <c r="O737" s="6"/>
      <c r="P737" s="6"/>
      <c r="Q737" s="6"/>
      <c r="R737" s="6"/>
      <c r="S737" s="6"/>
      <c r="T737" s="6"/>
      <c r="U737" s="6"/>
    </row>
    <row r="738" spans="1:21">
      <c r="A738" s="82"/>
      <c r="B738" s="83"/>
      <c r="C738" s="82"/>
      <c r="D738" s="82"/>
      <c r="E738" s="82"/>
      <c r="F738" s="82"/>
      <c r="G738" s="222"/>
      <c r="H738" s="222"/>
      <c r="I738" s="222"/>
      <c r="J738" s="6"/>
      <c r="K738" s="6"/>
      <c r="L738" s="6"/>
      <c r="M738" s="6"/>
      <c r="N738" s="6"/>
      <c r="O738" s="6"/>
      <c r="P738" s="6"/>
      <c r="Q738" s="6"/>
      <c r="R738" s="6"/>
      <c r="S738" s="6"/>
      <c r="T738" s="6"/>
      <c r="U738" s="6"/>
    </row>
    <row r="739" spans="1:21">
      <c r="A739" s="82"/>
      <c r="B739" s="83"/>
      <c r="C739" s="82"/>
      <c r="D739" s="82"/>
      <c r="E739" s="82"/>
      <c r="F739" s="82"/>
      <c r="G739" s="222"/>
      <c r="H739" s="222"/>
      <c r="I739" s="222"/>
      <c r="J739" s="6"/>
      <c r="K739" s="6"/>
      <c r="L739" s="6"/>
      <c r="M739" s="6"/>
      <c r="N739" s="6"/>
      <c r="O739" s="6"/>
      <c r="P739" s="6"/>
      <c r="Q739" s="6"/>
      <c r="R739" s="6"/>
      <c r="S739" s="6"/>
      <c r="T739" s="6"/>
      <c r="U739" s="6"/>
    </row>
    <row r="740" spans="1:21">
      <c r="A740" s="82"/>
      <c r="B740" s="83"/>
      <c r="C740" s="82"/>
      <c r="D740" s="82"/>
      <c r="E740" s="82"/>
      <c r="F740" s="82"/>
      <c r="G740" s="222"/>
      <c r="H740" s="222"/>
      <c r="I740" s="222"/>
      <c r="J740" s="6"/>
      <c r="K740" s="6"/>
      <c r="L740" s="6"/>
      <c r="M740" s="6"/>
      <c r="N740" s="6"/>
      <c r="O740" s="6"/>
      <c r="P740" s="6"/>
      <c r="Q740" s="6"/>
      <c r="R740" s="6"/>
      <c r="S740" s="6"/>
      <c r="T740" s="6"/>
      <c r="U740" s="6"/>
    </row>
    <row r="741" spans="1:21">
      <c r="A741" s="82"/>
      <c r="B741" s="83"/>
      <c r="C741" s="82"/>
      <c r="D741" s="82"/>
      <c r="E741" s="82"/>
      <c r="F741" s="82"/>
      <c r="G741" s="222"/>
      <c r="H741" s="222"/>
      <c r="I741" s="222"/>
      <c r="J741" s="6"/>
      <c r="K741" s="6"/>
      <c r="L741" s="6"/>
      <c r="M741" s="6"/>
      <c r="N741" s="6"/>
      <c r="O741" s="6"/>
      <c r="P741" s="6"/>
      <c r="Q741" s="6"/>
      <c r="R741" s="6"/>
      <c r="S741" s="6"/>
      <c r="T741" s="6"/>
      <c r="U741" s="6"/>
    </row>
    <row r="742" spans="1:21">
      <c r="A742" s="82"/>
      <c r="B742" s="83"/>
      <c r="C742" s="82"/>
      <c r="D742" s="82"/>
      <c r="E742" s="82"/>
      <c r="F742" s="82"/>
      <c r="G742" s="222"/>
      <c r="H742" s="222"/>
      <c r="I742" s="222"/>
      <c r="J742" s="6"/>
      <c r="K742" s="6"/>
      <c r="L742" s="6"/>
      <c r="M742" s="6"/>
      <c r="N742" s="6"/>
      <c r="O742" s="6"/>
      <c r="P742" s="6"/>
      <c r="Q742" s="6"/>
      <c r="R742" s="6"/>
      <c r="S742" s="6"/>
      <c r="T742" s="6"/>
      <c r="U742" s="6"/>
    </row>
    <row r="743" spans="1:21">
      <c r="A743" s="82"/>
      <c r="B743" s="83"/>
      <c r="C743" s="82"/>
      <c r="D743" s="82"/>
      <c r="E743" s="82"/>
      <c r="F743" s="82"/>
      <c r="G743" s="222"/>
      <c r="H743" s="222"/>
      <c r="I743" s="222"/>
      <c r="J743" s="6"/>
      <c r="K743" s="6"/>
      <c r="L743" s="6"/>
      <c r="M743" s="6"/>
      <c r="N743" s="6"/>
      <c r="O743" s="6"/>
      <c r="P743" s="6"/>
      <c r="Q743" s="6"/>
      <c r="R743" s="6"/>
      <c r="S743" s="6"/>
      <c r="T743" s="6"/>
      <c r="U743" s="6"/>
    </row>
    <row r="744" spans="1:21">
      <c r="A744" s="82"/>
      <c r="B744" s="83"/>
      <c r="C744" s="82"/>
      <c r="D744" s="82"/>
      <c r="E744" s="82"/>
      <c r="F744" s="82"/>
      <c r="G744" s="222"/>
      <c r="H744" s="222"/>
      <c r="I744" s="222"/>
      <c r="J744" s="6"/>
      <c r="K744" s="6"/>
      <c r="L744" s="6"/>
      <c r="M744" s="6"/>
      <c r="N744" s="6"/>
      <c r="O744" s="6"/>
      <c r="P744" s="6"/>
      <c r="Q744" s="6"/>
      <c r="R744" s="6"/>
      <c r="S744" s="6"/>
      <c r="T744" s="6"/>
      <c r="U744" s="6"/>
    </row>
    <row r="745" spans="1:21">
      <c r="A745" s="82"/>
      <c r="B745" s="83"/>
      <c r="C745" s="82"/>
      <c r="D745" s="82"/>
      <c r="E745" s="82"/>
      <c r="F745" s="82"/>
      <c r="G745" s="222"/>
      <c r="H745" s="222"/>
      <c r="I745" s="222"/>
      <c r="J745" s="6"/>
      <c r="K745" s="6"/>
      <c r="L745" s="6"/>
      <c r="M745" s="6"/>
      <c r="N745" s="6"/>
      <c r="O745" s="6"/>
      <c r="P745" s="6"/>
      <c r="Q745" s="6"/>
      <c r="R745" s="6"/>
      <c r="S745" s="6"/>
      <c r="T745" s="6"/>
      <c r="U745" s="6"/>
    </row>
    <row r="746" spans="1:21">
      <c r="A746" s="82"/>
      <c r="B746" s="83"/>
      <c r="C746" s="82"/>
      <c r="D746" s="82"/>
      <c r="E746" s="82"/>
      <c r="F746" s="82"/>
      <c r="G746" s="222"/>
      <c r="H746" s="222"/>
      <c r="I746" s="222"/>
      <c r="J746" s="6"/>
      <c r="K746" s="6"/>
      <c r="L746" s="6"/>
      <c r="M746" s="6"/>
      <c r="N746" s="6"/>
      <c r="O746" s="6"/>
      <c r="P746" s="6"/>
      <c r="Q746" s="6"/>
      <c r="R746" s="6"/>
      <c r="S746" s="6"/>
      <c r="T746" s="6"/>
      <c r="U746" s="6"/>
    </row>
    <row r="747" spans="1:21">
      <c r="A747" s="82"/>
      <c r="B747" s="83"/>
      <c r="C747" s="82"/>
      <c r="D747" s="82"/>
      <c r="E747" s="82"/>
      <c r="F747" s="82"/>
      <c r="G747" s="222"/>
      <c r="H747" s="222"/>
      <c r="I747" s="222"/>
      <c r="J747" s="6"/>
      <c r="K747" s="6"/>
      <c r="L747" s="6"/>
      <c r="M747" s="6"/>
      <c r="N747" s="6"/>
      <c r="O747" s="6"/>
      <c r="P747" s="6"/>
      <c r="Q747" s="6"/>
      <c r="R747" s="6"/>
      <c r="S747" s="6"/>
      <c r="T747" s="6"/>
      <c r="U747" s="6"/>
    </row>
    <row r="748" spans="1:21">
      <c r="A748" s="82"/>
      <c r="B748" s="83"/>
      <c r="C748" s="82"/>
      <c r="D748" s="82"/>
      <c r="E748" s="82"/>
      <c r="F748" s="82"/>
      <c r="G748" s="222"/>
      <c r="H748" s="222"/>
      <c r="I748" s="222"/>
      <c r="J748" s="6"/>
      <c r="K748" s="6"/>
      <c r="L748" s="6"/>
      <c r="M748" s="6"/>
      <c r="N748" s="6"/>
      <c r="O748" s="6"/>
      <c r="P748" s="6"/>
      <c r="Q748" s="6"/>
      <c r="R748" s="6"/>
      <c r="S748" s="6"/>
      <c r="T748" s="6"/>
      <c r="U748" s="6"/>
    </row>
    <row r="749" spans="1:21">
      <c r="A749" s="82"/>
      <c r="B749" s="83"/>
      <c r="C749" s="82"/>
      <c r="D749" s="82"/>
      <c r="E749" s="82"/>
      <c r="F749" s="82"/>
      <c r="G749" s="222"/>
      <c r="H749" s="222"/>
      <c r="I749" s="222"/>
      <c r="J749" s="6"/>
      <c r="K749" s="6"/>
      <c r="L749" s="6"/>
      <c r="M749" s="6"/>
      <c r="N749" s="6"/>
      <c r="O749" s="6"/>
      <c r="P749" s="6"/>
      <c r="Q749" s="6"/>
      <c r="R749" s="6"/>
      <c r="S749" s="6"/>
      <c r="T749" s="6"/>
      <c r="U749" s="6"/>
    </row>
    <row r="750" spans="1:21">
      <c r="A750" s="82"/>
      <c r="B750" s="83"/>
      <c r="C750" s="82"/>
      <c r="D750" s="82"/>
      <c r="E750" s="82"/>
      <c r="F750" s="82"/>
      <c r="G750" s="222"/>
      <c r="H750" s="222"/>
      <c r="I750" s="222"/>
      <c r="J750" s="6"/>
      <c r="K750" s="6"/>
      <c r="L750" s="6"/>
      <c r="M750" s="6"/>
      <c r="N750" s="6"/>
      <c r="O750" s="6"/>
      <c r="P750" s="6"/>
      <c r="Q750" s="6"/>
      <c r="R750" s="6"/>
      <c r="S750" s="6"/>
      <c r="T750" s="6"/>
      <c r="U750" s="6"/>
    </row>
    <row r="751" spans="1:21">
      <c r="A751" s="82"/>
      <c r="B751" s="83"/>
      <c r="C751" s="82"/>
      <c r="D751" s="82"/>
      <c r="E751" s="82"/>
      <c r="F751" s="82"/>
      <c r="G751" s="222"/>
      <c r="H751" s="222"/>
      <c r="I751" s="222"/>
      <c r="J751" s="6"/>
      <c r="K751" s="6"/>
      <c r="L751" s="6"/>
      <c r="M751" s="6"/>
      <c r="N751" s="6"/>
      <c r="O751" s="6"/>
      <c r="P751" s="6"/>
      <c r="Q751" s="6"/>
      <c r="R751" s="6"/>
      <c r="S751" s="6"/>
      <c r="T751" s="6"/>
      <c r="U751" s="6"/>
    </row>
    <row r="752" spans="1:21">
      <c r="A752" s="82"/>
      <c r="B752" s="83"/>
      <c r="C752" s="82"/>
      <c r="D752" s="82"/>
      <c r="E752" s="82"/>
      <c r="F752" s="82"/>
      <c r="G752" s="222"/>
      <c r="H752" s="222"/>
      <c r="I752" s="222"/>
      <c r="J752" s="6"/>
      <c r="K752" s="6"/>
      <c r="L752" s="6"/>
      <c r="M752" s="6"/>
      <c r="N752" s="6"/>
      <c r="O752" s="6"/>
      <c r="P752" s="6"/>
      <c r="Q752" s="6"/>
      <c r="R752" s="6"/>
      <c r="S752" s="6"/>
      <c r="T752" s="6"/>
      <c r="U752" s="6"/>
    </row>
    <row r="753" spans="1:21">
      <c r="A753" s="82"/>
      <c r="B753" s="83"/>
      <c r="C753" s="82"/>
      <c r="D753" s="82"/>
      <c r="E753" s="82"/>
      <c r="F753" s="82"/>
      <c r="G753" s="222"/>
      <c r="H753" s="222"/>
      <c r="I753" s="222"/>
      <c r="J753" s="6"/>
      <c r="K753" s="6"/>
      <c r="L753" s="6"/>
      <c r="M753" s="6"/>
      <c r="N753" s="6"/>
      <c r="O753" s="6"/>
      <c r="P753" s="6"/>
      <c r="Q753" s="6"/>
      <c r="R753" s="6"/>
      <c r="S753" s="6"/>
      <c r="T753" s="6"/>
      <c r="U753" s="6"/>
    </row>
    <row r="754" spans="1:21">
      <c r="A754" s="82"/>
      <c r="B754" s="83"/>
      <c r="C754" s="82"/>
      <c r="D754" s="82"/>
      <c r="E754" s="82"/>
      <c r="F754" s="82"/>
      <c r="G754" s="222"/>
      <c r="H754" s="222"/>
      <c r="I754" s="222"/>
      <c r="J754" s="6"/>
      <c r="K754" s="6"/>
      <c r="L754" s="6"/>
      <c r="M754" s="6"/>
      <c r="N754" s="6"/>
      <c r="O754" s="6"/>
      <c r="P754" s="6"/>
      <c r="Q754" s="6"/>
      <c r="R754" s="6"/>
      <c r="S754" s="6"/>
      <c r="T754" s="6"/>
      <c r="U754" s="6"/>
    </row>
    <row r="755" spans="1:21">
      <c r="A755" s="82"/>
      <c r="B755" s="83"/>
      <c r="C755" s="82"/>
      <c r="D755" s="82"/>
      <c r="E755" s="82"/>
      <c r="F755" s="82"/>
      <c r="G755" s="222"/>
      <c r="H755" s="222"/>
      <c r="I755" s="222"/>
      <c r="J755" s="6"/>
      <c r="K755" s="6"/>
      <c r="L755" s="6"/>
      <c r="M755" s="6"/>
      <c r="N755" s="6"/>
      <c r="O755" s="6"/>
      <c r="P755" s="6"/>
      <c r="Q755" s="6"/>
      <c r="R755" s="6"/>
      <c r="S755" s="6"/>
      <c r="T755" s="6"/>
      <c r="U755" s="6"/>
    </row>
    <row r="756" spans="1:21">
      <c r="A756" s="82"/>
      <c r="B756" s="83"/>
      <c r="C756" s="82"/>
      <c r="D756" s="82"/>
      <c r="E756" s="82"/>
      <c r="F756" s="82"/>
      <c r="G756" s="222"/>
      <c r="H756" s="222"/>
      <c r="I756" s="222"/>
      <c r="J756" s="6"/>
      <c r="K756" s="6"/>
      <c r="L756" s="6"/>
      <c r="M756" s="6"/>
      <c r="N756" s="6"/>
      <c r="O756" s="6"/>
      <c r="P756" s="6"/>
      <c r="Q756" s="6"/>
      <c r="R756" s="6"/>
      <c r="S756" s="6"/>
      <c r="T756" s="6"/>
      <c r="U756" s="6"/>
    </row>
    <row r="757" spans="1:21">
      <c r="A757" s="82"/>
      <c r="B757" s="83"/>
      <c r="C757" s="82"/>
      <c r="D757" s="82"/>
      <c r="E757" s="82"/>
      <c r="F757" s="82"/>
      <c r="G757" s="222"/>
      <c r="H757" s="222"/>
      <c r="I757" s="222"/>
      <c r="J757" s="6"/>
      <c r="K757" s="6"/>
      <c r="L757" s="6"/>
      <c r="M757" s="6"/>
      <c r="N757" s="6"/>
      <c r="O757" s="6"/>
      <c r="P757" s="6"/>
      <c r="Q757" s="6"/>
      <c r="R757" s="6"/>
      <c r="S757" s="6"/>
      <c r="T757" s="6"/>
      <c r="U757" s="6"/>
    </row>
    <row r="758" spans="1:21">
      <c r="A758" s="82"/>
      <c r="B758" s="83"/>
      <c r="C758" s="82"/>
      <c r="D758" s="82"/>
      <c r="E758" s="82"/>
      <c r="F758" s="82"/>
      <c r="G758" s="222"/>
      <c r="H758" s="222"/>
      <c r="I758" s="222"/>
      <c r="J758" s="6"/>
      <c r="K758" s="6"/>
      <c r="L758" s="6"/>
      <c r="M758" s="6"/>
      <c r="N758" s="6"/>
      <c r="O758" s="6"/>
      <c r="P758" s="6"/>
      <c r="Q758" s="6"/>
      <c r="R758" s="6"/>
      <c r="S758" s="6"/>
      <c r="T758" s="6"/>
      <c r="U758" s="6"/>
    </row>
    <row r="759" spans="1:21">
      <c r="A759" s="82"/>
      <c r="B759" s="83"/>
      <c r="C759" s="82"/>
      <c r="D759" s="82"/>
      <c r="E759" s="82"/>
      <c r="F759" s="82"/>
      <c r="G759" s="222"/>
      <c r="H759" s="222"/>
      <c r="I759" s="222"/>
      <c r="J759" s="6"/>
      <c r="K759" s="6"/>
      <c r="L759" s="6"/>
      <c r="M759" s="6"/>
      <c r="N759" s="6"/>
      <c r="O759" s="6"/>
      <c r="P759" s="6"/>
      <c r="Q759" s="6"/>
      <c r="R759" s="6"/>
      <c r="S759" s="6"/>
      <c r="T759" s="6"/>
      <c r="U759" s="6"/>
    </row>
    <row r="760" spans="1:21">
      <c r="A760" s="82"/>
      <c r="B760" s="83"/>
      <c r="C760" s="82"/>
      <c r="D760" s="82"/>
      <c r="E760" s="82"/>
      <c r="F760" s="82"/>
      <c r="G760" s="222"/>
      <c r="H760" s="222"/>
      <c r="I760" s="222"/>
      <c r="J760" s="6"/>
      <c r="K760" s="6"/>
      <c r="L760" s="6"/>
      <c r="M760" s="6"/>
      <c r="N760" s="6"/>
      <c r="O760" s="6"/>
      <c r="P760" s="6"/>
      <c r="Q760" s="6"/>
      <c r="R760" s="6"/>
      <c r="S760" s="6"/>
      <c r="T760" s="6"/>
      <c r="U760" s="6"/>
    </row>
    <row r="761" spans="1:21">
      <c r="A761" s="82"/>
      <c r="B761" s="83"/>
      <c r="C761" s="82"/>
      <c r="D761" s="82"/>
      <c r="E761" s="82"/>
      <c r="F761" s="82"/>
      <c r="G761" s="222"/>
      <c r="H761" s="222"/>
      <c r="I761" s="222"/>
      <c r="J761" s="6"/>
      <c r="K761" s="6"/>
      <c r="L761" s="6"/>
      <c r="M761" s="6"/>
      <c r="N761" s="6"/>
      <c r="O761" s="6"/>
      <c r="P761" s="6"/>
      <c r="Q761" s="6"/>
      <c r="R761" s="6"/>
      <c r="S761" s="6"/>
      <c r="T761" s="6"/>
      <c r="U761" s="6"/>
    </row>
    <row r="762" spans="1:21">
      <c r="A762" s="82"/>
      <c r="B762" s="83"/>
      <c r="C762" s="82"/>
      <c r="D762" s="82"/>
      <c r="E762" s="82"/>
      <c r="F762" s="82"/>
      <c r="G762" s="222"/>
      <c r="H762" s="222"/>
      <c r="I762" s="222"/>
      <c r="J762" s="6"/>
      <c r="K762" s="6"/>
      <c r="L762" s="6"/>
      <c r="M762" s="6"/>
      <c r="N762" s="6"/>
      <c r="O762" s="6"/>
      <c r="P762" s="6"/>
      <c r="Q762" s="6"/>
      <c r="R762" s="6"/>
      <c r="S762" s="6"/>
      <c r="T762" s="6"/>
      <c r="U762" s="6"/>
    </row>
    <row r="763" spans="1:21">
      <c r="A763" s="82"/>
      <c r="B763" s="83"/>
      <c r="C763" s="82"/>
      <c r="D763" s="82"/>
      <c r="E763" s="82"/>
      <c r="F763" s="82"/>
      <c r="G763" s="222"/>
      <c r="H763" s="222"/>
      <c r="I763" s="222"/>
      <c r="J763" s="6"/>
      <c r="K763" s="6"/>
      <c r="L763" s="6"/>
      <c r="M763" s="6"/>
      <c r="N763" s="6"/>
      <c r="O763" s="6"/>
      <c r="P763" s="6"/>
      <c r="Q763" s="6"/>
      <c r="R763" s="6"/>
      <c r="S763" s="6"/>
      <c r="T763" s="6"/>
      <c r="U763" s="6"/>
    </row>
    <row r="764" spans="1:21">
      <c r="A764" s="82"/>
      <c r="B764" s="83"/>
      <c r="C764" s="82"/>
      <c r="D764" s="82"/>
      <c r="E764" s="82"/>
      <c r="F764" s="82"/>
      <c r="G764" s="222"/>
      <c r="H764" s="222"/>
      <c r="I764" s="222"/>
      <c r="J764" s="6"/>
      <c r="K764" s="6"/>
      <c r="L764" s="6"/>
      <c r="M764" s="6"/>
      <c r="N764" s="6"/>
      <c r="O764" s="6"/>
      <c r="P764" s="6"/>
      <c r="Q764" s="6"/>
      <c r="R764" s="6"/>
      <c r="S764" s="6"/>
      <c r="T764" s="6"/>
      <c r="U764" s="6"/>
    </row>
    <row r="765" spans="1:21">
      <c r="A765" s="82"/>
      <c r="B765" s="83"/>
      <c r="C765" s="82"/>
      <c r="D765" s="82"/>
      <c r="E765" s="82"/>
      <c r="F765" s="82"/>
      <c r="G765" s="222"/>
      <c r="H765" s="222"/>
      <c r="I765" s="222"/>
      <c r="J765" s="6"/>
      <c r="K765" s="6"/>
      <c r="L765" s="6"/>
      <c r="M765" s="6"/>
      <c r="N765" s="6"/>
      <c r="O765" s="6"/>
      <c r="P765" s="6"/>
      <c r="Q765" s="6"/>
      <c r="R765" s="6"/>
      <c r="S765" s="6"/>
      <c r="T765" s="6"/>
      <c r="U765" s="6"/>
    </row>
    <row r="766" spans="1:21">
      <c r="A766" s="82"/>
      <c r="B766" s="83"/>
      <c r="C766" s="82"/>
      <c r="D766" s="82"/>
      <c r="E766" s="82"/>
      <c r="F766" s="82"/>
      <c r="G766" s="222"/>
      <c r="H766" s="222"/>
      <c r="I766" s="222"/>
      <c r="J766" s="6"/>
      <c r="K766" s="6"/>
      <c r="L766" s="6"/>
      <c r="M766" s="6"/>
      <c r="N766" s="6"/>
      <c r="O766" s="6"/>
      <c r="P766" s="6"/>
      <c r="Q766" s="6"/>
      <c r="R766" s="6"/>
      <c r="S766" s="6"/>
      <c r="T766" s="6"/>
      <c r="U766" s="6"/>
    </row>
    <row r="767" spans="1:21">
      <c r="A767" s="82"/>
      <c r="B767" s="83"/>
      <c r="C767" s="82"/>
      <c r="D767" s="82"/>
      <c r="E767" s="82"/>
      <c r="F767" s="82"/>
      <c r="G767" s="222"/>
      <c r="H767" s="222"/>
      <c r="I767" s="222"/>
      <c r="J767" s="6"/>
      <c r="K767" s="6"/>
      <c r="L767" s="6"/>
      <c r="M767" s="6"/>
      <c r="N767" s="6"/>
      <c r="O767" s="6"/>
      <c r="P767" s="6"/>
      <c r="Q767" s="6"/>
      <c r="R767" s="6"/>
      <c r="S767" s="6"/>
      <c r="T767" s="6"/>
      <c r="U767" s="6"/>
    </row>
    <row r="768" spans="1:21">
      <c r="A768" s="82"/>
      <c r="B768" s="83"/>
      <c r="C768" s="82"/>
      <c r="D768" s="82"/>
      <c r="E768" s="82"/>
      <c r="F768" s="82"/>
      <c r="G768" s="222"/>
      <c r="H768" s="222"/>
      <c r="I768" s="222"/>
      <c r="J768" s="6"/>
      <c r="K768" s="6"/>
      <c r="L768" s="6"/>
      <c r="M768" s="6"/>
      <c r="N768" s="6"/>
      <c r="O768" s="6"/>
      <c r="P768" s="6"/>
      <c r="Q768" s="6"/>
      <c r="R768" s="6"/>
      <c r="S768" s="6"/>
      <c r="T768" s="6"/>
      <c r="U768" s="6"/>
    </row>
    <row r="769" spans="1:21">
      <c r="A769" s="82"/>
      <c r="B769" s="83"/>
      <c r="C769" s="82"/>
      <c r="D769" s="82"/>
      <c r="E769" s="82"/>
      <c r="F769" s="82"/>
      <c r="G769" s="222"/>
      <c r="H769" s="222"/>
      <c r="I769" s="222"/>
      <c r="J769" s="6"/>
      <c r="K769" s="6"/>
      <c r="L769" s="6"/>
      <c r="M769" s="6"/>
      <c r="N769" s="6"/>
      <c r="O769" s="6"/>
      <c r="P769" s="6"/>
      <c r="Q769" s="6"/>
      <c r="R769" s="6"/>
      <c r="S769" s="6"/>
      <c r="T769" s="6"/>
      <c r="U769" s="6"/>
    </row>
    <row r="770" spans="1:21">
      <c r="A770" s="82"/>
      <c r="B770" s="83"/>
      <c r="C770" s="82"/>
      <c r="D770" s="82"/>
      <c r="E770" s="82"/>
      <c r="F770" s="82"/>
      <c r="G770" s="222"/>
      <c r="H770" s="222"/>
      <c r="I770" s="222"/>
      <c r="J770" s="6"/>
      <c r="K770" s="6"/>
      <c r="L770" s="6"/>
      <c r="M770" s="6"/>
      <c r="N770" s="6"/>
      <c r="O770" s="6"/>
      <c r="P770" s="6"/>
      <c r="Q770" s="6"/>
      <c r="R770" s="6"/>
      <c r="S770" s="6"/>
      <c r="T770" s="6"/>
      <c r="U770" s="6"/>
    </row>
    <row r="771" spans="1:21">
      <c r="A771" s="82"/>
      <c r="B771" s="83"/>
      <c r="C771" s="82"/>
      <c r="D771" s="82"/>
      <c r="E771" s="82"/>
      <c r="F771" s="82"/>
      <c r="G771" s="222"/>
      <c r="H771" s="222"/>
      <c r="I771" s="222"/>
      <c r="J771" s="6"/>
      <c r="K771" s="6"/>
      <c r="L771" s="6"/>
      <c r="M771" s="6"/>
      <c r="N771" s="6"/>
      <c r="O771" s="6"/>
      <c r="P771" s="6"/>
      <c r="Q771" s="6"/>
      <c r="R771" s="6"/>
      <c r="S771" s="6"/>
      <c r="T771" s="6"/>
      <c r="U771" s="6"/>
    </row>
    <row r="772" spans="1:21">
      <c r="A772" s="82"/>
      <c r="B772" s="83"/>
      <c r="C772" s="82"/>
      <c r="D772" s="82"/>
      <c r="E772" s="82"/>
      <c r="F772" s="82"/>
      <c r="G772" s="222"/>
      <c r="H772" s="222"/>
      <c r="I772" s="222"/>
      <c r="J772" s="6"/>
      <c r="K772" s="6"/>
      <c r="L772" s="6"/>
      <c r="M772" s="6"/>
      <c r="N772" s="6"/>
      <c r="O772" s="6"/>
      <c r="P772" s="6"/>
      <c r="Q772" s="6"/>
      <c r="R772" s="6"/>
      <c r="S772" s="6"/>
      <c r="T772" s="6"/>
      <c r="U772" s="6"/>
    </row>
    <row r="773" spans="1:21">
      <c r="A773" s="82"/>
      <c r="B773" s="83"/>
      <c r="C773" s="82"/>
      <c r="D773" s="82"/>
      <c r="E773" s="82"/>
      <c r="F773" s="82"/>
      <c r="G773" s="222"/>
      <c r="H773" s="222"/>
      <c r="I773" s="222"/>
      <c r="J773" s="6"/>
      <c r="K773" s="6"/>
      <c r="L773" s="6"/>
      <c r="M773" s="6"/>
      <c r="N773" s="6"/>
      <c r="O773" s="6"/>
      <c r="P773" s="6"/>
      <c r="Q773" s="6"/>
      <c r="R773" s="6"/>
      <c r="S773" s="6"/>
      <c r="T773" s="6"/>
      <c r="U773" s="6"/>
    </row>
    <row r="774" spans="1:21">
      <c r="A774" s="82"/>
      <c r="B774" s="83"/>
      <c r="C774" s="82"/>
      <c r="D774" s="82"/>
      <c r="E774" s="82"/>
      <c r="F774" s="82"/>
      <c r="G774" s="222"/>
      <c r="H774" s="222"/>
      <c r="I774" s="222"/>
      <c r="J774" s="6"/>
      <c r="K774" s="6"/>
      <c r="L774" s="6"/>
      <c r="M774" s="6"/>
      <c r="N774" s="6"/>
      <c r="O774" s="6"/>
      <c r="P774" s="6"/>
      <c r="Q774" s="6"/>
      <c r="R774" s="6"/>
      <c r="S774" s="6"/>
      <c r="T774" s="6"/>
      <c r="U774" s="6"/>
    </row>
    <row r="775" spans="1:21">
      <c r="A775" s="82"/>
      <c r="B775" s="83"/>
      <c r="C775" s="82"/>
      <c r="D775" s="82"/>
      <c r="E775" s="82"/>
      <c r="F775" s="82"/>
      <c r="G775" s="222"/>
      <c r="H775" s="222"/>
      <c r="I775" s="222"/>
      <c r="J775" s="6"/>
      <c r="K775" s="6"/>
      <c r="L775" s="6"/>
      <c r="M775" s="6"/>
      <c r="N775" s="6"/>
      <c r="O775" s="6"/>
      <c r="P775" s="6"/>
      <c r="Q775" s="6"/>
      <c r="R775" s="6"/>
      <c r="S775" s="6"/>
      <c r="T775" s="6"/>
      <c r="U775" s="6"/>
    </row>
    <row r="776" spans="1:21">
      <c r="A776" s="82"/>
      <c r="B776" s="83"/>
      <c r="C776" s="82"/>
      <c r="D776" s="82"/>
      <c r="E776" s="82"/>
      <c r="F776" s="82"/>
      <c r="G776" s="222"/>
      <c r="H776" s="222"/>
      <c r="I776" s="222"/>
      <c r="J776" s="6"/>
      <c r="K776" s="6"/>
      <c r="L776" s="6"/>
      <c r="M776" s="6"/>
      <c r="N776" s="6"/>
      <c r="O776" s="6"/>
      <c r="P776" s="6"/>
      <c r="Q776" s="6"/>
      <c r="R776" s="6"/>
      <c r="S776" s="6"/>
      <c r="T776" s="6"/>
      <c r="U776" s="6"/>
    </row>
    <row r="777" spans="1:21">
      <c r="A777" s="82"/>
      <c r="B777" s="83"/>
      <c r="C777" s="82"/>
      <c r="D777" s="82"/>
      <c r="E777" s="82"/>
      <c r="F777" s="82"/>
      <c r="G777" s="222"/>
      <c r="H777" s="222"/>
      <c r="I777" s="222"/>
      <c r="J777" s="6"/>
      <c r="K777" s="6"/>
      <c r="L777" s="6"/>
      <c r="M777" s="6"/>
      <c r="N777" s="6"/>
      <c r="O777" s="6"/>
      <c r="P777" s="6"/>
      <c r="Q777" s="6"/>
      <c r="R777" s="6"/>
      <c r="S777" s="6"/>
      <c r="T777" s="6"/>
      <c r="U777" s="6"/>
    </row>
    <row r="778" spans="1:21">
      <c r="A778" s="82"/>
      <c r="B778" s="83"/>
      <c r="C778" s="82"/>
      <c r="D778" s="82"/>
      <c r="E778" s="82"/>
      <c r="F778" s="82"/>
      <c r="G778" s="222"/>
      <c r="H778" s="222"/>
      <c r="I778" s="222"/>
      <c r="J778" s="6"/>
      <c r="K778" s="6"/>
      <c r="L778" s="6"/>
      <c r="M778" s="6"/>
      <c r="N778" s="6"/>
      <c r="O778" s="6"/>
      <c r="P778" s="6"/>
      <c r="Q778" s="6"/>
      <c r="R778" s="6"/>
      <c r="S778" s="6"/>
      <c r="T778" s="6"/>
      <c r="U778" s="6"/>
    </row>
    <row r="779" spans="1:21">
      <c r="A779" s="82"/>
      <c r="B779" s="83"/>
      <c r="C779" s="82"/>
      <c r="D779" s="82"/>
      <c r="E779" s="82"/>
      <c r="F779" s="82"/>
      <c r="G779" s="222"/>
      <c r="H779" s="222"/>
      <c r="I779" s="222"/>
      <c r="J779" s="6"/>
      <c r="K779" s="6"/>
      <c r="L779" s="6"/>
      <c r="M779" s="6"/>
      <c r="N779" s="6"/>
      <c r="O779" s="6"/>
      <c r="P779" s="6"/>
      <c r="Q779" s="6"/>
      <c r="R779" s="6"/>
      <c r="S779" s="6"/>
      <c r="T779" s="6"/>
      <c r="U779" s="6"/>
    </row>
    <row r="780" spans="1:21">
      <c r="A780" s="82"/>
      <c r="B780" s="83"/>
      <c r="C780" s="82"/>
      <c r="D780" s="82"/>
      <c r="E780" s="82"/>
      <c r="F780" s="82"/>
      <c r="G780" s="222"/>
      <c r="H780" s="222"/>
      <c r="I780" s="222"/>
      <c r="J780" s="6"/>
      <c r="K780" s="6"/>
      <c r="L780" s="6"/>
      <c r="M780" s="6"/>
      <c r="N780" s="6"/>
      <c r="O780" s="6"/>
      <c r="P780" s="6"/>
      <c r="Q780" s="6"/>
      <c r="R780" s="6"/>
      <c r="S780" s="6"/>
      <c r="T780" s="6"/>
      <c r="U780" s="6"/>
    </row>
    <row r="781" spans="1:21">
      <c r="A781" s="82"/>
      <c r="B781" s="83"/>
      <c r="C781" s="82"/>
      <c r="D781" s="82"/>
      <c r="E781" s="82"/>
      <c r="F781" s="82"/>
      <c r="G781" s="222"/>
      <c r="H781" s="222"/>
      <c r="I781" s="222"/>
      <c r="J781" s="6"/>
      <c r="K781" s="6"/>
      <c r="L781" s="6"/>
      <c r="M781" s="6"/>
      <c r="N781" s="6"/>
      <c r="O781" s="6"/>
      <c r="P781" s="6"/>
      <c r="Q781" s="6"/>
      <c r="R781" s="6"/>
      <c r="S781" s="6"/>
      <c r="T781" s="6"/>
      <c r="U781" s="6"/>
    </row>
    <row r="782" spans="1:21">
      <c r="A782" s="82"/>
      <c r="B782" s="83"/>
      <c r="C782" s="82"/>
      <c r="D782" s="82"/>
      <c r="E782" s="82"/>
      <c r="F782" s="82"/>
      <c r="G782" s="222"/>
      <c r="H782" s="222"/>
      <c r="I782" s="222"/>
      <c r="J782" s="6"/>
      <c r="K782" s="6"/>
      <c r="L782" s="6"/>
      <c r="M782" s="6"/>
      <c r="N782" s="6"/>
      <c r="O782" s="6"/>
      <c r="P782" s="6"/>
      <c r="Q782" s="6"/>
      <c r="R782" s="6"/>
      <c r="S782" s="6"/>
      <c r="T782" s="6"/>
      <c r="U782" s="6"/>
    </row>
    <row r="783" spans="1:21">
      <c r="A783" s="82"/>
      <c r="B783" s="83"/>
      <c r="C783" s="82"/>
      <c r="D783" s="82"/>
      <c r="E783" s="82"/>
      <c r="F783" s="82"/>
      <c r="G783" s="222"/>
      <c r="H783" s="222"/>
      <c r="I783" s="222"/>
      <c r="J783" s="6"/>
      <c r="K783" s="6"/>
      <c r="L783" s="6"/>
      <c r="M783" s="6"/>
      <c r="N783" s="6"/>
      <c r="O783" s="6"/>
      <c r="P783" s="6"/>
      <c r="Q783" s="6"/>
      <c r="R783" s="6"/>
      <c r="S783" s="6"/>
      <c r="T783" s="6"/>
      <c r="U783" s="6"/>
    </row>
    <row r="784" spans="1:21">
      <c r="A784" s="82"/>
      <c r="B784" s="83"/>
      <c r="C784" s="82"/>
      <c r="D784" s="82"/>
      <c r="E784" s="82"/>
      <c r="F784" s="82"/>
      <c r="G784" s="222"/>
      <c r="H784" s="222"/>
      <c r="I784" s="222"/>
      <c r="J784" s="6"/>
      <c r="K784" s="6"/>
      <c r="L784" s="6"/>
      <c r="M784" s="6"/>
      <c r="N784" s="6"/>
      <c r="O784" s="6"/>
      <c r="P784" s="6"/>
      <c r="Q784" s="6"/>
      <c r="R784" s="6"/>
      <c r="S784" s="6"/>
      <c r="T784" s="6"/>
      <c r="U784" s="6"/>
    </row>
    <row r="785" spans="1:21">
      <c r="A785" s="82"/>
      <c r="B785" s="83"/>
      <c r="C785" s="82"/>
      <c r="D785" s="82"/>
      <c r="E785" s="82"/>
      <c r="F785" s="82"/>
      <c r="G785" s="222"/>
      <c r="H785" s="222"/>
      <c r="I785" s="222"/>
      <c r="J785" s="6"/>
      <c r="K785" s="6"/>
      <c r="L785" s="6"/>
      <c r="M785" s="6"/>
      <c r="N785" s="6"/>
      <c r="O785" s="6"/>
      <c r="P785" s="6"/>
      <c r="Q785" s="6"/>
      <c r="R785" s="6"/>
      <c r="S785" s="6"/>
      <c r="T785" s="6"/>
      <c r="U785" s="6"/>
    </row>
    <row r="786" spans="1:21">
      <c r="A786" s="82"/>
      <c r="B786" s="83"/>
      <c r="C786" s="82"/>
      <c r="D786" s="82"/>
      <c r="E786" s="82"/>
      <c r="F786" s="82"/>
      <c r="G786" s="222"/>
      <c r="H786" s="222"/>
      <c r="I786" s="222"/>
      <c r="J786" s="6"/>
      <c r="K786" s="6"/>
      <c r="L786" s="6"/>
      <c r="M786" s="6"/>
      <c r="N786" s="6"/>
      <c r="O786" s="6"/>
      <c r="P786" s="6"/>
      <c r="Q786" s="6"/>
      <c r="R786" s="6"/>
      <c r="S786" s="6"/>
      <c r="T786" s="6"/>
      <c r="U786" s="6"/>
    </row>
    <row r="787" spans="1:21">
      <c r="A787" s="82"/>
      <c r="B787" s="83"/>
      <c r="C787" s="82"/>
      <c r="D787" s="82"/>
      <c r="E787" s="82"/>
      <c r="F787" s="82"/>
      <c r="G787" s="222"/>
      <c r="H787" s="222"/>
      <c r="I787" s="222"/>
      <c r="J787" s="6"/>
      <c r="K787" s="6"/>
      <c r="L787" s="6"/>
      <c r="M787" s="6"/>
      <c r="N787" s="6"/>
      <c r="O787" s="6"/>
      <c r="P787" s="6"/>
      <c r="Q787" s="6"/>
      <c r="R787" s="6"/>
      <c r="S787" s="6"/>
      <c r="T787" s="6"/>
      <c r="U787" s="6"/>
    </row>
    <row r="788" spans="1:21">
      <c r="A788" s="82"/>
      <c r="B788" s="83"/>
      <c r="C788" s="82"/>
      <c r="D788" s="82"/>
      <c r="E788" s="82"/>
      <c r="F788" s="82"/>
      <c r="G788" s="222"/>
      <c r="H788" s="222"/>
      <c r="I788" s="222"/>
      <c r="J788" s="6"/>
      <c r="K788" s="6"/>
      <c r="L788" s="6"/>
      <c r="M788" s="6"/>
      <c r="N788" s="6"/>
      <c r="O788" s="6"/>
      <c r="P788" s="6"/>
      <c r="Q788" s="6"/>
      <c r="R788" s="6"/>
      <c r="S788" s="6"/>
      <c r="T788" s="6"/>
      <c r="U788" s="6"/>
    </row>
    <row r="789" spans="1:21">
      <c r="A789" s="82"/>
      <c r="B789" s="83"/>
      <c r="C789" s="82"/>
      <c r="D789" s="82"/>
      <c r="E789" s="82"/>
      <c r="F789" s="82"/>
      <c r="G789" s="222"/>
      <c r="H789" s="222"/>
      <c r="I789" s="222"/>
      <c r="J789" s="6"/>
      <c r="K789" s="6"/>
      <c r="L789" s="6"/>
      <c r="M789" s="6"/>
      <c r="N789" s="6"/>
      <c r="O789" s="6"/>
      <c r="P789" s="6"/>
      <c r="Q789" s="6"/>
      <c r="R789" s="6"/>
      <c r="S789" s="6"/>
      <c r="T789" s="6"/>
      <c r="U789" s="6"/>
    </row>
    <row r="790" spans="1:21">
      <c r="A790" s="82"/>
      <c r="B790" s="83"/>
      <c r="C790" s="82"/>
      <c r="D790" s="82"/>
      <c r="E790" s="82"/>
      <c r="F790" s="82"/>
      <c r="G790" s="222"/>
      <c r="H790" s="222"/>
      <c r="I790" s="222"/>
      <c r="J790" s="6"/>
      <c r="K790" s="6"/>
      <c r="L790" s="6"/>
      <c r="M790" s="6"/>
      <c r="N790" s="6"/>
      <c r="O790" s="6"/>
      <c r="P790" s="6"/>
      <c r="Q790" s="6"/>
      <c r="R790" s="6"/>
      <c r="S790" s="6"/>
      <c r="T790" s="6"/>
      <c r="U790" s="6"/>
    </row>
    <row r="791" spans="1:21">
      <c r="A791" s="82"/>
      <c r="B791" s="83"/>
      <c r="C791" s="82"/>
      <c r="D791" s="82"/>
      <c r="E791" s="82"/>
      <c r="F791" s="82"/>
      <c r="G791" s="222"/>
      <c r="H791" s="222"/>
      <c r="I791" s="222"/>
      <c r="J791" s="6"/>
      <c r="K791" s="6"/>
      <c r="L791" s="6"/>
      <c r="M791" s="6"/>
      <c r="N791" s="6"/>
      <c r="O791" s="6"/>
      <c r="P791" s="6"/>
      <c r="Q791" s="6"/>
      <c r="R791" s="6"/>
      <c r="S791" s="6"/>
      <c r="T791" s="6"/>
      <c r="U791" s="6"/>
    </row>
    <row r="792" spans="1:21">
      <c r="A792" s="82"/>
      <c r="B792" s="83"/>
      <c r="C792" s="82"/>
      <c r="D792" s="82"/>
      <c r="E792" s="82"/>
      <c r="F792" s="82"/>
      <c r="G792" s="222"/>
      <c r="H792" s="222"/>
      <c r="I792" s="222"/>
      <c r="J792" s="6"/>
      <c r="K792" s="6"/>
      <c r="L792" s="6"/>
      <c r="M792" s="6"/>
      <c r="N792" s="6"/>
      <c r="O792" s="6"/>
      <c r="P792" s="6"/>
      <c r="Q792" s="6"/>
      <c r="R792" s="6"/>
      <c r="S792" s="6"/>
      <c r="T792" s="6"/>
      <c r="U792" s="6"/>
    </row>
    <row r="793" spans="1:21">
      <c r="A793" s="82"/>
      <c r="B793" s="83"/>
      <c r="C793" s="82"/>
      <c r="D793" s="82"/>
      <c r="E793" s="82"/>
      <c r="F793" s="82"/>
      <c r="G793" s="222"/>
      <c r="H793" s="222"/>
      <c r="I793" s="222"/>
      <c r="J793" s="6"/>
      <c r="K793" s="6"/>
      <c r="L793" s="6"/>
      <c r="M793" s="6"/>
      <c r="N793" s="6"/>
      <c r="O793" s="6"/>
      <c r="P793" s="6"/>
      <c r="Q793" s="6"/>
      <c r="R793" s="6"/>
      <c r="S793" s="6"/>
      <c r="T793" s="6"/>
      <c r="U793" s="6"/>
    </row>
    <row r="794" spans="1:21">
      <c r="A794" s="82"/>
      <c r="B794" s="83"/>
      <c r="C794" s="82"/>
      <c r="D794" s="82"/>
      <c r="E794" s="82"/>
      <c r="F794" s="82"/>
      <c r="G794" s="222"/>
      <c r="H794" s="222"/>
      <c r="I794" s="222"/>
      <c r="J794" s="6"/>
      <c r="K794" s="6"/>
      <c r="L794" s="6"/>
      <c r="M794" s="6"/>
      <c r="N794" s="6"/>
      <c r="O794" s="6"/>
      <c r="P794" s="6"/>
      <c r="Q794" s="6"/>
      <c r="R794" s="6"/>
      <c r="S794" s="6"/>
      <c r="T794" s="6"/>
      <c r="U794" s="6"/>
    </row>
    <row r="795" spans="1:21">
      <c r="A795" s="82"/>
      <c r="B795" s="83"/>
      <c r="C795" s="82"/>
      <c r="D795" s="82"/>
      <c r="E795" s="82"/>
      <c r="F795" s="82"/>
      <c r="G795" s="222"/>
      <c r="H795" s="222"/>
      <c r="I795" s="222"/>
      <c r="J795" s="6"/>
      <c r="K795" s="6"/>
      <c r="L795" s="6"/>
      <c r="M795" s="6"/>
      <c r="N795" s="6"/>
      <c r="O795" s="6"/>
      <c r="P795" s="6"/>
      <c r="Q795" s="6"/>
      <c r="R795" s="6"/>
      <c r="S795" s="6"/>
      <c r="T795" s="6"/>
      <c r="U795" s="6"/>
    </row>
    <row r="796" spans="1:21">
      <c r="A796" s="82"/>
      <c r="B796" s="83"/>
      <c r="C796" s="82"/>
      <c r="D796" s="82"/>
      <c r="E796" s="82"/>
      <c r="F796" s="82"/>
      <c r="G796" s="222"/>
      <c r="H796" s="222"/>
      <c r="I796" s="222"/>
      <c r="J796" s="6"/>
      <c r="K796" s="6"/>
      <c r="L796" s="6"/>
      <c r="M796" s="6"/>
      <c r="N796" s="6"/>
      <c r="O796" s="6"/>
      <c r="P796" s="6"/>
      <c r="Q796" s="6"/>
      <c r="R796" s="6"/>
      <c r="S796" s="6"/>
      <c r="T796" s="6"/>
      <c r="U796" s="6"/>
    </row>
    <row r="797" spans="1:21">
      <c r="A797" s="82"/>
      <c r="B797" s="83"/>
      <c r="C797" s="82"/>
      <c r="D797" s="82"/>
      <c r="E797" s="82"/>
      <c r="F797" s="82"/>
      <c r="G797" s="222"/>
      <c r="H797" s="222"/>
      <c r="I797" s="222"/>
      <c r="J797" s="6"/>
      <c r="K797" s="6"/>
      <c r="L797" s="6"/>
      <c r="M797" s="6"/>
      <c r="N797" s="6"/>
      <c r="O797" s="6"/>
      <c r="P797" s="6"/>
      <c r="Q797" s="6"/>
      <c r="R797" s="6"/>
      <c r="S797" s="6"/>
      <c r="T797" s="6"/>
      <c r="U797" s="6"/>
    </row>
    <row r="798" spans="1:21">
      <c r="A798" s="82"/>
      <c r="B798" s="83"/>
      <c r="C798" s="82"/>
      <c r="D798" s="82"/>
      <c r="E798" s="82"/>
      <c r="F798" s="82"/>
      <c r="G798" s="222"/>
      <c r="H798" s="222"/>
      <c r="I798" s="222"/>
      <c r="J798" s="6"/>
      <c r="K798" s="6"/>
      <c r="L798" s="6"/>
      <c r="M798" s="6"/>
      <c r="N798" s="6"/>
      <c r="O798" s="6"/>
      <c r="P798" s="6"/>
      <c r="Q798" s="6"/>
      <c r="R798" s="6"/>
      <c r="S798" s="6"/>
      <c r="T798" s="6"/>
      <c r="U798" s="6"/>
    </row>
    <row r="799" spans="1:21">
      <c r="A799" s="82"/>
      <c r="B799" s="83"/>
      <c r="C799" s="82"/>
      <c r="D799" s="82"/>
      <c r="E799" s="82"/>
      <c r="F799" s="82"/>
      <c r="G799" s="222"/>
      <c r="H799" s="222"/>
      <c r="I799" s="222"/>
      <c r="J799" s="6"/>
      <c r="K799" s="6"/>
      <c r="L799" s="6"/>
      <c r="M799" s="6"/>
      <c r="N799" s="6"/>
      <c r="O799" s="6"/>
      <c r="P799" s="6"/>
      <c r="Q799" s="6"/>
      <c r="R799" s="6"/>
      <c r="S799" s="6"/>
      <c r="T799" s="6"/>
      <c r="U799" s="6"/>
    </row>
    <row r="800" spans="1:21">
      <c r="A800" s="82"/>
      <c r="B800" s="83"/>
      <c r="C800" s="82"/>
      <c r="D800" s="82"/>
      <c r="E800" s="82"/>
      <c r="F800" s="82"/>
      <c r="G800" s="222"/>
      <c r="H800" s="222"/>
      <c r="I800" s="222"/>
      <c r="J800" s="6"/>
      <c r="K800" s="6"/>
      <c r="L800" s="6"/>
      <c r="M800" s="6"/>
      <c r="N800" s="6"/>
      <c r="O800" s="6"/>
      <c r="P800" s="6"/>
      <c r="Q800" s="6"/>
      <c r="R800" s="6"/>
      <c r="S800" s="6"/>
      <c r="T800" s="6"/>
      <c r="U800" s="6"/>
    </row>
    <row r="801" spans="1:21">
      <c r="A801" s="82"/>
      <c r="B801" s="83"/>
      <c r="C801" s="82"/>
      <c r="D801" s="82"/>
      <c r="E801" s="82"/>
      <c r="F801" s="82"/>
      <c r="G801" s="222"/>
      <c r="H801" s="222"/>
      <c r="I801" s="222"/>
      <c r="J801" s="6"/>
      <c r="K801" s="6"/>
      <c r="L801" s="6"/>
      <c r="M801" s="6"/>
      <c r="N801" s="6"/>
      <c r="O801" s="6"/>
      <c r="P801" s="6"/>
      <c r="Q801" s="6"/>
      <c r="R801" s="6"/>
      <c r="S801" s="6"/>
      <c r="T801" s="6"/>
      <c r="U801" s="6"/>
    </row>
    <row r="802" spans="1:21">
      <c r="A802" s="82"/>
      <c r="B802" s="83"/>
      <c r="C802" s="82"/>
      <c r="D802" s="82"/>
      <c r="E802" s="82"/>
      <c r="F802" s="82"/>
      <c r="G802" s="222"/>
      <c r="H802" s="222"/>
      <c r="I802" s="222"/>
      <c r="J802" s="6"/>
      <c r="K802" s="6"/>
      <c r="L802" s="6"/>
      <c r="M802" s="6"/>
      <c r="N802" s="6"/>
      <c r="O802" s="6"/>
      <c r="P802" s="6"/>
      <c r="Q802" s="6"/>
      <c r="R802" s="6"/>
      <c r="S802" s="6"/>
      <c r="T802" s="6"/>
      <c r="U802" s="6"/>
    </row>
    <row r="803" spans="1:21">
      <c r="A803" s="82"/>
      <c r="B803" s="83"/>
      <c r="C803" s="82"/>
      <c r="D803" s="82"/>
      <c r="E803" s="82"/>
      <c r="F803" s="82"/>
      <c r="G803" s="222"/>
      <c r="H803" s="222"/>
      <c r="I803" s="222"/>
      <c r="J803" s="6"/>
      <c r="K803" s="6"/>
      <c r="L803" s="6"/>
      <c r="M803" s="6"/>
      <c r="N803" s="6"/>
      <c r="O803" s="6"/>
      <c r="P803" s="6"/>
      <c r="Q803" s="6"/>
      <c r="R803" s="6"/>
      <c r="S803" s="6"/>
      <c r="T803" s="6"/>
      <c r="U803" s="6"/>
    </row>
    <row r="804" spans="1:21">
      <c r="A804" s="82"/>
      <c r="B804" s="83"/>
      <c r="C804" s="82"/>
      <c r="D804" s="82"/>
      <c r="E804" s="82"/>
      <c r="F804" s="82"/>
      <c r="G804" s="222"/>
      <c r="H804" s="222"/>
      <c r="I804" s="222"/>
      <c r="J804" s="6"/>
      <c r="K804" s="6"/>
      <c r="L804" s="6"/>
      <c r="M804" s="6"/>
      <c r="N804" s="6"/>
      <c r="O804" s="6"/>
      <c r="P804" s="6"/>
      <c r="Q804" s="6"/>
      <c r="R804" s="6"/>
      <c r="S804" s="6"/>
      <c r="T804" s="6"/>
      <c r="U804" s="6"/>
    </row>
    <row r="805" spans="1:21">
      <c r="A805" s="82"/>
      <c r="B805" s="83"/>
      <c r="C805" s="82"/>
      <c r="D805" s="82"/>
      <c r="E805" s="82"/>
      <c r="F805" s="82"/>
      <c r="G805" s="222"/>
      <c r="H805" s="222"/>
      <c r="I805" s="222"/>
      <c r="J805" s="6"/>
      <c r="K805" s="6"/>
      <c r="L805" s="6"/>
      <c r="M805" s="6"/>
      <c r="N805" s="6"/>
      <c r="O805" s="6"/>
      <c r="P805" s="6"/>
      <c r="Q805" s="6"/>
      <c r="R805" s="6"/>
      <c r="S805" s="6"/>
      <c r="T805" s="6"/>
      <c r="U805" s="6"/>
    </row>
    <row r="806" spans="1:21">
      <c r="A806" s="82"/>
      <c r="B806" s="83"/>
      <c r="C806" s="82"/>
      <c r="D806" s="82"/>
      <c r="E806" s="82"/>
      <c r="F806" s="82"/>
      <c r="G806" s="222"/>
      <c r="H806" s="222"/>
      <c r="I806" s="222"/>
      <c r="J806" s="6"/>
      <c r="K806" s="6"/>
      <c r="L806" s="6"/>
      <c r="M806" s="6"/>
      <c r="N806" s="6"/>
      <c r="O806" s="6"/>
      <c r="P806" s="6"/>
      <c r="Q806" s="6"/>
      <c r="R806" s="6"/>
      <c r="S806" s="6"/>
      <c r="T806" s="6"/>
      <c r="U806" s="6"/>
    </row>
    <row r="807" spans="1:21">
      <c r="A807" s="82"/>
      <c r="B807" s="83"/>
      <c r="C807" s="82"/>
      <c r="D807" s="82"/>
      <c r="E807" s="82"/>
      <c r="F807" s="82"/>
      <c r="G807" s="222"/>
      <c r="H807" s="222"/>
      <c r="I807" s="222"/>
      <c r="J807" s="6"/>
      <c r="K807" s="6"/>
      <c r="L807" s="6"/>
      <c r="M807" s="6"/>
      <c r="N807" s="6"/>
      <c r="O807" s="6"/>
      <c r="P807" s="6"/>
      <c r="Q807" s="6"/>
      <c r="R807" s="6"/>
      <c r="S807" s="6"/>
      <c r="T807" s="6"/>
      <c r="U807" s="6"/>
    </row>
    <row r="808" spans="1:21">
      <c r="A808" s="82"/>
      <c r="B808" s="83"/>
      <c r="C808" s="82"/>
      <c r="D808" s="82"/>
      <c r="E808" s="82"/>
      <c r="F808" s="82"/>
      <c r="G808" s="222"/>
      <c r="H808" s="222"/>
      <c r="I808" s="222"/>
      <c r="J808" s="6"/>
      <c r="K808" s="6"/>
      <c r="L808" s="6"/>
      <c r="M808" s="6"/>
      <c r="N808" s="6"/>
      <c r="O808" s="6"/>
      <c r="P808" s="6"/>
      <c r="Q808" s="6"/>
      <c r="R808" s="6"/>
      <c r="S808" s="6"/>
      <c r="T808" s="6"/>
      <c r="U808" s="6"/>
    </row>
    <row r="809" spans="1:21">
      <c r="A809" s="82"/>
      <c r="B809" s="83"/>
      <c r="C809" s="82"/>
      <c r="D809" s="82"/>
      <c r="E809" s="82"/>
      <c r="F809" s="82"/>
      <c r="G809" s="222"/>
      <c r="H809" s="222"/>
      <c r="I809" s="222"/>
      <c r="J809" s="6"/>
      <c r="K809" s="6"/>
      <c r="L809" s="6"/>
      <c r="M809" s="6"/>
      <c r="N809" s="6"/>
      <c r="O809" s="6"/>
      <c r="P809" s="6"/>
      <c r="Q809" s="6"/>
      <c r="R809" s="6"/>
      <c r="S809" s="6"/>
      <c r="T809" s="6"/>
      <c r="U809" s="6"/>
    </row>
    <row r="810" spans="1:21">
      <c r="A810" s="82"/>
      <c r="B810" s="83"/>
      <c r="C810" s="82"/>
      <c r="D810" s="82"/>
      <c r="E810" s="82"/>
      <c r="F810" s="82"/>
      <c r="G810" s="222"/>
      <c r="H810" s="222"/>
      <c r="I810" s="222"/>
      <c r="J810" s="6"/>
      <c r="K810" s="6"/>
      <c r="L810" s="6"/>
      <c r="M810" s="6"/>
      <c r="N810" s="6"/>
      <c r="O810" s="6"/>
      <c r="P810" s="6"/>
      <c r="Q810" s="6"/>
      <c r="R810" s="6"/>
      <c r="S810" s="6"/>
      <c r="T810" s="6"/>
      <c r="U810" s="6"/>
    </row>
    <row r="811" spans="1:21">
      <c r="A811" s="82"/>
      <c r="B811" s="83"/>
      <c r="C811" s="82"/>
      <c r="D811" s="82"/>
      <c r="E811" s="82"/>
      <c r="F811" s="82"/>
      <c r="G811" s="222"/>
      <c r="H811" s="222"/>
      <c r="I811" s="222"/>
      <c r="J811" s="6"/>
      <c r="K811" s="6"/>
      <c r="L811" s="6"/>
      <c r="M811" s="6"/>
      <c r="N811" s="6"/>
      <c r="O811" s="6"/>
      <c r="P811" s="6"/>
      <c r="Q811" s="6"/>
      <c r="R811" s="6"/>
      <c r="S811" s="6"/>
      <c r="T811" s="6"/>
      <c r="U811" s="6"/>
    </row>
    <row r="812" spans="1:21">
      <c r="A812" s="82"/>
      <c r="B812" s="83"/>
      <c r="C812" s="82"/>
      <c r="D812" s="82"/>
      <c r="E812" s="82"/>
      <c r="F812" s="82"/>
      <c r="G812" s="222"/>
      <c r="H812" s="222"/>
      <c r="I812" s="222"/>
      <c r="J812" s="6"/>
      <c r="K812" s="6"/>
      <c r="L812" s="6"/>
      <c r="M812" s="6"/>
      <c r="N812" s="6"/>
      <c r="O812" s="6"/>
      <c r="P812" s="6"/>
      <c r="Q812" s="6"/>
      <c r="R812" s="6"/>
      <c r="S812" s="6"/>
      <c r="T812" s="6"/>
      <c r="U812" s="6"/>
    </row>
    <row r="813" spans="1:21">
      <c r="A813" s="82"/>
      <c r="B813" s="83"/>
      <c r="C813" s="82"/>
      <c r="D813" s="82"/>
      <c r="E813" s="82"/>
      <c r="F813" s="82"/>
      <c r="G813" s="222"/>
      <c r="H813" s="222"/>
      <c r="I813" s="222"/>
      <c r="J813" s="6"/>
      <c r="K813" s="6"/>
      <c r="L813" s="6"/>
      <c r="M813" s="6"/>
      <c r="N813" s="6"/>
      <c r="O813" s="6"/>
      <c r="P813" s="6"/>
      <c r="Q813" s="6"/>
      <c r="R813" s="6"/>
      <c r="S813" s="6"/>
      <c r="T813" s="6"/>
      <c r="U813" s="6"/>
    </row>
    <row r="814" spans="1:21">
      <c r="A814" s="82"/>
      <c r="B814" s="83"/>
      <c r="C814" s="82"/>
      <c r="D814" s="82"/>
      <c r="E814" s="82"/>
      <c r="F814" s="82"/>
      <c r="G814" s="222"/>
      <c r="H814" s="222"/>
      <c r="I814" s="222"/>
      <c r="J814" s="6"/>
      <c r="K814" s="6"/>
      <c r="L814" s="6"/>
      <c r="M814" s="6"/>
      <c r="N814" s="6"/>
      <c r="O814" s="6"/>
      <c r="P814" s="6"/>
      <c r="Q814" s="6"/>
      <c r="R814" s="6"/>
      <c r="S814" s="6"/>
      <c r="T814" s="6"/>
      <c r="U814" s="6"/>
    </row>
    <row r="815" spans="1:21">
      <c r="A815" s="82"/>
      <c r="B815" s="83"/>
      <c r="C815" s="82"/>
      <c r="D815" s="82"/>
      <c r="E815" s="82"/>
      <c r="F815" s="82"/>
      <c r="G815" s="222"/>
      <c r="H815" s="222"/>
      <c r="I815" s="222"/>
      <c r="J815" s="6"/>
      <c r="K815" s="6"/>
      <c r="L815" s="6"/>
      <c r="M815" s="6"/>
      <c r="N815" s="6"/>
      <c r="O815" s="6"/>
      <c r="P815" s="6"/>
      <c r="Q815" s="6"/>
      <c r="R815" s="6"/>
      <c r="S815" s="6"/>
      <c r="T815" s="6"/>
      <c r="U815" s="6"/>
    </row>
    <row r="816" spans="1:21">
      <c r="A816" s="82"/>
      <c r="B816" s="83"/>
      <c r="C816" s="82"/>
      <c r="D816" s="82"/>
      <c r="E816" s="82"/>
      <c r="F816" s="82"/>
      <c r="G816" s="222"/>
      <c r="H816" s="222"/>
      <c r="I816" s="222"/>
      <c r="J816" s="6"/>
      <c r="K816" s="6"/>
      <c r="L816" s="6"/>
      <c r="M816" s="6"/>
      <c r="N816" s="6"/>
      <c r="O816" s="6"/>
      <c r="P816" s="6"/>
      <c r="Q816" s="6"/>
      <c r="R816" s="6"/>
      <c r="S816" s="6"/>
      <c r="T816" s="6"/>
      <c r="U816" s="6"/>
    </row>
    <row r="817" spans="1:21">
      <c r="A817" s="82"/>
      <c r="B817" s="83"/>
      <c r="C817" s="82"/>
      <c r="D817" s="82"/>
      <c r="E817" s="82"/>
      <c r="F817" s="82"/>
      <c r="G817" s="222"/>
      <c r="H817" s="222"/>
      <c r="I817" s="222"/>
      <c r="J817" s="6"/>
      <c r="K817" s="6"/>
      <c r="L817" s="6"/>
      <c r="M817" s="6"/>
      <c r="N817" s="6"/>
      <c r="O817" s="6"/>
      <c r="P817" s="6"/>
      <c r="Q817" s="6"/>
      <c r="R817" s="6"/>
      <c r="S817" s="6"/>
      <c r="T817" s="6"/>
      <c r="U817" s="6"/>
    </row>
    <row r="818" spans="1:21">
      <c r="A818" s="82"/>
      <c r="B818" s="83"/>
      <c r="C818" s="82"/>
      <c r="D818" s="82"/>
      <c r="E818" s="82"/>
      <c r="F818" s="82"/>
      <c r="G818" s="222"/>
      <c r="H818" s="222"/>
      <c r="I818" s="222"/>
      <c r="J818" s="6"/>
      <c r="K818" s="6"/>
      <c r="L818" s="6"/>
      <c r="M818" s="6"/>
      <c r="N818" s="6"/>
      <c r="O818" s="6"/>
      <c r="P818" s="6"/>
      <c r="Q818" s="6"/>
      <c r="R818" s="6"/>
      <c r="S818" s="6"/>
      <c r="T818" s="6"/>
      <c r="U818" s="6"/>
    </row>
    <row r="819" spans="1:21">
      <c r="A819" s="82"/>
      <c r="B819" s="83"/>
      <c r="C819" s="82"/>
      <c r="D819" s="82"/>
      <c r="E819" s="82"/>
      <c r="F819" s="82"/>
      <c r="G819" s="222"/>
      <c r="H819" s="222"/>
      <c r="I819" s="222"/>
      <c r="J819" s="6"/>
      <c r="K819" s="6"/>
      <c r="L819" s="6"/>
      <c r="M819" s="6"/>
      <c r="N819" s="6"/>
      <c r="O819" s="6"/>
      <c r="P819" s="6"/>
      <c r="Q819" s="6"/>
      <c r="R819" s="6"/>
      <c r="S819" s="6"/>
      <c r="T819" s="6"/>
      <c r="U819" s="6"/>
    </row>
    <row r="820" spans="1:21">
      <c r="A820" s="82"/>
      <c r="B820" s="83"/>
      <c r="C820" s="82"/>
      <c r="D820" s="82"/>
      <c r="E820" s="82"/>
      <c r="F820" s="82"/>
      <c r="G820" s="222"/>
      <c r="H820" s="222"/>
      <c r="I820" s="222"/>
      <c r="J820" s="6"/>
      <c r="K820" s="6"/>
      <c r="L820" s="6"/>
      <c r="M820" s="6"/>
      <c r="N820" s="6"/>
      <c r="O820" s="6"/>
      <c r="P820" s="6"/>
      <c r="Q820" s="6"/>
      <c r="R820" s="6"/>
      <c r="S820" s="6"/>
      <c r="T820" s="6"/>
      <c r="U820" s="6"/>
    </row>
    <row r="821" spans="1:21">
      <c r="A821" s="82"/>
      <c r="B821" s="83"/>
      <c r="C821" s="82"/>
      <c r="D821" s="82"/>
      <c r="E821" s="82"/>
      <c r="F821" s="82"/>
      <c r="G821" s="222"/>
      <c r="H821" s="222"/>
      <c r="I821" s="222"/>
      <c r="J821" s="6"/>
      <c r="K821" s="6"/>
      <c r="L821" s="6"/>
      <c r="M821" s="6"/>
      <c r="N821" s="6"/>
      <c r="O821" s="6"/>
      <c r="P821" s="6"/>
      <c r="Q821" s="6"/>
      <c r="R821" s="6"/>
      <c r="S821" s="6"/>
      <c r="T821" s="6"/>
      <c r="U821" s="6"/>
    </row>
    <row r="822" spans="1:21">
      <c r="A822" s="82"/>
      <c r="B822" s="83"/>
      <c r="C822" s="82"/>
      <c r="D822" s="82"/>
      <c r="E822" s="82"/>
      <c r="F822" s="82"/>
      <c r="G822" s="222"/>
      <c r="H822" s="222"/>
      <c r="I822" s="222"/>
      <c r="J822" s="6"/>
      <c r="K822" s="6"/>
      <c r="L822" s="6"/>
      <c r="M822" s="6"/>
      <c r="N822" s="6"/>
      <c r="O822" s="6"/>
      <c r="P822" s="6"/>
      <c r="Q822" s="6"/>
      <c r="R822" s="6"/>
      <c r="S822" s="6"/>
      <c r="T822" s="6"/>
      <c r="U822" s="6"/>
    </row>
    <row r="823" spans="1:21">
      <c r="A823" s="82"/>
      <c r="B823" s="83"/>
      <c r="C823" s="82"/>
      <c r="D823" s="82"/>
      <c r="E823" s="82"/>
      <c r="F823" s="82"/>
      <c r="G823" s="222"/>
      <c r="H823" s="222"/>
      <c r="I823" s="222"/>
      <c r="J823" s="6"/>
      <c r="K823" s="6"/>
      <c r="L823" s="6"/>
      <c r="M823" s="6"/>
      <c r="N823" s="6"/>
      <c r="O823" s="6"/>
      <c r="P823" s="6"/>
      <c r="Q823" s="6"/>
      <c r="R823" s="6"/>
      <c r="S823" s="6"/>
      <c r="T823" s="6"/>
      <c r="U823" s="6"/>
    </row>
    <row r="824" spans="1:21">
      <c r="A824" s="82"/>
      <c r="B824" s="83"/>
      <c r="C824" s="82"/>
      <c r="D824" s="82"/>
      <c r="E824" s="82"/>
      <c r="F824" s="82"/>
      <c r="G824" s="222"/>
      <c r="H824" s="222"/>
      <c r="I824" s="222"/>
      <c r="J824" s="6"/>
      <c r="K824" s="6"/>
      <c r="L824" s="6"/>
      <c r="M824" s="6"/>
      <c r="N824" s="6"/>
      <c r="O824" s="6"/>
      <c r="P824" s="6"/>
      <c r="Q824" s="6"/>
      <c r="R824" s="6"/>
      <c r="S824" s="6"/>
      <c r="T824" s="6"/>
      <c r="U824" s="6"/>
    </row>
    <row r="825" spans="1:21">
      <c r="A825" s="82"/>
      <c r="B825" s="83"/>
      <c r="C825" s="82"/>
      <c r="D825" s="82"/>
      <c r="E825" s="82"/>
      <c r="F825" s="82"/>
      <c r="G825" s="222"/>
      <c r="H825" s="222"/>
      <c r="I825" s="222"/>
      <c r="J825" s="6"/>
      <c r="K825" s="6"/>
      <c r="L825" s="6"/>
      <c r="M825" s="6"/>
      <c r="N825" s="6"/>
      <c r="O825" s="6"/>
      <c r="P825" s="6"/>
      <c r="Q825" s="6"/>
      <c r="R825" s="6"/>
      <c r="S825" s="6"/>
      <c r="T825" s="6"/>
      <c r="U825" s="6"/>
    </row>
    <row r="826" spans="1:21">
      <c r="A826" s="82"/>
      <c r="B826" s="83"/>
      <c r="C826" s="82"/>
      <c r="D826" s="82"/>
      <c r="E826" s="82"/>
      <c r="F826" s="82"/>
      <c r="G826" s="222"/>
      <c r="H826" s="222"/>
      <c r="I826" s="222"/>
      <c r="J826" s="6"/>
      <c r="K826" s="6"/>
      <c r="L826" s="6"/>
      <c r="M826" s="6"/>
      <c r="N826" s="6"/>
      <c r="O826" s="6"/>
      <c r="P826" s="6"/>
      <c r="Q826" s="6"/>
      <c r="R826" s="6"/>
      <c r="S826" s="6"/>
      <c r="T826" s="6"/>
      <c r="U826" s="6"/>
    </row>
    <row r="827" spans="1:21">
      <c r="A827" s="82"/>
      <c r="B827" s="83"/>
      <c r="C827" s="82"/>
      <c r="D827" s="82"/>
      <c r="E827" s="82"/>
      <c r="F827" s="82"/>
      <c r="G827" s="222"/>
      <c r="H827" s="222"/>
      <c r="I827" s="222"/>
      <c r="J827" s="6"/>
      <c r="K827" s="6"/>
      <c r="L827" s="6"/>
      <c r="M827" s="6"/>
      <c r="N827" s="6"/>
      <c r="O827" s="6"/>
      <c r="P827" s="6"/>
      <c r="Q827" s="6"/>
      <c r="R827" s="6"/>
      <c r="S827" s="6"/>
      <c r="T827" s="6"/>
      <c r="U827" s="6"/>
    </row>
    <row r="828" spans="1:21">
      <c r="A828" s="82"/>
      <c r="B828" s="83"/>
      <c r="C828" s="82"/>
      <c r="D828" s="82"/>
      <c r="E828" s="82"/>
      <c r="F828" s="82"/>
      <c r="G828" s="222"/>
      <c r="H828" s="222"/>
      <c r="I828" s="222"/>
      <c r="J828" s="6"/>
      <c r="K828" s="6"/>
      <c r="L828" s="6"/>
      <c r="M828" s="6"/>
      <c r="N828" s="6"/>
      <c r="O828" s="6"/>
      <c r="P828" s="6"/>
      <c r="Q828" s="6"/>
      <c r="R828" s="6"/>
      <c r="S828" s="6"/>
      <c r="T828" s="6"/>
      <c r="U828" s="6"/>
    </row>
    <row r="829" spans="1:21">
      <c r="A829" s="82"/>
      <c r="B829" s="83"/>
      <c r="C829" s="82"/>
      <c r="D829" s="82"/>
      <c r="E829" s="82"/>
      <c r="F829" s="82"/>
      <c r="G829" s="222"/>
      <c r="H829" s="222"/>
      <c r="I829" s="222"/>
      <c r="J829" s="6"/>
      <c r="K829" s="6"/>
      <c r="L829" s="6"/>
      <c r="M829" s="6"/>
      <c r="N829" s="6"/>
      <c r="O829" s="6"/>
      <c r="P829" s="6"/>
      <c r="Q829" s="6"/>
      <c r="R829" s="6"/>
      <c r="S829" s="6"/>
      <c r="T829" s="6"/>
      <c r="U829" s="6"/>
    </row>
    <row r="830" spans="1:21">
      <c r="A830" s="82"/>
      <c r="B830" s="83"/>
      <c r="C830" s="82"/>
      <c r="D830" s="82"/>
      <c r="E830" s="82"/>
      <c r="F830" s="82"/>
      <c r="G830" s="222"/>
      <c r="H830" s="222"/>
      <c r="I830" s="222"/>
      <c r="J830" s="6"/>
      <c r="K830" s="6"/>
      <c r="L830" s="6"/>
      <c r="M830" s="6"/>
      <c r="N830" s="6"/>
      <c r="O830" s="6"/>
      <c r="P830" s="6"/>
      <c r="Q830" s="6"/>
      <c r="R830" s="6"/>
      <c r="S830" s="6"/>
      <c r="T830" s="6"/>
      <c r="U830" s="6"/>
    </row>
    <row r="831" spans="1:21">
      <c r="A831" s="82"/>
      <c r="B831" s="83"/>
      <c r="C831" s="82"/>
      <c r="D831" s="82"/>
      <c r="E831" s="82"/>
      <c r="F831" s="82"/>
      <c r="G831" s="222"/>
      <c r="H831" s="222"/>
      <c r="I831" s="222"/>
      <c r="J831" s="6"/>
      <c r="K831" s="6"/>
      <c r="L831" s="6"/>
      <c r="M831" s="6"/>
      <c r="N831" s="6"/>
      <c r="O831" s="6"/>
      <c r="P831" s="6"/>
      <c r="Q831" s="6"/>
      <c r="R831" s="6"/>
      <c r="S831" s="6"/>
      <c r="T831" s="6"/>
      <c r="U831" s="6"/>
    </row>
    <row r="832" spans="1:21">
      <c r="A832" s="82"/>
      <c r="B832" s="83"/>
      <c r="C832" s="82"/>
      <c r="D832" s="82"/>
      <c r="E832" s="82"/>
      <c r="F832" s="82"/>
      <c r="G832" s="222"/>
      <c r="H832" s="222"/>
      <c r="I832" s="222"/>
      <c r="J832" s="6"/>
      <c r="K832" s="6"/>
      <c r="L832" s="6"/>
      <c r="M832" s="6"/>
      <c r="N832" s="6"/>
      <c r="O832" s="6"/>
      <c r="P832" s="6"/>
      <c r="Q832" s="6"/>
      <c r="R832" s="6"/>
      <c r="S832" s="6"/>
      <c r="T832" s="6"/>
      <c r="U832" s="6"/>
    </row>
    <row r="833" spans="1:21">
      <c r="A833" s="82"/>
      <c r="B833" s="83"/>
      <c r="C833" s="82"/>
      <c r="D833" s="82"/>
      <c r="E833" s="82"/>
      <c r="F833" s="82"/>
      <c r="G833" s="222"/>
      <c r="H833" s="222"/>
      <c r="I833" s="222"/>
      <c r="J833" s="6"/>
      <c r="K833" s="6"/>
      <c r="L833" s="6"/>
      <c r="M833" s="6"/>
      <c r="N833" s="6"/>
      <c r="O833" s="6"/>
      <c r="P833" s="6"/>
      <c r="Q833" s="6"/>
      <c r="R833" s="6"/>
      <c r="S833" s="6"/>
      <c r="T833" s="6"/>
      <c r="U833" s="6"/>
    </row>
    <row r="834" spans="1:21">
      <c r="A834" s="82"/>
      <c r="B834" s="83"/>
      <c r="C834" s="82"/>
      <c r="D834" s="82"/>
      <c r="E834" s="82"/>
      <c r="F834" s="82"/>
      <c r="G834" s="222"/>
      <c r="H834" s="222"/>
      <c r="I834" s="222"/>
      <c r="J834" s="6"/>
      <c r="K834" s="6"/>
      <c r="L834" s="6"/>
      <c r="M834" s="6"/>
      <c r="N834" s="6"/>
      <c r="O834" s="6"/>
      <c r="P834" s="6"/>
      <c r="Q834" s="6"/>
      <c r="R834" s="6"/>
      <c r="S834" s="6"/>
      <c r="T834" s="6"/>
      <c r="U834" s="6"/>
    </row>
    <row r="835" spans="1:21">
      <c r="A835" s="82"/>
      <c r="B835" s="83"/>
      <c r="C835" s="82"/>
      <c r="D835" s="82"/>
      <c r="E835" s="82"/>
      <c r="F835" s="82"/>
      <c r="G835" s="222"/>
      <c r="H835" s="222"/>
      <c r="I835" s="222"/>
      <c r="J835" s="6"/>
      <c r="K835" s="6"/>
      <c r="L835" s="6"/>
      <c r="M835" s="6"/>
      <c r="N835" s="6"/>
      <c r="O835" s="6"/>
      <c r="P835" s="6"/>
      <c r="Q835" s="6"/>
      <c r="R835" s="6"/>
      <c r="S835" s="6"/>
      <c r="T835" s="6"/>
      <c r="U835" s="6"/>
    </row>
    <row r="836" spans="1:21">
      <c r="A836" s="82"/>
      <c r="B836" s="83"/>
      <c r="C836" s="82"/>
      <c r="D836" s="82"/>
      <c r="E836" s="82"/>
      <c r="F836" s="82"/>
      <c r="G836" s="222"/>
      <c r="H836" s="222"/>
      <c r="I836" s="222"/>
      <c r="J836" s="6"/>
      <c r="K836" s="6"/>
      <c r="L836" s="6"/>
      <c r="M836" s="6"/>
      <c r="N836" s="6"/>
      <c r="O836" s="6"/>
      <c r="P836" s="6"/>
      <c r="Q836" s="6"/>
      <c r="R836" s="6"/>
      <c r="S836" s="6"/>
      <c r="T836" s="6"/>
      <c r="U836" s="6"/>
    </row>
    <row r="837" spans="1:21">
      <c r="A837" s="82"/>
      <c r="B837" s="83"/>
      <c r="C837" s="82"/>
      <c r="D837" s="82"/>
      <c r="E837" s="82"/>
      <c r="F837" s="82"/>
      <c r="G837" s="222"/>
      <c r="H837" s="222"/>
      <c r="I837" s="222"/>
      <c r="J837" s="6"/>
      <c r="K837" s="6"/>
      <c r="L837" s="6"/>
      <c r="M837" s="6"/>
      <c r="N837" s="6"/>
      <c r="O837" s="6"/>
      <c r="P837" s="6"/>
      <c r="Q837" s="6"/>
      <c r="R837" s="6"/>
      <c r="S837" s="6"/>
      <c r="T837" s="6"/>
      <c r="U837" s="6"/>
    </row>
    <row r="838" spans="1:21">
      <c r="A838" s="82"/>
      <c r="B838" s="83"/>
      <c r="C838" s="82"/>
      <c r="D838" s="82"/>
      <c r="E838" s="82"/>
      <c r="F838" s="82"/>
      <c r="G838" s="222"/>
      <c r="H838" s="222"/>
      <c r="I838" s="222"/>
      <c r="J838" s="6"/>
      <c r="K838" s="6"/>
      <c r="L838" s="6"/>
      <c r="M838" s="6"/>
      <c r="N838" s="6"/>
      <c r="O838" s="6"/>
      <c r="P838" s="6"/>
      <c r="Q838" s="6"/>
      <c r="R838" s="6"/>
      <c r="S838" s="6"/>
      <c r="T838" s="6"/>
      <c r="U838" s="6"/>
    </row>
    <row r="839" spans="1:21">
      <c r="A839" s="82"/>
      <c r="B839" s="83"/>
      <c r="C839" s="82"/>
      <c r="D839" s="82"/>
      <c r="E839" s="82"/>
      <c r="F839" s="82"/>
      <c r="G839" s="222"/>
      <c r="H839" s="222"/>
      <c r="I839" s="222"/>
      <c r="J839" s="6"/>
      <c r="K839" s="6"/>
      <c r="L839" s="6"/>
      <c r="M839" s="6"/>
      <c r="N839" s="6"/>
      <c r="O839" s="6"/>
      <c r="P839" s="6"/>
      <c r="Q839" s="6"/>
      <c r="R839" s="6"/>
      <c r="S839" s="6"/>
      <c r="T839" s="6"/>
      <c r="U839" s="6"/>
    </row>
    <row r="840" spans="1:21">
      <c r="A840" s="82"/>
      <c r="B840" s="83"/>
      <c r="C840" s="82"/>
      <c r="D840" s="82"/>
      <c r="E840" s="82"/>
      <c r="F840" s="82"/>
      <c r="G840" s="222"/>
      <c r="H840" s="222"/>
      <c r="I840" s="222"/>
      <c r="J840" s="6"/>
      <c r="K840" s="6"/>
      <c r="L840" s="6"/>
      <c r="M840" s="6"/>
      <c r="N840" s="6"/>
      <c r="O840" s="6"/>
      <c r="P840" s="6"/>
      <c r="Q840" s="6"/>
      <c r="R840" s="6"/>
      <c r="S840" s="6"/>
      <c r="T840" s="6"/>
      <c r="U840" s="6"/>
    </row>
    <row r="841" spans="1:21">
      <c r="A841" s="82"/>
      <c r="B841" s="83"/>
      <c r="C841" s="82"/>
      <c r="D841" s="82"/>
      <c r="E841" s="82"/>
      <c r="F841" s="82"/>
      <c r="G841" s="222"/>
      <c r="H841" s="222"/>
      <c r="I841" s="222"/>
      <c r="J841" s="6"/>
      <c r="K841" s="6"/>
      <c r="L841" s="6"/>
      <c r="M841" s="6"/>
      <c r="N841" s="6"/>
      <c r="O841" s="6"/>
      <c r="P841" s="6"/>
      <c r="Q841" s="6"/>
      <c r="R841" s="6"/>
      <c r="S841" s="6"/>
      <c r="T841" s="6"/>
      <c r="U841" s="6"/>
    </row>
    <row r="842" spans="1:21">
      <c r="A842" s="82"/>
      <c r="B842" s="83"/>
      <c r="C842" s="82"/>
      <c r="D842" s="82"/>
      <c r="E842" s="82"/>
      <c r="F842" s="82"/>
      <c r="G842" s="222"/>
      <c r="H842" s="222"/>
      <c r="I842" s="222"/>
      <c r="J842" s="6"/>
      <c r="K842" s="6"/>
      <c r="L842" s="6"/>
      <c r="M842" s="6"/>
      <c r="N842" s="6"/>
      <c r="O842" s="6"/>
      <c r="P842" s="6"/>
      <c r="Q842" s="6"/>
      <c r="R842" s="6"/>
      <c r="S842" s="6"/>
      <c r="T842" s="6"/>
      <c r="U842" s="6"/>
    </row>
    <row r="843" spans="1:21">
      <c r="A843" s="82"/>
      <c r="B843" s="83"/>
      <c r="C843" s="82"/>
      <c r="D843" s="82"/>
      <c r="E843" s="82"/>
      <c r="F843" s="82"/>
      <c r="G843" s="222"/>
      <c r="H843" s="222"/>
      <c r="I843" s="222"/>
      <c r="J843" s="6"/>
      <c r="K843" s="6"/>
      <c r="L843" s="6"/>
      <c r="M843" s="6"/>
      <c r="N843" s="6"/>
      <c r="O843" s="6"/>
      <c r="P843" s="6"/>
      <c r="Q843" s="6"/>
      <c r="R843" s="6"/>
      <c r="S843" s="6"/>
      <c r="T843" s="6"/>
      <c r="U843" s="6"/>
    </row>
    <row r="844" spans="1:21">
      <c r="A844" s="82"/>
      <c r="B844" s="83"/>
      <c r="C844" s="82"/>
      <c r="D844" s="82"/>
      <c r="E844" s="82"/>
      <c r="F844" s="82"/>
      <c r="G844" s="222"/>
      <c r="H844" s="222"/>
      <c r="I844" s="222"/>
      <c r="J844" s="6"/>
      <c r="K844" s="6"/>
      <c r="L844" s="6"/>
      <c r="M844" s="6"/>
      <c r="N844" s="6"/>
      <c r="O844" s="6"/>
      <c r="P844" s="6"/>
      <c r="Q844" s="6"/>
      <c r="R844" s="6"/>
      <c r="S844" s="6"/>
      <c r="T844" s="6"/>
      <c r="U844" s="6"/>
    </row>
    <row r="845" spans="1:21">
      <c r="A845" s="82"/>
      <c r="B845" s="83"/>
      <c r="C845" s="82"/>
      <c r="D845" s="82"/>
      <c r="E845" s="82"/>
      <c r="F845" s="82"/>
      <c r="G845" s="222"/>
      <c r="H845" s="222"/>
      <c r="I845" s="222"/>
      <c r="J845" s="6"/>
      <c r="K845" s="6"/>
      <c r="L845" s="6"/>
      <c r="M845" s="6"/>
      <c r="N845" s="6"/>
      <c r="O845" s="6"/>
      <c r="P845" s="6"/>
      <c r="Q845" s="6"/>
      <c r="R845" s="6"/>
      <c r="S845" s="6"/>
      <c r="T845" s="6"/>
      <c r="U845" s="6"/>
    </row>
    <row r="846" spans="1:21">
      <c r="A846" s="82"/>
      <c r="B846" s="83"/>
      <c r="C846" s="82"/>
      <c r="D846" s="82"/>
      <c r="E846" s="82"/>
      <c r="F846" s="82"/>
      <c r="G846" s="222"/>
      <c r="H846" s="222"/>
      <c r="I846" s="222"/>
      <c r="J846" s="6"/>
      <c r="K846" s="6"/>
      <c r="L846" s="6"/>
      <c r="M846" s="6"/>
      <c r="N846" s="6"/>
      <c r="O846" s="6"/>
      <c r="P846" s="6"/>
      <c r="Q846" s="6"/>
      <c r="R846" s="6"/>
      <c r="S846" s="6"/>
      <c r="T846" s="6"/>
      <c r="U846" s="6"/>
    </row>
    <row r="847" spans="1:21">
      <c r="A847" s="82"/>
      <c r="B847" s="83"/>
      <c r="C847" s="82"/>
      <c r="D847" s="82"/>
      <c r="E847" s="82"/>
      <c r="F847" s="82"/>
      <c r="G847" s="222"/>
      <c r="H847" s="222"/>
      <c r="I847" s="222"/>
      <c r="J847" s="6"/>
      <c r="K847" s="6"/>
      <c r="L847" s="6"/>
      <c r="M847" s="6"/>
      <c r="N847" s="6"/>
      <c r="O847" s="6"/>
      <c r="P847" s="6"/>
      <c r="Q847" s="6"/>
      <c r="R847" s="6"/>
      <c r="S847" s="6"/>
      <c r="T847" s="6"/>
      <c r="U847" s="6"/>
    </row>
    <row r="848" spans="1:21">
      <c r="A848" s="82"/>
      <c r="B848" s="83"/>
      <c r="C848" s="82"/>
      <c r="D848" s="82"/>
      <c r="E848" s="82"/>
      <c r="F848" s="82"/>
      <c r="G848" s="222"/>
      <c r="H848" s="222"/>
      <c r="I848" s="222"/>
      <c r="J848" s="6"/>
      <c r="K848" s="6"/>
      <c r="L848" s="6"/>
      <c r="M848" s="6"/>
      <c r="N848" s="6"/>
      <c r="O848" s="6"/>
      <c r="P848" s="6"/>
      <c r="Q848" s="6"/>
      <c r="R848" s="6"/>
      <c r="S848" s="6"/>
      <c r="T848" s="6"/>
      <c r="U848" s="6"/>
    </row>
    <row r="849" spans="1:21">
      <c r="A849" s="82"/>
      <c r="B849" s="83"/>
      <c r="C849" s="82"/>
      <c r="D849" s="82"/>
      <c r="E849" s="82"/>
      <c r="F849" s="82"/>
      <c r="G849" s="222"/>
      <c r="H849" s="222"/>
      <c r="I849" s="222"/>
      <c r="J849" s="6"/>
      <c r="K849" s="6"/>
      <c r="L849" s="6"/>
      <c r="M849" s="6"/>
      <c r="N849" s="6"/>
      <c r="O849" s="6"/>
      <c r="P849" s="6"/>
      <c r="Q849" s="6"/>
      <c r="R849" s="6"/>
      <c r="S849" s="6"/>
      <c r="T849" s="6"/>
      <c r="U849" s="6"/>
    </row>
    <row r="850" spans="1:21">
      <c r="A850" s="82"/>
      <c r="B850" s="83"/>
      <c r="C850" s="82"/>
      <c r="D850" s="82"/>
      <c r="E850" s="82"/>
      <c r="F850" s="82"/>
      <c r="G850" s="222"/>
      <c r="H850" s="222"/>
      <c r="I850" s="222"/>
      <c r="J850" s="6"/>
      <c r="K850" s="6"/>
      <c r="L850" s="6"/>
      <c r="M850" s="6"/>
      <c r="N850" s="6"/>
      <c r="O850" s="6"/>
      <c r="P850" s="6"/>
      <c r="Q850" s="6"/>
      <c r="R850" s="6"/>
      <c r="S850" s="6"/>
      <c r="T850" s="6"/>
      <c r="U850" s="6"/>
    </row>
    <row r="851" spans="1:21">
      <c r="A851" s="82"/>
      <c r="B851" s="83"/>
      <c r="C851" s="82"/>
      <c r="D851" s="82"/>
      <c r="E851" s="82"/>
      <c r="F851" s="82"/>
      <c r="G851" s="222"/>
      <c r="H851" s="222"/>
      <c r="I851" s="222"/>
      <c r="J851" s="6"/>
      <c r="K851" s="6"/>
      <c r="L851" s="6"/>
      <c r="M851" s="6"/>
      <c r="N851" s="6"/>
      <c r="O851" s="6"/>
      <c r="P851" s="6"/>
      <c r="Q851" s="6"/>
      <c r="R851" s="6"/>
      <c r="S851" s="6"/>
      <c r="T851" s="6"/>
      <c r="U851" s="6"/>
    </row>
    <row r="852" spans="1:21">
      <c r="A852" s="82"/>
      <c r="B852" s="83"/>
      <c r="C852" s="82"/>
      <c r="D852" s="82"/>
      <c r="E852" s="82"/>
      <c r="F852" s="82"/>
      <c r="G852" s="222"/>
      <c r="H852" s="222"/>
      <c r="I852" s="222"/>
      <c r="J852" s="6"/>
      <c r="K852" s="6"/>
      <c r="L852" s="6"/>
      <c r="M852" s="6"/>
      <c r="N852" s="6"/>
      <c r="O852" s="6"/>
      <c r="P852" s="6"/>
      <c r="Q852" s="6"/>
      <c r="R852" s="6"/>
      <c r="S852" s="6"/>
      <c r="T852" s="6"/>
      <c r="U852" s="6"/>
    </row>
    <row r="853" spans="1:21">
      <c r="A853" s="82"/>
      <c r="B853" s="83"/>
      <c r="C853" s="82"/>
      <c r="D853" s="82"/>
      <c r="E853" s="82"/>
      <c r="F853" s="82"/>
      <c r="G853" s="222"/>
      <c r="H853" s="222"/>
      <c r="I853" s="222"/>
      <c r="J853" s="6"/>
      <c r="K853" s="6"/>
      <c r="L853" s="6"/>
      <c r="M853" s="6"/>
      <c r="N853" s="6"/>
      <c r="O853" s="6"/>
      <c r="P853" s="6"/>
      <c r="Q853" s="6"/>
      <c r="R853" s="6"/>
      <c r="S853" s="6"/>
      <c r="T853" s="6"/>
      <c r="U853" s="6"/>
    </row>
    <row r="854" spans="1:21">
      <c r="A854" s="82"/>
      <c r="B854" s="83"/>
      <c r="C854" s="82"/>
      <c r="D854" s="82"/>
      <c r="E854" s="82"/>
      <c r="F854" s="82"/>
      <c r="G854" s="222"/>
      <c r="H854" s="222"/>
      <c r="I854" s="222"/>
      <c r="J854" s="6"/>
      <c r="K854" s="6"/>
      <c r="L854" s="6"/>
      <c r="M854" s="6"/>
      <c r="N854" s="6"/>
      <c r="O854" s="6"/>
      <c r="P854" s="6"/>
      <c r="Q854" s="6"/>
      <c r="R854" s="6"/>
      <c r="S854" s="6"/>
      <c r="T854" s="6"/>
      <c r="U854" s="6"/>
    </row>
    <row r="855" spans="1:21">
      <c r="A855" s="82"/>
      <c r="B855" s="83"/>
      <c r="C855" s="82"/>
      <c r="D855" s="82"/>
      <c r="E855" s="82"/>
      <c r="F855" s="82"/>
      <c r="G855" s="222"/>
      <c r="H855" s="222"/>
      <c r="I855" s="222"/>
      <c r="J855" s="6"/>
      <c r="K855" s="6"/>
      <c r="L855" s="6"/>
      <c r="M855" s="6"/>
      <c r="N855" s="6"/>
      <c r="O855" s="6"/>
      <c r="P855" s="6"/>
      <c r="Q855" s="6"/>
      <c r="R855" s="6"/>
      <c r="S855" s="6"/>
      <c r="T855" s="6"/>
      <c r="U855" s="6"/>
    </row>
    <row r="856" spans="1:21">
      <c r="A856" s="82"/>
      <c r="B856" s="83"/>
      <c r="C856" s="82"/>
      <c r="D856" s="82"/>
      <c r="E856" s="82"/>
      <c r="F856" s="82"/>
      <c r="G856" s="222"/>
      <c r="H856" s="222"/>
      <c r="I856" s="222"/>
      <c r="J856" s="6"/>
      <c r="K856" s="6"/>
      <c r="L856" s="6"/>
      <c r="M856" s="6"/>
      <c r="N856" s="6"/>
      <c r="O856" s="6"/>
      <c r="P856" s="6"/>
      <c r="Q856" s="6"/>
      <c r="R856" s="6"/>
      <c r="S856" s="6"/>
      <c r="T856" s="6"/>
      <c r="U856" s="6"/>
    </row>
    <row r="857" spans="1:21">
      <c r="A857" s="82"/>
      <c r="B857" s="83"/>
      <c r="C857" s="82"/>
      <c r="D857" s="82"/>
      <c r="E857" s="82"/>
      <c r="F857" s="82"/>
      <c r="G857" s="222"/>
      <c r="H857" s="222"/>
      <c r="I857" s="222"/>
      <c r="J857" s="6"/>
      <c r="K857" s="6"/>
      <c r="L857" s="6"/>
      <c r="M857" s="6"/>
      <c r="N857" s="6"/>
      <c r="O857" s="6"/>
      <c r="P857" s="6"/>
      <c r="Q857" s="6"/>
      <c r="R857" s="6"/>
      <c r="S857" s="6"/>
      <c r="T857" s="6"/>
      <c r="U857" s="6"/>
    </row>
    <row r="858" spans="1:21">
      <c r="A858" s="82"/>
      <c r="B858" s="83"/>
      <c r="C858" s="82"/>
      <c r="D858" s="82"/>
      <c r="E858" s="82"/>
      <c r="F858" s="82"/>
      <c r="G858" s="222"/>
      <c r="H858" s="222"/>
      <c r="I858" s="222"/>
      <c r="J858" s="6"/>
      <c r="K858" s="6"/>
      <c r="L858" s="6"/>
      <c r="M858" s="6"/>
      <c r="N858" s="6"/>
      <c r="O858" s="6"/>
      <c r="P858" s="6"/>
      <c r="Q858" s="6"/>
      <c r="R858" s="6"/>
      <c r="S858" s="6"/>
      <c r="T858" s="6"/>
      <c r="U858" s="6"/>
    </row>
    <row r="859" spans="1:21">
      <c r="A859" s="82"/>
      <c r="B859" s="83"/>
      <c r="C859" s="82"/>
      <c r="D859" s="82"/>
      <c r="E859" s="82"/>
      <c r="F859" s="82"/>
      <c r="G859" s="222"/>
      <c r="H859" s="222"/>
      <c r="I859" s="222"/>
      <c r="J859" s="6"/>
      <c r="K859" s="6"/>
      <c r="L859" s="6"/>
      <c r="M859" s="6"/>
      <c r="N859" s="6"/>
      <c r="O859" s="6"/>
      <c r="P859" s="6"/>
      <c r="Q859" s="6"/>
      <c r="R859" s="6"/>
      <c r="S859" s="6"/>
      <c r="T859" s="6"/>
      <c r="U859" s="6"/>
    </row>
    <row r="860" spans="1:21">
      <c r="A860" s="82"/>
      <c r="B860" s="83"/>
      <c r="C860" s="82"/>
      <c r="D860" s="82"/>
      <c r="E860" s="82"/>
      <c r="F860" s="82"/>
      <c r="G860" s="222"/>
      <c r="H860" s="222"/>
      <c r="I860" s="222"/>
      <c r="J860" s="6"/>
      <c r="K860" s="6"/>
      <c r="L860" s="6"/>
      <c r="M860" s="6"/>
      <c r="N860" s="6"/>
      <c r="O860" s="6"/>
      <c r="P860" s="6"/>
      <c r="Q860" s="6"/>
      <c r="R860" s="6"/>
      <c r="S860" s="6"/>
      <c r="T860" s="6"/>
      <c r="U860" s="6"/>
    </row>
    <row r="861" spans="1:21">
      <c r="A861" s="82"/>
      <c r="B861" s="83"/>
      <c r="C861" s="82"/>
      <c r="D861" s="82"/>
      <c r="E861" s="82"/>
      <c r="F861" s="82"/>
      <c r="G861" s="222"/>
      <c r="H861" s="222"/>
      <c r="I861" s="222"/>
      <c r="J861" s="6"/>
      <c r="K861" s="6"/>
      <c r="L861" s="6"/>
      <c r="M861" s="6"/>
      <c r="N861" s="6"/>
      <c r="O861" s="6"/>
      <c r="P861" s="6"/>
      <c r="Q861" s="6"/>
      <c r="R861" s="6"/>
      <c r="S861" s="6"/>
      <c r="T861" s="6"/>
      <c r="U861" s="6"/>
    </row>
    <row r="862" spans="1:21">
      <c r="A862" s="82"/>
      <c r="B862" s="83"/>
      <c r="C862" s="82"/>
      <c r="D862" s="82"/>
      <c r="E862" s="82"/>
      <c r="F862" s="82"/>
      <c r="G862" s="222"/>
      <c r="H862" s="222"/>
      <c r="I862" s="222"/>
      <c r="J862" s="6"/>
      <c r="K862" s="6"/>
      <c r="L862" s="6"/>
      <c r="M862" s="6"/>
      <c r="N862" s="6"/>
      <c r="O862" s="6"/>
      <c r="P862" s="6"/>
      <c r="Q862" s="6"/>
      <c r="R862" s="6"/>
      <c r="S862" s="6"/>
      <c r="T862" s="6"/>
      <c r="U862" s="6"/>
    </row>
    <row r="863" spans="1:21">
      <c r="A863" s="82"/>
      <c r="B863" s="83"/>
      <c r="C863" s="82"/>
      <c r="D863" s="82"/>
      <c r="E863" s="82"/>
      <c r="F863" s="82"/>
      <c r="G863" s="222"/>
      <c r="H863" s="222"/>
      <c r="I863" s="222"/>
      <c r="J863" s="6"/>
      <c r="K863" s="6"/>
      <c r="L863" s="6"/>
      <c r="M863" s="6"/>
      <c r="N863" s="6"/>
      <c r="O863" s="6"/>
      <c r="P863" s="6"/>
      <c r="Q863" s="6"/>
      <c r="R863" s="6"/>
      <c r="S863" s="6"/>
      <c r="T863" s="6"/>
      <c r="U863" s="6"/>
    </row>
    <row r="864" spans="1:21">
      <c r="A864" s="82"/>
      <c r="B864" s="83"/>
      <c r="C864" s="82"/>
      <c r="D864" s="82"/>
      <c r="E864" s="82"/>
      <c r="F864" s="82"/>
      <c r="G864" s="222"/>
      <c r="H864" s="222"/>
      <c r="I864" s="222"/>
      <c r="J864" s="6"/>
      <c r="K864" s="6"/>
      <c r="L864" s="6"/>
      <c r="M864" s="6"/>
      <c r="N864" s="6"/>
      <c r="O864" s="6"/>
      <c r="P864" s="6"/>
      <c r="Q864" s="6"/>
      <c r="R864" s="6"/>
      <c r="S864" s="6"/>
      <c r="T864" s="6"/>
      <c r="U864" s="6"/>
    </row>
    <row r="865" spans="1:21">
      <c r="A865" s="82"/>
      <c r="B865" s="83"/>
      <c r="C865" s="82"/>
      <c r="D865" s="82"/>
      <c r="E865" s="82"/>
      <c r="F865" s="82"/>
      <c r="G865" s="222"/>
      <c r="H865" s="222"/>
      <c r="I865" s="222"/>
      <c r="J865" s="6"/>
      <c r="K865" s="6"/>
      <c r="L865" s="6"/>
      <c r="M865" s="6"/>
      <c r="N865" s="6"/>
      <c r="O865" s="6"/>
      <c r="P865" s="6"/>
      <c r="Q865" s="6"/>
      <c r="R865" s="6"/>
      <c r="S865" s="6"/>
      <c r="T865" s="6"/>
      <c r="U865" s="6"/>
    </row>
    <row r="866" spans="1:21">
      <c r="A866" s="82"/>
      <c r="B866" s="83"/>
      <c r="C866" s="82"/>
      <c r="D866" s="82"/>
      <c r="E866" s="82"/>
      <c r="F866" s="82"/>
      <c r="G866" s="222"/>
      <c r="H866" s="222"/>
      <c r="I866" s="222"/>
      <c r="J866" s="6"/>
      <c r="K866" s="6"/>
      <c r="L866" s="6"/>
      <c r="M866" s="6"/>
      <c r="N866" s="6"/>
      <c r="O866" s="6"/>
      <c r="P866" s="6"/>
      <c r="Q866" s="6"/>
      <c r="R866" s="6"/>
      <c r="S866" s="6"/>
      <c r="T866" s="6"/>
      <c r="U866" s="6"/>
    </row>
    <row r="867" spans="1:21">
      <c r="A867" s="82"/>
      <c r="B867" s="83"/>
      <c r="C867" s="82"/>
      <c r="D867" s="82"/>
      <c r="E867" s="82"/>
      <c r="F867" s="82"/>
      <c r="G867" s="222"/>
      <c r="H867" s="222"/>
      <c r="I867" s="222"/>
      <c r="J867" s="6"/>
      <c r="K867" s="6"/>
      <c r="L867" s="6"/>
      <c r="M867" s="6"/>
      <c r="N867" s="6"/>
      <c r="O867" s="6"/>
      <c r="P867" s="6"/>
      <c r="Q867" s="6"/>
      <c r="R867" s="6"/>
      <c r="S867" s="6"/>
      <c r="T867" s="6"/>
      <c r="U867" s="6"/>
    </row>
    <row r="868" spans="1:21">
      <c r="A868" s="82"/>
      <c r="B868" s="83"/>
      <c r="C868" s="82"/>
      <c r="D868" s="82"/>
      <c r="E868" s="82"/>
      <c r="F868" s="82"/>
      <c r="G868" s="222"/>
      <c r="H868" s="222"/>
      <c r="I868" s="222"/>
      <c r="J868" s="6"/>
      <c r="K868" s="6"/>
      <c r="L868" s="6"/>
      <c r="M868" s="6"/>
      <c r="N868" s="6"/>
      <c r="O868" s="6"/>
      <c r="P868" s="6"/>
      <c r="Q868" s="6"/>
      <c r="R868" s="6"/>
      <c r="S868" s="6"/>
      <c r="T868" s="6"/>
      <c r="U868" s="6"/>
    </row>
    <row r="869" spans="1:21">
      <c r="A869" s="82"/>
      <c r="B869" s="83"/>
      <c r="C869" s="82"/>
      <c r="D869" s="82"/>
      <c r="E869" s="82"/>
      <c r="F869" s="82"/>
      <c r="G869" s="222"/>
      <c r="H869" s="222"/>
      <c r="I869" s="222"/>
      <c r="J869" s="6"/>
      <c r="K869" s="6"/>
      <c r="L869" s="6"/>
      <c r="M869" s="6"/>
      <c r="N869" s="6"/>
      <c r="O869" s="6"/>
      <c r="P869" s="6"/>
      <c r="Q869" s="6"/>
      <c r="R869" s="6"/>
      <c r="S869" s="6"/>
      <c r="T869" s="6"/>
      <c r="U869" s="6"/>
    </row>
    <row r="870" spans="1:21">
      <c r="A870" s="82"/>
      <c r="B870" s="83"/>
      <c r="C870" s="82"/>
      <c r="D870" s="82"/>
      <c r="E870" s="82"/>
      <c r="F870" s="82"/>
      <c r="G870" s="222"/>
      <c r="H870" s="222"/>
      <c r="I870" s="222"/>
      <c r="J870" s="6"/>
      <c r="K870" s="6"/>
      <c r="L870" s="6"/>
      <c r="M870" s="6"/>
      <c r="N870" s="6"/>
      <c r="O870" s="6"/>
      <c r="P870" s="6"/>
      <c r="Q870" s="6"/>
      <c r="R870" s="6"/>
      <c r="S870" s="6"/>
      <c r="T870" s="6"/>
      <c r="U870" s="6"/>
    </row>
    <row r="871" spans="1:21">
      <c r="A871" s="82"/>
      <c r="B871" s="83"/>
      <c r="C871" s="82"/>
      <c r="D871" s="82"/>
      <c r="E871" s="82"/>
      <c r="F871" s="82"/>
      <c r="G871" s="222"/>
      <c r="H871" s="222"/>
      <c r="I871" s="222"/>
      <c r="J871" s="6"/>
      <c r="K871" s="6"/>
      <c r="L871" s="6"/>
      <c r="M871" s="6"/>
      <c r="N871" s="6"/>
      <c r="O871" s="6"/>
      <c r="P871" s="6"/>
      <c r="Q871" s="6"/>
      <c r="R871" s="6"/>
      <c r="S871" s="6"/>
      <c r="T871" s="6"/>
      <c r="U871" s="6"/>
    </row>
    <row r="872" spans="1:21">
      <c r="A872" s="82"/>
      <c r="B872" s="83"/>
      <c r="C872" s="82"/>
      <c r="D872" s="82"/>
      <c r="E872" s="82"/>
      <c r="F872" s="82"/>
      <c r="G872" s="222"/>
      <c r="H872" s="222"/>
      <c r="I872" s="222"/>
      <c r="J872" s="6"/>
      <c r="K872" s="6"/>
      <c r="L872" s="6"/>
      <c r="M872" s="6"/>
      <c r="N872" s="6"/>
      <c r="O872" s="6"/>
      <c r="P872" s="6"/>
      <c r="Q872" s="6"/>
      <c r="R872" s="6"/>
      <c r="S872" s="6"/>
      <c r="T872" s="6"/>
      <c r="U872" s="6"/>
    </row>
    <row r="873" spans="1:21">
      <c r="A873" s="82"/>
      <c r="B873" s="83"/>
      <c r="C873" s="82"/>
      <c r="D873" s="82"/>
      <c r="E873" s="82"/>
      <c r="F873" s="82"/>
      <c r="G873" s="222"/>
      <c r="H873" s="222"/>
      <c r="I873" s="222"/>
      <c r="J873" s="6"/>
      <c r="K873" s="6"/>
      <c r="L873" s="6"/>
      <c r="M873" s="6"/>
      <c r="N873" s="6"/>
      <c r="O873" s="6"/>
      <c r="P873" s="6"/>
      <c r="Q873" s="6"/>
      <c r="R873" s="6"/>
      <c r="S873" s="6"/>
      <c r="T873" s="6"/>
      <c r="U873" s="6"/>
    </row>
    <row r="874" spans="1:21">
      <c r="A874" s="82"/>
      <c r="B874" s="83"/>
      <c r="C874" s="82"/>
      <c r="D874" s="82"/>
      <c r="E874" s="82"/>
      <c r="F874" s="82"/>
      <c r="G874" s="222"/>
      <c r="H874" s="222"/>
      <c r="I874" s="222"/>
      <c r="J874" s="6"/>
      <c r="K874" s="6"/>
      <c r="L874" s="6"/>
      <c r="M874" s="6"/>
      <c r="N874" s="6"/>
      <c r="O874" s="6"/>
      <c r="P874" s="6"/>
      <c r="Q874" s="6"/>
      <c r="R874" s="6"/>
      <c r="S874" s="6"/>
      <c r="T874" s="6"/>
      <c r="U874" s="6"/>
    </row>
    <row r="875" spans="1:21">
      <c r="A875" s="82"/>
      <c r="B875" s="83"/>
      <c r="C875" s="82"/>
      <c r="D875" s="82"/>
      <c r="E875" s="82"/>
      <c r="F875" s="82"/>
      <c r="G875" s="222"/>
      <c r="H875" s="222"/>
      <c r="I875" s="222"/>
      <c r="J875" s="6"/>
      <c r="K875" s="6"/>
      <c r="L875" s="6"/>
      <c r="M875" s="6"/>
      <c r="N875" s="6"/>
      <c r="O875" s="6"/>
      <c r="P875" s="6"/>
      <c r="Q875" s="6"/>
      <c r="R875" s="6"/>
      <c r="S875" s="6"/>
      <c r="T875" s="6"/>
      <c r="U875" s="6"/>
    </row>
    <row r="876" spans="1:21">
      <c r="A876" s="82"/>
      <c r="B876" s="83"/>
      <c r="C876" s="82"/>
      <c r="D876" s="82"/>
      <c r="E876" s="82"/>
      <c r="F876" s="82"/>
      <c r="G876" s="222"/>
      <c r="H876" s="222"/>
      <c r="I876" s="222"/>
      <c r="J876" s="6"/>
      <c r="K876" s="6"/>
      <c r="L876" s="6"/>
      <c r="M876" s="6"/>
      <c r="N876" s="6"/>
      <c r="O876" s="6"/>
      <c r="P876" s="6"/>
      <c r="Q876" s="6"/>
      <c r="R876" s="6"/>
      <c r="S876" s="6"/>
      <c r="T876" s="6"/>
      <c r="U876" s="6"/>
    </row>
    <row r="877" spans="1:21">
      <c r="A877" s="82"/>
      <c r="B877" s="83"/>
      <c r="C877" s="82"/>
      <c r="D877" s="82"/>
      <c r="E877" s="82"/>
      <c r="F877" s="82"/>
      <c r="G877" s="222"/>
      <c r="H877" s="222"/>
      <c r="I877" s="222"/>
      <c r="J877" s="6"/>
      <c r="K877" s="6"/>
      <c r="L877" s="6"/>
      <c r="M877" s="6"/>
      <c r="N877" s="6"/>
      <c r="O877" s="6"/>
      <c r="P877" s="6"/>
      <c r="Q877" s="6"/>
      <c r="R877" s="6"/>
      <c r="S877" s="6"/>
      <c r="T877" s="6"/>
      <c r="U877" s="6"/>
    </row>
    <row r="878" spans="1:21">
      <c r="A878" s="82"/>
      <c r="B878" s="83"/>
      <c r="C878" s="82"/>
      <c r="D878" s="82"/>
      <c r="E878" s="82"/>
      <c r="F878" s="82"/>
      <c r="G878" s="222"/>
      <c r="H878" s="222"/>
      <c r="I878" s="222"/>
      <c r="J878" s="6"/>
      <c r="K878" s="6"/>
      <c r="L878" s="6"/>
      <c r="M878" s="6"/>
      <c r="N878" s="6"/>
      <c r="O878" s="6"/>
      <c r="P878" s="6"/>
      <c r="Q878" s="6"/>
      <c r="R878" s="6"/>
      <c r="S878" s="6"/>
      <c r="T878" s="6"/>
      <c r="U878" s="6"/>
    </row>
    <row r="879" spans="1:21">
      <c r="A879" s="82"/>
      <c r="B879" s="83"/>
      <c r="C879" s="82"/>
      <c r="D879" s="82"/>
      <c r="E879" s="82"/>
      <c r="F879" s="82"/>
      <c r="G879" s="222"/>
      <c r="H879" s="222"/>
      <c r="I879" s="222"/>
      <c r="J879" s="6"/>
      <c r="K879" s="6"/>
      <c r="L879" s="6"/>
      <c r="M879" s="6"/>
      <c r="N879" s="6"/>
      <c r="O879" s="6"/>
      <c r="P879" s="6"/>
      <c r="Q879" s="6"/>
      <c r="R879" s="6"/>
      <c r="S879" s="6"/>
      <c r="T879" s="6"/>
      <c r="U879" s="6"/>
    </row>
    <row r="880" spans="1:21">
      <c r="A880" s="82"/>
      <c r="B880" s="83"/>
      <c r="C880" s="82"/>
      <c r="D880" s="82"/>
      <c r="E880" s="82"/>
      <c r="F880" s="82"/>
      <c r="G880" s="222"/>
      <c r="H880" s="222"/>
      <c r="I880" s="222"/>
      <c r="J880" s="6"/>
      <c r="K880" s="6"/>
      <c r="L880" s="6"/>
      <c r="M880" s="6"/>
      <c r="N880" s="6"/>
      <c r="O880" s="6"/>
      <c r="P880" s="6"/>
      <c r="Q880" s="6"/>
      <c r="R880" s="6"/>
      <c r="S880" s="6"/>
      <c r="T880" s="6"/>
      <c r="U880" s="6"/>
    </row>
    <row r="881" spans="1:21">
      <c r="A881" s="82"/>
      <c r="B881" s="83"/>
      <c r="C881" s="82"/>
      <c r="D881" s="82"/>
      <c r="E881" s="82"/>
      <c r="F881" s="82"/>
      <c r="G881" s="222"/>
      <c r="H881" s="222"/>
      <c r="I881" s="222"/>
      <c r="J881" s="6"/>
      <c r="K881" s="6"/>
      <c r="L881" s="6"/>
      <c r="M881" s="6"/>
      <c r="N881" s="6"/>
      <c r="O881" s="6"/>
      <c r="P881" s="6"/>
      <c r="Q881" s="6"/>
      <c r="R881" s="6"/>
      <c r="S881" s="6"/>
      <c r="T881" s="6"/>
      <c r="U881" s="6"/>
    </row>
    <row r="882" spans="1:21">
      <c r="A882" s="82"/>
      <c r="B882" s="83"/>
      <c r="C882" s="82"/>
      <c r="D882" s="82"/>
      <c r="E882" s="82"/>
      <c r="F882" s="82"/>
      <c r="G882" s="222"/>
      <c r="H882" s="222"/>
      <c r="I882" s="222"/>
      <c r="J882" s="6"/>
      <c r="K882" s="6"/>
      <c r="L882" s="6"/>
      <c r="M882" s="6"/>
      <c r="N882" s="6"/>
      <c r="O882" s="6"/>
      <c r="P882" s="6"/>
      <c r="Q882" s="6"/>
      <c r="R882" s="6"/>
      <c r="S882" s="6"/>
      <c r="T882" s="6"/>
      <c r="U882" s="6"/>
    </row>
    <row r="883" spans="1:21">
      <c r="A883" s="82"/>
      <c r="B883" s="83"/>
      <c r="C883" s="82"/>
      <c r="D883" s="82"/>
      <c r="E883" s="82"/>
      <c r="F883" s="82"/>
      <c r="G883" s="222"/>
      <c r="H883" s="222"/>
      <c r="I883" s="222"/>
      <c r="J883" s="6"/>
      <c r="K883" s="6"/>
      <c r="L883" s="6"/>
      <c r="M883" s="6"/>
      <c r="N883" s="6"/>
      <c r="O883" s="6"/>
      <c r="P883" s="6"/>
      <c r="Q883" s="6"/>
      <c r="R883" s="6"/>
      <c r="S883" s="6"/>
      <c r="T883" s="6"/>
      <c r="U883" s="6"/>
    </row>
    <row r="884" spans="1:21">
      <c r="A884" s="82"/>
      <c r="B884" s="83"/>
      <c r="C884" s="82"/>
      <c r="D884" s="82"/>
      <c r="E884" s="82"/>
      <c r="F884" s="82"/>
      <c r="G884" s="222"/>
      <c r="H884" s="222"/>
      <c r="I884" s="222"/>
      <c r="J884" s="6"/>
      <c r="K884" s="6"/>
      <c r="L884" s="6"/>
      <c r="M884" s="6"/>
      <c r="N884" s="6"/>
      <c r="O884" s="6"/>
      <c r="P884" s="6"/>
      <c r="Q884" s="6"/>
      <c r="R884" s="6"/>
      <c r="S884" s="6"/>
      <c r="T884" s="6"/>
      <c r="U884" s="6"/>
    </row>
    <row r="885" spans="1:21">
      <c r="A885" s="82"/>
      <c r="B885" s="83"/>
      <c r="C885" s="82"/>
      <c r="D885" s="82"/>
      <c r="E885" s="82"/>
      <c r="F885" s="82"/>
      <c r="G885" s="222"/>
      <c r="H885" s="222"/>
      <c r="I885" s="222"/>
      <c r="J885" s="6"/>
      <c r="K885" s="6"/>
      <c r="L885" s="6"/>
      <c r="M885" s="6"/>
      <c r="N885" s="6"/>
      <c r="O885" s="6"/>
      <c r="P885" s="6"/>
      <c r="Q885" s="6"/>
      <c r="R885" s="6"/>
      <c r="S885" s="6"/>
      <c r="T885" s="6"/>
      <c r="U885" s="6"/>
    </row>
    <row r="886" spans="1:21">
      <c r="A886" s="82"/>
      <c r="B886" s="83"/>
      <c r="C886" s="82"/>
      <c r="D886" s="82"/>
      <c r="E886" s="82"/>
      <c r="F886" s="82"/>
      <c r="G886" s="222"/>
      <c r="H886" s="222"/>
      <c r="I886" s="222"/>
      <c r="J886" s="6"/>
      <c r="K886" s="6"/>
      <c r="L886" s="6"/>
      <c r="M886" s="6"/>
      <c r="N886" s="6"/>
      <c r="O886" s="6"/>
      <c r="P886" s="6"/>
      <c r="Q886" s="6"/>
      <c r="R886" s="6"/>
      <c r="S886" s="6"/>
      <c r="T886" s="6"/>
      <c r="U886" s="6"/>
    </row>
    <row r="887" spans="1:21">
      <c r="A887" s="82"/>
      <c r="B887" s="83"/>
      <c r="C887" s="82"/>
      <c r="D887" s="82"/>
      <c r="E887" s="82"/>
      <c r="F887" s="82"/>
      <c r="G887" s="222"/>
      <c r="H887" s="222"/>
      <c r="I887" s="222"/>
      <c r="J887" s="6"/>
      <c r="K887" s="6"/>
      <c r="L887" s="6"/>
      <c r="M887" s="6"/>
      <c r="N887" s="6"/>
      <c r="O887" s="6"/>
      <c r="P887" s="6"/>
      <c r="Q887" s="6"/>
      <c r="R887" s="6"/>
      <c r="S887" s="6"/>
      <c r="T887" s="6"/>
      <c r="U887" s="6"/>
    </row>
    <row r="888" spans="1:21">
      <c r="A888" s="82"/>
      <c r="B888" s="83"/>
      <c r="C888" s="82"/>
      <c r="D888" s="82"/>
      <c r="E888" s="82"/>
      <c r="F888" s="82"/>
      <c r="G888" s="222"/>
      <c r="H888" s="222"/>
      <c r="I888" s="222"/>
      <c r="J888" s="6"/>
      <c r="K888" s="6"/>
      <c r="L888" s="6"/>
      <c r="M888" s="6"/>
      <c r="N888" s="6"/>
      <c r="O888" s="6"/>
      <c r="P888" s="6"/>
      <c r="Q888" s="6"/>
      <c r="R888" s="6"/>
      <c r="S888" s="6"/>
      <c r="T888" s="6"/>
      <c r="U888" s="6"/>
    </row>
    <row r="889" spans="1:21">
      <c r="A889" s="82"/>
      <c r="B889" s="83"/>
      <c r="C889" s="82"/>
      <c r="D889" s="82"/>
      <c r="E889" s="82"/>
      <c r="F889" s="82"/>
      <c r="G889" s="222"/>
      <c r="H889" s="222"/>
      <c r="I889" s="222"/>
      <c r="J889" s="6"/>
      <c r="K889" s="6"/>
      <c r="L889" s="6"/>
      <c r="M889" s="6"/>
      <c r="N889" s="6"/>
      <c r="O889" s="6"/>
      <c r="P889" s="6"/>
      <c r="Q889" s="6"/>
      <c r="R889" s="6"/>
      <c r="S889" s="6"/>
      <c r="T889" s="6"/>
      <c r="U889" s="6"/>
    </row>
    <row r="890" spans="1:21">
      <c r="A890" s="82"/>
      <c r="B890" s="83"/>
      <c r="C890" s="82"/>
      <c r="D890" s="82"/>
      <c r="E890" s="82"/>
      <c r="F890" s="82"/>
      <c r="G890" s="222"/>
      <c r="H890" s="222"/>
      <c r="I890" s="222"/>
      <c r="J890" s="6"/>
      <c r="K890" s="6"/>
      <c r="L890" s="6"/>
      <c r="M890" s="6"/>
      <c r="N890" s="6"/>
      <c r="O890" s="6"/>
      <c r="P890" s="6"/>
      <c r="Q890" s="6"/>
      <c r="R890" s="6"/>
      <c r="S890" s="6"/>
      <c r="T890" s="6"/>
      <c r="U890" s="6"/>
    </row>
    <row r="891" spans="1:21">
      <c r="A891" s="82"/>
      <c r="B891" s="83"/>
      <c r="C891" s="82"/>
      <c r="D891" s="82"/>
      <c r="E891" s="82"/>
      <c r="F891" s="82"/>
      <c r="G891" s="222"/>
      <c r="H891" s="222"/>
      <c r="I891" s="222"/>
      <c r="J891" s="6"/>
      <c r="K891" s="6"/>
      <c r="L891" s="6"/>
      <c r="M891" s="6"/>
      <c r="N891" s="6"/>
      <c r="O891" s="6"/>
      <c r="P891" s="6"/>
      <c r="Q891" s="6"/>
      <c r="R891" s="6"/>
      <c r="S891" s="6"/>
      <c r="T891" s="6"/>
      <c r="U891" s="6"/>
    </row>
    <row r="892" spans="1:21">
      <c r="A892" s="82"/>
      <c r="B892" s="83"/>
      <c r="C892" s="82"/>
      <c r="D892" s="82"/>
      <c r="E892" s="82"/>
      <c r="F892" s="82"/>
      <c r="G892" s="222"/>
      <c r="H892" s="222"/>
      <c r="I892" s="222"/>
      <c r="J892" s="6"/>
      <c r="K892" s="6"/>
      <c r="L892" s="6"/>
      <c r="M892" s="6"/>
      <c r="N892" s="6"/>
      <c r="O892" s="6"/>
      <c r="P892" s="6"/>
      <c r="Q892" s="6"/>
      <c r="R892" s="6"/>
      <c r="S892" s="6"/>
      <c r="T892" s="6"/>
      <c r="U892" s="6"/>
    </row>
    <row r="893" spans="1:21">
      <c r="A893" s="82"/>
      <c r="B893" s="83"/>
      <c r="C893" s="82"/>
      <c r="D893" s="82"/>
      <c r="E893" s="82"/>
      <c r="F893" s="82"/>
      <c r="G893" s="222"/>
      <c r="H893" s="222"/>
      <c r="I893" s="222"/>
      <c r="J893" s="6"/>
      <c r="K893" s="6"/>
      <c r="L893" s="6"/>
      <c r="M893" s="6"/>
      <c r="N893" s="6"/>
      <c r="O893" s="6"/>
      <c r="P893" s="6"/>
      <c r="Q893" s="6"/>
      <c r="R893" s="6"/>
      <c r="S893" s="6"/>
      <c r="T893" s="6"/>
      <c r="U893" s="6"/>
    </row>
    <row r="894" spans="1:21">
      <c r="A894" s="82"/>
      <c r="B894" s="83"/>
      <c r="C894" s="82"/>
      <c r="D894" s="82"/>
      <c r="E894" s="82"/>
      <c r="F894" s="82"/>
      <c r="G894" s="222"/>
      <c r="H894" s="222"/>
      <c r="I894" s="222"/>
      <c r="J894" s="6"/>
      <c r="K894" s="6"/>
      <c r="L894" s="6"/>
      <c r="M894" s="6"/>
      <c r="N894" s="6"/>
      <c r="O894" s="6"/>
      <c r="P894" s="6"/>
      <c r="Q894" s="6"/>
      <c r="R894" s="6"/>
      <c r="S894" s="6"/>
      <c r="T894" s="6"/>
      <c r="U894" s="6"/>
    </row>
    <row r="895" spans="1:21">
      <c r="A895" s="82"/>
      <c r="B895" s="83"/>
      <c r="C895" s="82"/>
      <c r="D895" s="82"/>
      <c r="E895" s="82"/>
      <c r="F895" s="82"/>
      <c r="G895" s="222"/>
      <c r="H895" s="222"/>
      <c r="I895" s="222"/>
      <c r="J895" s="6"/>
      <c r="K895" s="6"/>
      <c r="L895" s="6"/>
      <c r="M895" s="6"/>
      <c r="N895" s="6"/>
      <c r="O895" s="6"/>
      <c r="P895" s="6"/>
      <c r="Q895" s="6"/>
      <c r="R895" s="6"/>
      <c r="S895" s="6"/>
      <c r="T895" s="6"/>
      <c r="U895" s="6"/>
    </row>
    <row r="896" spans="1:21">
      <c r="A896" s="82"/>
      <c r="B896" s="83"/>
      <c r="C896" s="82"/>
      <c r="D896" s="82"/>
      <c r="E896" s="82"/>
      <c r="F896" s="82"/>
      <c r="G896" s="222"/>
      <c r="H896" s="222"/>
      <c r="I896" s="222"/>
      <c r="J896" s="6"/>
      <c r="K896" s="6"/>
      <c r="L896" s="6"/>
      <c r="M896" s="6"/>
      <c r="N896" s="6"/>
      <c r="O896" s="6"/>
      <c r="P896" s="6"/>
      <c r="Q896" s="6"/>
      <c r="R896" s="6"/>
      <c r="S896" s="6"/>
      <c r="T896" s="6"/>
      <c r="U896" s="6"/>
    </row>
    <row r="897" spans="1:21">
      <c r="A897" s="82"/>
      <c r="B897" s="83"/>
      <c r="C897" s="82"/>
      <c r="D897" s="82"/>
      <c r="E897" s="82"/>
      <c r="F897" s="82"/>
      <c r="G897" s="222"/>
      <c r="H897" s="222"/>
      <c r="I897" s="222"/>
      <c r="J897" s="6"/>
      <c r="K897" s="6"/>
      <c r="L897" s="6"/>
      <c r="M897" s="6"/>
      <c r="N897" s="6"/>
      <c r="O897" s="6"/>
      <c r="P897" s="6"/>
      <c r="Q897" s="6"/>
      <c r="R897" s="6"/>
      <c r="S897" s="6"/>
      <c r="T897" s="6"/>
      <c r="U897" s="6"/>
    </row>
    <row r="898" spans="1:21">
      <c r="A898" s="82"/>
      <c r="B898" s="83"/>
      <c r="C898" s="82"/>
      <c r="D898" s="82"/>
      <c r="E898" s="82"/>
      <c r="F898" s="82"/>
      <c r="G898" s="222"/>
      <c r="H898" s="222"/>
      <c r="I898" s="222"/>
      <c r="J898" s="6"/>
      <c r="K898" s="6"/>
      <c r="L898" s="6"/>
      <c r="M898" s="6"/>
      <c r="N898" s="6"/>
      <c r="O898" s="6"/>
      <c r="P898" s="6"/>
      <c r="Q898" s="6"/>
      <c r="R898" s="6"/>
      <c r="S898" s="6"/>
      <c r="T898" s="6"/>
      <c r="U898" s="6"/>
    </row>
    <row r="899" spans="1:21">
      <c r="A899" s="82"/>
      <c r="B899" s="83"/>
      <c r="C899" s="82"/>
      <c r="D899" s="82"/>
      <c r="E899" s="82"/>
      <c r="F899" s="82"/>
      <c r="G899" s="222"/>
      <c r="H899" s="222"/>
      <c r="I899" s="222"/>
      <c r="J899" s="6"/>
      <c r="K899" s="6"/>
      <c r="L899" s="6"/>
      <c r="M899" s="6"/>
      <c r="N899" s="6"/>
      <c r="O899" s="6"/>
      <c r="P899" s="6"/>
      <c r="Q899" s="6"/>
      <c r="R899" s="6"/>
      <c r="S899" s="6"/>
      <c r="T899" s="6"/>
      <c r="U899" s="6"/>
    </row>
    <row r="900" spans="1:21">
      <c r="A900" s="82"/>
      <c r="B900" s="83"/>
      <c r="C900" s="82"/>
      <c r="D900" s="82"/>
      <c r="E900" s="82"/>
      <c r="F900" s="82"/>
      <c r="G900" s="222"/>
      <c r="H900" s="222"/>
      <c r="I900" s="222"/>
      <c r="J900" s="6"/>
      <c r="K900" s="6"/>
      <c r="L900" s="6"/>
      <c r="M900" s="6"/>
      <c r="N900" s="6"/>
      <c r="O900" s="6"/>
      <c r="P900" s="6"/>
      <c r="Q900" s="6"/>
      <c r="R900" s="6"/>
      <c r="S900" s="6"/>
      <c r="T900" s="6"/>
      <c r="U900" s="6"/>
    </row>
    <row r="901" spans="1:21">
      <c r="A901" s="82"/>
      <c r="B901" s="83"/>
      <c r="C901" s="82"/>
      <c r="D901" s="82"/>
      <c r="E901" s="82"/>
      <c r="F901" s="82"/>
      <c r="G901" s="222"/>
      <c r="H901" s="222"/>
      <c r="I901" s="222"/>
      <c r="J901" s="6"/>
      <c r="K901" s="6"/>
      <c r="L901" s="6"/>
      <c r="M901" s="6"/>
      <c r="N901" s="6"/>
      <c r="O901" s="6"/>
      <c r="P901" s="6"/>
      <c r="Q901" s="6"/>
      <c r="R901" s="6"/>
      <c r="S901" s="6"/>
      <c r="T901" s="6"/>
      <c r="U901" s="6"/>
    </row>
    <row r="902" spans="1:21">
      <c r="A902" s="82"/>
      <c r="B902" s="83"/>
      <c r="C902" s="82"/>
      <c r="D902" s="82"/>
      <c r="E902" s="82"/>
      <c r="F902" s="82"/>
      <c r="G902" s="222"/>
      <c r="H902" s="222"/>
      <c r="I902" s="222"/>
      <c r="J902" s="6"/>
      <c r="K902" s="6"/>
      <c r="L902" s="6"/>
      <c r="M902" s="6"/>
      <c r="N902" s="6"/>
      <c r="O902" s="6"/>
      <c r="P902" s="6"/>
      <c r="Q902" s="6"/>
      <c r="R902" s="6"/>
      <c r="S902" s="6"/>
      <c r="T902" s="6"/>
      <c r="U902" s="6"/>
    </row>
    <row r="903" spans="1:21">
      <c r="A903" s="82"/>
      <c r="B903" s="83"/>
      <c r="C903" s="82"/>
      <c r="D903" s="82"/>
      <c r="E903" s="82"/>
      <c r="F903" s="82"/>
      <c r="G903" s="222"/>
      <c r="H903" s="222"/>
      <c r="I903" s="222"/>
      <c r="J903" s="6"/>
      <c r="K903" s="6"/>
      <c r="L903" s="6"/>
      <c r="M903" s="6"/>
      <c r="N903" s="6"/>
      <c r="O903" s="6"/>
      <c r="P903" s="6"/>
      <c r="Q903" s="6"/>
      <c r="R903" s="6"/>
      <c r="S903" s="6"/>
      <c r="T903" s="6"/>
      <c r="U903" s="6"/>
    </row>
    <row r="904" spans="1:21">
      <c r="A904" s="82"/>
      <c r="B904" s="83"/>
      <c r="C904" s="82"/>
      <c r="D904" s="82"/>
      <c r="E904" s="82"/>
      <c r="F904" s="82"/>
      <c r="G904" s="222"/>
      <c r="H904" s="222"/>
      <c r="I904" s="222"/>
      <c r="J904" s="6"/>
      <c r="K904" s="6"/>
      <c r="L904" s="6"/>
      <c r="M904" s="6"/>
      <c r="N904" s="6"/>
      <c r="O904" s="6"/>
      <c r="P904" s="6"/>
      <c r="Q904" s="6"/>
      <c r="R904" s="6"/>
      <c r="S904" s="6"/>
      <c r="T904" s="6"/>
      <c r="U904" s="6"/>
    </row>
    <row r="905" spans="1:21">
      <c r="A905" s="82"/>
      <c r="B905" s="83"/>
      <c r="C905" s="82"/>
      <c r="D905" s="82"/>
      <c r="E905" s="82"/>
      <c r="F905" s="82"/>
      <c r="G905" s="222"/>
      <c r="H905" s="222"/>
      <c r="I905" s="222"/>
      <c r="J905" s="6"/>
      <c r="K905" s="6"/>
      <c r="L905" s="6"/>
      <c r="M905" s="6"/>
      <c r="N905" s="6"/>
      <c r="O905" s="6"/>
      <c r="P905" s="6"/>
      <c r="Q905" s="6"/>
      <c r="R905" s="6"/>
      <c r="S905" s="6"/>
      <c r="T905" s="6"/>
      <c r="U905" s="6"/>
    </row>
    <row r="906" spans="1:21">
      <c r="A906" s="82"/>
      <c r="B906" s="83"/>
      <c r="C906" s="82"/>
      <c r="D906" s="82"/>
      <c r="E906" s="82"/>
      <c r="F906" s="82"/>
      <c r="G906" s="222"/>
      <c r="H906" s="222"/>
      <c r="I906" s="222"/>
      <c r="J906" s="6"/>
      <c r="K906" s="6"/>
      <c r="L906" s="6"/>
      <c r="M906" s="6"/>
      <c r="N906" s="6"/>
      <c r="O906" s="6"/>
      <c r="P906" s="6"/>
      <c r="Q906" s="6"/>
      <c r="R906" s="6"/>
      <c r="S906" s="6"/>
      <c r="T906" s="6"/>
      <c r="U906" s="6"/>
    </row>
    <row r="907" spans="1:21">
      <c r="A907" s="82"/>
      <c r="B907" s="83"/>
      <c r="C907" s="82"/>
      <c r="D907" s="82"/>
      <c r="E907" s="82"/>
      <c r="F907" s="82"/>
      <c r="G907" s="222"/>
      <c r="H907" s="222"/>
      <c r="I907" s="222"/>
      <c r="J907" s="6"/>
      <c r="K907" s="6"/>
      <c r="L907" s="6"/>
      <c r="M907" s="6"/>
      <c r="N907" s="6"/>
      <c r="O907" s="6"/>
      <c r="P907" s="6"/>
      <c r="Q907" s="6"/>
      <c r="R907" s="6"/>
      <c r="S907" s="6"/>
      <c r="T907" s="6"/>
      <c r="U907" s="6"/>
    </row>
    <row r="908" spans="1:21">
      <c r="A908" s="82"/>
      <c r="B908" s="83"/>
      <c r="C908" s="82"/>
      <c r="D908" s="82"/>
      <c r="E908" s="82"/>
      <c r="F908" s="82"/>
      <c r="G908" s="222"/>
      <c r="H908" s="222"/>
      <c r="I908" s="222"/>
      <c r="J908" s="6"/>
      <c r="K908" s="6"/>
      <c r="L908" s="6"/>
      <c r="M908" s="6"/>
      <c r="N908" s="6"/>
      <c r="O908" s="6"/>
      <c r="P908" s="6"/>
      <c r="Q908" s="6"/>
      <c r="R908" s="6"/>
      <c r="S908" s="6"/>
      <c r="T908" s="6"/>
      <c r="U908" s="6"/>
    </row>
    <row r="909" spans="1:21">
      <c r="A909" s="82"/>
      <c r="B909" s="83"/>
      <c r="C909" s="82"/>
      <c r="D909" s="82"/>
      <c r="E909" s="82"/>
      <c r="F909" s="82"/>
      <c r="G909" s="222"/>
      <c r="H909" s="222"/>
      <c r="I909" s="222"/>
      <c r="J909" s="6"/>
      <c r="K909" s="6"/>
      <c r="L909" s="6"/>
      <c r="M909" s="6"/>
      <c r="N909" s="6"/>
      <c r="O909" s="6"/>
      <c r="P909" s="6"/>
      <c r="Q909" s="6"/>
      <c r="R909" s="6"/>
      <c r="S909" s="6"/>
      <c r="T909" s="6"/>
      <c r="U909" s="6"/>
    </row>
    <row r="910" spans="1:21">
      <c r="A910" s="82"/>
      <c r="B910" s="83"/>
      <c r="C910" s="82"/>
      <c r="D910" s="82"/>
      <c r="E910" s="82"/>
      <c r="F910" s="82"/>
      <c r="G910" s="222"/>
      <c r="H910" s="222"/>
      <c r="I910" s="222"/>
      <c r="J910" s="6"/>
      <c r="K910" s="6"/>
      <c r="L910" s="6"/>
      <c r="M910" s="6"/>
      <c r="N910" s="6"/>
      <c r="O910" s="6"/>
      <c r="P910" s="6"/>
      <c r="Q910" s="6"/>
      <c r="R910" s="6"/>
      <c r="S910" s="6"/>
      <c r="T910" s="6"/>
      <c r="U910" s="6"/>
    </row>
    <row r="911" spans="1:21">
      <c r="A911" s="82"/>
      <c r="B911" s="83"/>
      <c r="C911" s="82"/>
      <c r="D911" s="82"/>
      <c r="E911" s="82"/>
      <c r="F911" s="82"/>
      <c r="G911" s="222"/>
      <c r="H911" s="222"/>
      <c r="I911" s="222"/>
      <c r="J911" s="6"/>
      <c r="K911" s="6"/>
      <c r="L911" s="6"/>
      <c r="M911" s="6"/>
      <c r="N911" s="6"/>
      <c r="O911" s="6"/>
      <c r="P911" s="6"/>
      <c r="Q911" s="6"/>
      <c r="R911" s="6"/>
      <c r="S911" s="6"/>
      <c r="T911" s="6"/>
      <c r="U911" s="6"/>
    </row>
    <row r="912" spans="1:21">
      <c r="A912" s="82"/>
      <c r="B912" s="83"/>
      <c r="C912" s="82"/>
      <c r="D912" s="82"/>
      <c r="E912" s="82"/>
      <c r="F912" s="82"/>
      <c r="G912" s="222"/>
      <c r="H912" s="222"/>
      <c r="I912" s="222"/>
      <c r="J912" s="6"/>
      <c r="K912" s="6"/>
      <c r="L912" s="6"/>
      <c r="M912" s="6"/>
      <c r="N912" s="6"/>
      <c r="O912" s="6"/>
      <c r="P912" s="6"/>
      <c r="Q912" s="6"/>
      <c r="R912" s="6"/>
      <c r="S912" s="6"/>
      <c r="T912" s="6"/>
      <c r="U912" s="6"/>
    </row>
    <row r="913" spans="1:21">
      <c r="A913" s="82"/>
      <c r="B913" s="83"/>
      <c r="C913" s="82"/>
      <c r="D913" s="82"/>
      <c r="E913" s="82"/>
      <c r="F913" s="82"/>
      <c r="G913" s="222"/>
      <c r="H913" s="222"/>
      <c r="I913" s="222"/>
      <c r="J913" s="6"/>
      <c r="K913" s="6"/>
      <c r="L913" s="6"/>
      <c r="M913" s="6"/>
      <c r="N913" s="6"/>
      <c r="O913" s="6"/>
      <c r="P913" s="6"/>
      <c r="Q913" s="6"/>
      <c r="R913" s="6"/>
      <c r="S913" s="6"/>
      <c r="T913" s="6"/>
      <c r="U913" s="6"/>
    </row>
    <row r="914" spans="1:21">
      <c r="A914" s="82"/>
      <c r="B914" s="83"/>
      <c r="C914" s="82"/>
      <c r="D914" s="82"/>
      <c r="E914" s="82"/>
      <c r="F914" s="82"/>
      <c r="G914" s="222"/>
      <c r="H914" s="222"/>
      <c r="I914" s="222"/>
      <c r="J914" s="6"/>
      <c r="K914" s="6"/>
      <c r="L914" s="6"/>
      <c r="M914" s="6"/>
      <c r="N914" s="6"/>
      <c r="O914" s="6"/>
      <c r="P914" s="6"/>
      <c r="Q914" s="6"/>
      <c r="R914" s="6"/>
      <c r="S914" s="6"/>
      <c r="T914" s="6"/>
      <c r="U914" s="6"/>
    </row>
    <row r="915" spans="1:21">
      <c r="A915" s="82"/>
      <c r="B915" s="83"/>
      <c r="C915" s="82"/>
      <c r="D915" s="82"/>
      <c r="E915" s="82"/>
      <c r="F915" s="82"/>
      <c r="G915" s="222"/>
      <c r="H915" s="222"/>
      <c r="I915" s="222"/>
      <c r="J915" s="6"/>
      <c r="K915" s="6"/>
      <c r="L915" s="6"/>
      <c r="M915" s="6"/>
      <c r="N915" s="6"/>
      <c r="O915" s="6"/>
      <c r="P915" s="6"/>
      <c r="Q915" s="6"/>
      <c r="R915" s="6"/>
      <c r="S915" s="6"/>
      <c r="T915" s="6"/>
      <c r="U915" s="6"/>
    </row>
    <row r="916" spans="1:21">
      <c r="A916" s="82"/>
      <c r="B916" s="83"/>
      <c r="C916" s="82"/>
      <c r="D916" s="82"/>
      <c r="E916" s="82"/>
      <c r="F916" s="82"/>
      <c r="G916" s="222"/>
      <c r="H916" s="222"/>
      <c r="I916" s="222"/>
      <c r="J916" s="6"/>
      <c r="K916" s="6"/>
      <c r="L916" s="6"/>
      <c r="M916" s="6"/>
      <c r="N916" s="6"/>
      <c r="O916" s="6"/>
      <c r="P916" s="6"/>
      <c r="Q916" s="6"/>
      <c r="R916" s="6"/>
      <c r="S916" s="6"/>
      <c r="T916" s="6"/>
      <c r="U916" s="6"/>
    </row>
    <row r="917" spans="1:21">
      <c r="A917" s="82"/>
      <c r="B917" s="83"/>
      <c r="C917" s="82"/>
      <c r="D917" s="82"/>
      <c r="E917" s="82"/>
      <c r="F917" s="82"/>
      <c r="G917" s="222"/>
      <c r="H917" s="222"/>
      <c r="I917" s="222"/>
      <c r="J917" s="6"/>
      <c r="K917" s="6"/>
      <c r="L917" s="6"/>
      <c r="M917" s="6"/>
      <c r="N917" s="6"/>
      <c r="O917" s="6"/>
      <c r="P917" s="6"/>
      <c r="Q917" s="6"/>
      <c r="R917" s="6"/>
      <c r="S917" s="6"/>
      <c r="T917" s="6"/>
      <c r="U917" s="6"/>
    </row>
    <row r="918" spans="1:21">
      <c r="A918" s="82"/>
      <c r="B918" s="83"/>
      <c r="C918" s="82"/>
      <c r="D918" s="82"/>
      <c r="E918" s="82"/>
      <c r="F918" s="82"/>
      <c r="G918" s="222"/>
      <c r="H918" s="222"/>
      <c r="I918" s="222"/>
      <c r="J918" s="6"/>
      <c r="K918" s="6"/>
      <c r="L918" s="6"/>
      <c r="M918" s="6"/>
      <c r="N918" s="6"/>
      <c r="O918" s="6"/>
      <c r="P918" s="6"/>
      <c r="Q918" s="6"/>
      <c r="R918" s="6"/>
      <c r="S918" s="6"/>
      <c r="T918" s="6"/>
      <c r="U918" s="6"/>
    </row>
    <row r="919" spans="1:21">
      <c r="A919" s="82"/>
      <c r="B919" s="83"/>
      <c r="C919" s="82"/>
      <c r="D919" s="82"/>
      <c r="E919" s="82"/>
      <c r="F919" s="82"/>
      <c r="G919" s="222"/>
      <c r="H919" s="222"/>
      <c r="I919" s="222"/>
      <c r="J919" s="6"/>
      <c r="K919" s="6"/>
      <c r="L919" s="6"/>
      <c r="M919" s="6"/>
      <c r="N919" s="6"/>
      <c r="O919" s="6"/>
      <c r="P919" s="6"/>
      <c r="Q919" s="6"/>
      <c r="R919" s="6"/>
      <c r="S919" s="6"/>
      <c r="T919" s="6"/>
      <c r="U919" s="6"/>
    </row>
    <row r="920" spans="1:21">
      <c r="A920" s="82"/>
      <c r="B920" s="83"/>
      <c r="C920" s="82"/>
      <c r="D920" s="82"/>
      <c r="E920" s="82"/>
      <c r="F920" s="82"/>
      <c r="G920" s="222"/>
      <c r="H920" s="222"/>
      <c r="I920" s="222"/>
      <c r="J920" s="6"/>
      <c r="K920" s="6"/>
      <c r="L920" s="6"/>
      <c r="M920" s="6"/>
      <c r="N920" s="6"/>
      <c r="O920" s="6"/>
      <c r="P920" s="6"/>
      <c r="Q920" s="6"/>
      <c r="R920" s="6"/>
      <c r="S920" s="6"/>
      <c r="T920" s="6"/>
      <c r="U920" s="6"/>
    </row>
    <row r="921" spans="1:21">
      <c r="A921" s="82"/>
      <c r="B921" s="83"/>
      <c r="C921" s="82"/>
      <c r="D921" s="82"/>
      <c r="E921" s="82"/>
      <c r="F921" s="82"/>
      <c r="G921" s="222"/>
      <c r="H921" s="222"/>
      <c r="I921" s="222"/>
      <c r="J921" s="6"/>
      <c r="K921" s="6"/>
      <c r="L921" s="6"/>
      <c r="M921" s="6"/>
      <c r="N921" s="6"/>
      <c r="O921" s="6"/>
      <c r="P921" s="6"/>
      <c r="Q921" s="6"/>
      <c r="R921" s="6"/>
      <c r="S921" s="6"/>
      <c r="T921" s="6"/>
      <c r="U921" s="6"/>
    </row>
    <row r="922" spans="1:21">
      <c r="A922" s="82"/>
      <c r="B922" s="83"/>
      <c r="C922" s="82"/>
      <c r="D922" s="82"/>
      <c r="E922" s="82"/>
      <c r="F922" s="82"/>
      <c r="G922" s="222"/>
      <c r="H922" s="222"/>
      <c r="I922" s="222"/>
      <c r="J922" s="6"/>
      <c r="K922" s="6"/>
      <c r="L922" s="6"/>
      <c r="M922" s="6"/>
      <c r="N922" s="6"/>
      <c r="O922" s="6"/>
      <c r="P922" s="6"/>
      <c r="Q922" s="6"/>
      <c r="R922" s="6"/>
      <c r="S922" s="6"/>
      <c r="T922" s="6"/>
      <c r="U922" s="6"/>
    </row>
    <row r="923" spans="1:21">
      <c r="A923" s="82"/>
      <c r="B923" s="83"/>
      <c r="C923" s="82"/>
      <c r="D923" s="82"/>
      <c r="E923" s="82"/>
      <c r="F923" s="82"/>
      <c r="G923" s="222"/>
      <c r="H923" s="222"/>
      <c r="I923" s="222"/>
      <c r="J923" s="6"/>
      <c r="K923" s="6"/>
      <c r="L923" s="6"/>
      <c r="M923" s="6"/>
      <c r="N923" s="6"/>
      <c r="O923" s="6"/>
      <c r="P923" s="6"/>
      <c r="Q923" s="6"/>
      <c r="R923" s="6"/>
      <c r="S923" s="6"/>
      <c r="T923" s="6"/>
      <c r="U923" s="6"/>
    </row>
    <row r="924" spans="1:21">
      <c r="A924" s="82"/>
      <c r="B924" s="83"/>
      <c r="C924" s="82"/>
      <c r="D924" s="82"/>
      <c r="E924" s="82"/>
      <c r="F924" s="82"/>
      <c r="G924" s="222"/>
      <c r="H924" s="222"/>
      <c r="I924" s="222"/>
      <c r="J924" s="6"/>
      <c r="K924" s="6"/>
      <c r="L924" s="6"/>
      <c r="M924" s="6"/>
      <c r="N924" s="6"/>
      <c r="O924" s="6"/>
      <c r="P924" s="6"/>
      <c r="Q924" s="6"/>
      <c r="R924" s="6"/>
      <c r="S924" s="6"/>
      <c r="T924" s="6"/>
      <c r="U924" s="6"/>
    </row>
    <row r="925" spans="1:21">
      <c r="A925" s="82"/>
      <c r="B925" s="83"/>
      <c r="C925" s="82"/>
      <c r="D925" s="82"/>
      <c r="E925" s="82"/>
      <c r="F925" s="82"/>
      <c r="G925" s="222"/>
      <c r="H925" s="222"/>
      <c r="I925" s="222"/>
      <c r="J925" s="6"/>
      <c r="K925" s="6"/>
      <c r="L925" s="6"/>
      <c r="M925" s="6"/>
      <c r="N925" s="6"/>
      <c r="O925" s="6"/>
      <c r="P925" s="6"/>
      <c r="Q925" s="6"/>
      <c r="R925" s="6"/>
      <c r="S925" s="6"/>
      <c r="T925" s="6"/>
      <c r="U925" s="6"/>
    </row>
    <row r="926" spans="1:21">
      <c r="A926" s="82"/>
      <c r="B926" s="83"/>
      <c r="C926" s="82"/>
      <c r="D926" s="82"/>
      <c r="E926" s="82"/>
      <c r="F926" s="82"/>
      <c r="G926" s="222"/>
      <c r="H926" s="222"/>
      <c r="I926" s="222"/>
      <c r="J926" s="6"/>
      <c r="K926" s="6"/>
      <c r="L926" s="6"/>
      <c r="M926" s="6"/>
      <c r="N926" s="6"/>
      <c r="O926" s="6"/>
      <c r="P926" s="6"/>
      <c r="Q926" s="6"/>
      <c r="R926" s="6"/>
      <c r="S926" s="6"/>
      <c r="T926" s="6"/>
      <c r="U926" s="6"/>
    </row>
    <row r="927" spans="1:21">
      <c r="A927" s="82"/>
      <c r="B927" s="83"/>
      <c r="C927" s="82"/>
      <c r="D927" s="82"/>
      <c r="E927" s="82"/>
      <c r="F927" s="82"/>
      <c r="G927" s="222"/>
      <c r="H927" s="222"/>
      <c r="I927" s="222"/>
      <c r="J927" s="6"/>
      <c r="K927" s="6"/>
      <c r="L927" s="6"/>
      <c r="M927" s="6"/>
      <c r="N927" s="6"/>
      <c r="O927" s="6"/>
      <c r="P927" s="6"/>
      <c r="Q927" s="6"/>
      <c r="R927" s="6"/>
      <c r="S927" s="6"/>
      <c r="T927" s="6"/>
      <c r="U927" s="6"/>
    </row>
  </sheetData>
  <mergeCells count="1">
    <mergeCell ref="A1:B1"/>
  </mergeCells>
  <conditionalFormatting sqref="D3:D78">
    <cfRule type="colorScale" priority="1">
      <colorScale>
        <cfvo type="percentile" val="0"/>
        <cfvo type="percentile" val="50"/>
        <cfvo type="percentile" val="100"/>
        <color rgb="FF6AA84F"/>
        <color rgb="FFFFFFFF"/>
        <color rgb="FFA61C00"/>
      </colorScale>
    </cfRule>
  </conditionalFormatting>
  <hyperlinks>
    <hyperlink ref="A1" r:id="rId1" xr:uid="{00000000-0004-0000-0C00-000000000000}"/>
  </hyperlinks>
  <pageMargins left="0.75" right="0.75" top="1" bottom="1"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rgb="FFB6D7A8"/>
    <outlinePr summaryBelow="0" summaryRight="0"/>
  </sheetPr>
  <dimension ref="A1:H929"/>
  <sheetViews>
    <sheetView workbookViewId="0"/>
  </sheetViews>
  <sheetFormatPr baseColWidth="10" defaultColWidth="14.5" defaultRowHeight="15" customHeight="1"/>
  <cols>
    <col min="1" max="1" width="70.33203125" customWidth="1"/>
    <col min="2" max="2" width="23.5" customWidth="1"/>
    <col min="3" max="3" width="14.83203125" customWidth="1"/>
    <col min="4" max="4" width="17" customWidth="1"/>
    <col min="5" max="5" width="16" customWidth="1"/>
    <col min="6" max="6" width="17.5" customWidth="1"/>
    <col min="7" max="7" width="14.5" customWidth="1"/>
    <col min="8" max="8" width="13.33203125" customWidth="1"/>
  </cols>
  <sheetData>
    <row r="1" spans="1:8">
      <c r="A1" s="107" t="s">
        <v>843</v>
      </c>
      <c r="B1" s="294" t="s">
        <v>219</v>
      </c>
      <c r="C1" s="296" t="s">
        <v>220</v>
      </c>
      <c r="D1" s="296" t="s">
        <v>221</v>
      </c>
      <c r="E1" s="294" t="s">
        <v>222</v>
      </c>
      <c r="F1" s="294" t="s">
        <v>223</v>
      </c>
      <c r="G1" s="294" t="s">
        <v>224</v>
      </c>
      <c r="H1" s="296" t="s">
        <v>3</v>
      </c>
    </row>
    <row r="2" spans="1:8">
      <c r="A2" s="8" t="s">
        <v>10</v>
      </c>
      <c r="B2" s="295"/>
      <c r="C2" s="295"/>
      <c r="D2" s="295"/>
      <c r="E2" s="295"/>
      <c r="F2" s="295"/>
      <c r="G2" s="295"/>
      <c r="H2" s="295"/>
    </row>
    <row r="3" spans="1:8">
      <c r="A3" s="255" t="s">
        <v>844</v>
      </c>
      <c r="B3" s="272" t="s">
        <v>694</v>
      </c>
      <c r="C3" s="110" t="str">
        <f>IF(COUNTIFS('Outside Review Form Responses'!$E:$E,$A3,'Outside Review Form Responses'!A:A,"&lt;&gt;")&gt;0, COUNTIFS('Outside Review Form Responses'!$E:$E,$A3,'Outside Review Form Responses'!A:A,"&lt;&gt;")&amp;" reviews", "NA")</f>
        <v>1 reviews</v>
      </c>
      <c r="D3" s="111">
        <f>IFERROR(AVERAGEIF('Outside Review Form Responses'!$E:$E,$A3,'Outside Review Form Responses'!F:F),"NA")</f>
        <v>5</v>
      </c>
      <c r="E3" s="111">
        <f>IFERROR(AVERAGEIF('Outside Review Form Responses'!$E:$E,$A3,'Outside Review Form Responses'!G:G),"NA")</f>
        <v>3</v>
      </c>
      <c r="F3" s="111">
        <f>IFERROR(AVERAGEIF('Outside Review Form Responses'!$E:$E,$A3,'Outside Review Form Responses'!H:H),"NA")</f>
        <v>5</v>
      </c>
      <c r="G3" s="111">
        <f>IFERROR(AVERAGEIF('Outside Review Form Responses'!$E:$E,$A3,'Outside Review Form Responses'!I:I),"NA")</f>
        <v>35</v>
      </c>
      <c r="H3" s="112">
        <v>43</v>
      </c>
    </row>
    <row r="4" spans="1:8">
      <c r="A4" s="232" t="s">
        <v>845</v>
      </c>
      <c r="B4" s="273" t="s">
        <v>694</v>
      </c>
      <c r="C4" s="110" t="str">
        <f>IF(COUNTIFS('Outside Review Form Responses'!$E:$E,$A4,'Outside Review Form Responses'!A:A,"&lt;&gt;")&gt;0, COUNTIFS('Outside Review Form Responses'!$E:$E,$A4,'Outside Review Form Responses'!A:A,"&lt;&gt;")&amp;" reviews", "NA")</f>
        <v>NA</v>
      </c>
      <c r="D4" s="111" t="str">
        <f>IFERROR(AVERAGEIF('Outside Review Form Responses'!$E:$E,$A4,'Outside Review Form Responses'!F:F),"NA")</f>
        <v>NA</v>
      </c>
      <c r="E4" s="111" t="str">
        <f>IFERROR(AVERAGEIF('Outside Review Form Responses'!$E:$E,$A4,'Outside Review Form Responses'!G:G),"NA")</f>
        <v>NA</v>
      </c>
      <c r="F4" s="111" t="str">
        <f>IFERROR(AVERAGEIF('Outside Review Form Responses'!$E:$E,$A4,'Outside Review Form Responses'!H:H),"NA")</f>
        <v>NA</v>
      </c>
      <c r="G4" s="111" t="str">
        <f>IFERROR(AVERAGEIF('Outside Review Form Responses'!$E:$E,$A4,'Outside Review Form Responses'!I:I),"NA")</f>
        <v>NA</v>
      </c>
      <c r="H4" s="112">
        <v>40</v>
      </c>
    </row>
    <row r="5" spans="1:8">
      <c r="A5" s="262" t="s">
        <v>846</v>
      </c>
      <c r="B5" s="274" t="s">
        <v>694</v>
      </c>
      <c r="C5" s="110" t="str">
        <f>IF(COUNTIFS('Outside Review Form Responses'!$E:$E,$A5,'Outside Review Form Responses'!A:A,"&lt;&gt;")&gt;0, COUNTIFS('Outside Review Form Responses'!$E:$E,$A5,'Outside Review Form Responses'!A:A,"&lt;&gt;")&amp;" reviews", "NA")</f>
        <v>NA</v>
      </c>
      <c r="D5" s="111" t="str">
        <f>IFERROR(AVERAGEIF('Outside Review Form Responses'!$E:$E,$A5,'Outside Review Form Responses'!F:F),"NA")</f>
        <v>NA</v>
      </c>
      <c r="E5" s="111" t="str">
        <f>IFERROR(AVERAGEIF('Outside Review Form Responses'!$E:$E,$A5,'Outside Review Form Responses'!G:G),"NA")</f>
        <v>NA</v>
      </c>
      <c r="F5" s="111" t="str">
        <f>IFERROR(AVERAGEIF('Outside Review Form Responses'!$E:$E,$A5,'Outside Review Form Responses'!H:H),"NA")</f>
        <v>NA</v>
      </c>
      <c r="G5" s="111" t="str">
        <f>IFERROR(AVERAGEIF('Outside Review Form Responses'!$E:$E,$A5,'Outside Review Form Responses'!I:I),"NA")</f>
        <v>NA</v>
      </c>
      <c r="H5" s="112">
        <v>47</v>
      </c>
    </row>
    <row r="6" spans="1:8">
      <c r="A6" s="246" t="s">
        <v>847</v>
      </c>
      <c r="B6" s="280" t="s">
        <v>694</v>
      </c>
      <c r="C6" s="110" t="str">
        <f>IF(COUNTIFS('Outside Review Form Responses'!$E:$E,$A6,'Outside Review Form Responses'!A:A,"&lt;&gt;")&gt;0, COUNTIFS('Outside Review Form Responses'!$E:$E,$A6,'Outside Review Form Responses'!A:A,"&lt;&gt;")&amp;" reviews", "NA")</f>
        <v>1 reviews</v>
      </c>
      <c r="D6" s="111">
        <f>IFERROR(AVERAGEIF('Outside Review Form Responses'!$E:$E,$A6,'Outside Review Form Responses'!F:F),"NA")</f>
        <v>2</v>
      </c>
      <c r="E6" s="111">
        <f>IFERROR(AVERAGEIF('Outside Review Form Responses'!$E:$E,$A6,'Outside Review Form Responses'!G:G),"NA")</f>
        <v>4</v>
      </c>
      <c r="F6" s="111">
        <f>IFERROR(AVERAGEIF('Outside Review Form Responses'!$E:$E,$A6,'Outside Review Form Responses'!H:H),"NA")</f>
        <v>1</v>
      </c>
      <c r="G6" s="111">
        <f>IFERROR(AVERAGEIF('Outside Review Form Responses'!$E:$E,$A6,'Outside Review Form Responses'!I:I),"NA")</f>
        <v>22</v>
      </c>
      <c r="H6" s="112">
        <v>31</v>
      </c>
    </row>
    <row r="7" spans="1:8">
      <c r="A7" s="232" t="s">
        <v>848</v>
      </c>
      <c r="B7" s="273" t="s">
        <v>694</v>
      </c>
      <c r="C7" s="110" t="str">
        <f>IF(COUNTIFS('Outside Review Form Responses'!$E:$E,$A7,'Outside Review Form Responses'!A:A,"&lt;&gt;")&gt;0, COUNTIFS('Outside Review Form Responses'!$E:$E,$A7,'Outside Review Form Responses'!A:A,"&lt;&gt;")&amp;" reviews", "NA")</f>
        <v>NA</v>
      </c>
      <c r="D7" s="111" t="str">
        <f>IFERROR(AVERAGEIF('Outside Review Form Responses'!$E:$E,$A7,'Outside Review Form Responses'!F:F),"NA")</f>
        <v>NA</v>
      </c>
      <c r="E7" s="111" t="str">
        <f>IFERROR(AVERAGEIF('Outside Review Form Responses'!$E:$E,$A7,'Outside Review Form Responses'!G:G),"NA")</f>
        <v>NA</v>
      </c>
      <c r="F7" s="111" t="str">
        <f>IFERROR(AVERAGEIF('Outside Review Form Responses'!$E:$E,$A7,'Outside Review Form Responses'!H:H),"NA")</f>
        <v>NA</v>
      </c>
      <c r="G7" s="111" t="str">
        <f>IFERROR(AVERAGEIF('Outside Review Form Responses'!$E:$E,$A7,'Outside Review Form Responses'!I:I),"NA")</f>
        <v>NA</v>
      </c>
      <c r="H7" s="112">
        <v>36</v>
      </c>
    </row>
    <row r="8" spans="1:8">
      <c r="A8" s="232" t="s">
        <v>849</v>
      </c>
      <c r="B8" s="273" t="s">
        <v>694</v>
      </c>
      <c r="C8" s="110" t="str">
        <f>IF(COUNTIFS('Outside Review Form Responses'!$E:$E,$A8,'Outside Review Form Responses'!A:A,"&lt;&gt;")&gt;0, COUNTIFS('Outside Review Form Responses'!$E:$E,$A8,'Outside Review Form Responses'!A:A,"&lt;&gt;")&amp;" reviews", "NA")</f>
        <v>NA</v>
      </c>
      <c r="D8" s="111" t="str">
        <f>IFERROR(AVERAGEIF('Outside Review Form Responses'!$E:$E,$A8,'Outside Review Form Responses'!F:F),"NA")</f>
        <v>NA</v>
      </c>
      <c r="E8" s="111" t="str">
        <f>IFERROR(AVERAGEIF('Outside Review Form Responses'!$E:$E,$A8,'Outside Review Form Responses'!G:G),"NA")</f>
        <v>NA</v>
      </c>
      <c r="F8" s="111" t="str">
        <f>IFERROR(AVERAGEIF('Outside Review Form Responses'!$E:$E,$A8,'Outside Review Form Responses'!H:H),"NA")</f>
        <v>NA</v>
      </c>
      <c r="G8" s="111" t="str">
        <f>IFERROR(AVERAGEIF('Outside Review Form Responses'!$E:$E,$A8,'Outside Review Form Responses'!I:I),"NA")</f>
        <v>NA</v>
      </c>
      <c r="H8" s="112">
        <v>23</v>
      </c>
    </row>
    <row r="9" spans="1:8">
      <c r="A9" s="239" t="s">
        <v>850</v>
      </c>
      <c r="B9" s="281" t="s">
        <v>694</v>
      </c>
      <c r="C9" s="110" t="str">
        <f>IF(COUNTIFS('Outside Review Form Responses'!$E:$E,$A9,'Outside Review Form Responses'!A:A,"&lt;&gt;")&gt;0, COUNTIFS('Outside Review Form Responses'!$E:$E,$A9,'Outside Review Form Responses'!A:A,"&lt;&gt;")&amp;" reviews", "NA")</f>
        <v>NA</v>
      </c>
      <c r="D9" s="111" t="str">
        <f>IFERROR(AVERAGEIF('Outside Review Form Responses'!$E:$E,$A9,'Outside Review Form Responses'!F:F),"NA")</f>
        <v>NA</v>
      </c>
      <c r="E9" s="111" t="str">
        <f>IFERROR(AVERAGEIF('Outside Review Form Responses'!$E:$E,$A9,'Outside Review Form Responses'!G:G),"NA")</f>
        <v>NA</v>
      </c>
      <c r="F9" s="111" t="str">
        <f>IFERROR(AVERAGEIF('Outside Review Form Responses'!$E:$E,$A9,'Outside Review Form Responses'!H:H),"NA")</f>
        <v>NA</v>
      </c>
      <c r="G9" s="111" t="str">
        <f>IFERROR(AVERAGEIF('Outside Review Form Responses'!$E:$E,$A9,'Outside Review Form Responses'!I:I),"NA")</f>
        <v>NA</v>
      </c>
      <c r="H9" s="112">
        <v>55</v>
      </c>
    </row>
    <row r="10" spans="1:8">
      <c r="A10" s="255" t="s">
        <v>851</v>
      </c>
      <c r="B10" s="272" t="s">
        <v>694</v>
      </c>
      <c r="C10" s="110" t="str">
        <f>IF(COUNTIFS('Outside Review Form Responses'!$E:$E,$A10,'Outside Review Form Responses'!A:A,"&lt;&gt;")&gt;0, COUNTIFS('Outside Review Form Responses'!$E:$E,$A10,'Outside Review Form Responses'!A:A,"&lt;&gt;")&amp;" reviews", "NA")</f>
        <v>3 reviews</v>
      </c>
      <c r="D10" s="111">
        <f>IFERROR(AVERAGEIF('Outside Review Form Responses'!$E:$E,$A10,'Outside Review Form Responses'!F:F),"NA")</f>
        <v>2.3333333333333335</v>
      </c>
      <c r="E10" s="111">
        <f>IFERROR(AVERAGEIF('Outside Review Form Responses'!$E:$E,$A10,'Outside Review Form Responses'!G:G),"NA")</f>
        <v>2.3333333333333335</v>
      </c>
      <c r="F10" s="111">
        <f>IFERROR(AVERAGEIF('Outside Review Form Responses'!$E:$E,$A10,'Outside Review Form Responses'!H:H),"NA")</f>
        <v>1</v>
      </c>
      <c r="G10" s="111">
        <f>IFERROR(AVERAGEIF('Outside Review Form Responses'!$E:$E,$A10,'Outside Review Form Responses'!I:I),"NA")</f>
        <v>46.666666666666664</v>
      </c>
      <c r="H10" s="112">
        <f>'MSEE Info'!D10</f>
        <v>18</v>
      </c>
    </row>
    <row r="11" spans="1:8">
      <c r="A11" s="232" t="s">
        <v>852</v>
      </c>
      <c r="B11" s="273" t="s">
        <v>694</v>
      </c>
      <c r="C11" s="110" t="str">
        <f>IF(COUNTIFS('Outside Review Form Responses'!$E:$E,$A11,'Outside Review Form Responses'!A:A,"&lt;&gt;")&gt;0, COUNTIFS('Outside Review Form Responses'!$E:$E,$A11,'Outside Review Form Responses'!A:A,"&lt;&gt;")&amp;" reviews", "NA")</f>
        <v>1 reviews</v>
      </c>
      <c r="D11" s="111">
        <f>IFERROR(AVERAGEIF('Outside Review Form Responses'!$E:$E,$A11,'Outside Review Form Responses'!F:F),"NA")</f>
        <v>5</v>
      </c>
      <c r="E11" s="111">
        <f>IFERROR(AVERAGEIF('Outside Review Form Responses'!$E:$E,$A11,'Outside Review Form Responses'!G:G),"NA")</f>
        <v>3</v>
      </c>
      <c r="F11" s="111">
        <f>IFERROR(AVERAGEIF('Outside Review Form Responses'!$E:$E,$A11,'Outside Review Form Responses'!H:H),"NA")</f>
        <v>4</v>
      </c>
      <c r="G11" s="111">
        <f>IFERROR(AVERAGEIF('Outside Review Form Responses'!$E:$E,$A11,'Outside Review Form Responses'!I:I),"NA")</f>
        <v>50</v>
      </c>
      <c r="H11" s="112">
        <f>'MSEE Info'!D11</f>
        <v>36</v>
      </c>
    </row>
    <row r="12" spans="1:8">
      <c r="A12" s="232" t="s">
        <v>853</v>
      </c>
      <c r="B12" s="273" t="s">
        <v>694</v>
      </c>
      <c r="C12" s="110" t="str">
        <f>IF(COUNTIFS('Outside Review Form Responses'!$E:$E,$A12,'Outside Review Form Responses'!A:A,"&lt;&gt;")&gt;0, COUNTIFS('Outside Review Form Responses'!$E:$E,$A12,'Outside Review Form Responses'!A:A,"&lt;&gt;")&amp;" reviews", "NA")</f>
        <v>1 reviews</v>
      </c>
      <c r="D12" s="111">
        <f>IFERROR(AVERAGEIF('Outside Review Form Responses'!$E:$E,$A12,'Outside Review Form Responses'!F:F),"NA")</f>
        <v>5</v>
      </c>
      <c r="E12" s="111">
        <f>IFERROR(AVERAGEIF('Outside Review Form Responses'!$E:$E,$A12,'Outside Review Form Responses'!G:G),"NA")</f>
        <v>1</v>
      </c>
      <c r="F12" s="111">
        <f>IFERROR(AVERAGEIF('Outside Review Form Responses'!$E:$E,$A12,'Outside Review Form Responses'!H:H),"NA")</f>
        <v>3</v>
      </c>
      <c r="G12" s="111">
        <f>IFERROR(AVERAGEIF('Outside Review Form Responses'!$E:$E,$A12,'Outside Review Form Responses'!I:I),"NA")</f>
        <v>8</v>
      </c>
      <c r="H12" s="112">
        <f>'MSEE Info'!D12</f>
        <v>10</v>
      </c>
    </row>
    <row r="13" spans="1:8">
      <c r="A13" s="262" t="s">
        <v>854</v>
      </c>
      <c r="B13" s="274" t="s">
        <v>694</v>
      </c>
      <c r="C13" s="110" t="str">
        <f>IF(COUNTIFS('Outside Review Form Responses'!$E:$E,$A13,'Outside Review Form Responses'!A:A,"&lt;&gt;")&gt;0, COUNTIFS('Outside Review Form Responses'!$E:$E,$A13,'Outside Review Form Responses'!A:A,"&lt;&gt;")&amp;" reviews", "NA")</f>
        <v>1 reviews</v>
      </c>
      <c r="D13" s="111">
        <f>IFERROR(AVERAGEIF('Outside Review Form Responses'!$E:$E,$A13,'Outside Review Form Responses'!F:F),"NA")</f>
        <v>4</v>
      </c>
      <c r="E13" s="111">
        <f>IFERROR(AVERAGEIF('Outside Review Form Responses'!$E:$E,$A13,'Outside Review Form Responses'!G:G),"NA")</f>
        <v>3</v>
      </c>
      <c r="F13" s="111">
        <f>IFERROR(AVERAGEIF('Outside Review Form Responses'!$E:$E,$A13,'Outside Review Form Responses'!H:H),"NA")</f>
        <v>3</v>
      </c>
      <c r="G13" s="111">
        <f>IFERROR(AVERAGEIF('Outside Review Form Responses'!$E:$E,$A13,'Outside Review Form Responses'!I:I),"NA")</f>
        <v>20</v>
      </c>
      <c r="H13" s="112">
        <f>'MSEE Info'!D13</f>
        <v>29</v>
      </c>
    </row>
    <row r="14" spans="1:8">
      <c r="A14" s="246" t="s">
        <v>855</v>
      </c>
      <c r="B14" s="280" t="s">
        <v>694</v>
      </c>
      <c r="C14" s="110" t="str">
        <f>IF(COUNTIFS('Outside Review Form Responses'!$E:$E,$A14,'Outside Review Form Responses'!A:A,"&lt;&gt;")&gt;0, COUNTIFS('Outside Review Form Responses'!$E:$E,$A14,'Outside Review Form Responses'!A:A,"&lt;&gt;")&amp;" reviews", "NA")</f>
        <v>2 reviews</v>
      </c>
      <c r="D14" s="111">
        <f>IFERROR(AVERAGEIF('Outside Review Form Responses'!$E:$E,$A14,'Outside Review Form Responses'!F:F),"NA")</f>
        <v>4</v>
      </c>
      <c r="E14" s="111">
        <f>IFERROR(AVERAGEIF('Outside Review Form Responses'!$E:$E,$A14,'Outside Review Form Responses'!G:G),"NA")</f>
        <v>1</v>
      </c>
      <c r="F14" s="111">
        <f>IFERROR(AVERAGEIF('Outside Review Form Responses'!$E:$E,$A14,'Outside Review Form Responses'!H:H),"NA")</f>
        <v>4</v>
      </c>
      <c r="G14" s="111">
        <f>IFERROR(AVERAGEIF('Outside Review Form Responses'!$E:$E,$A14,'Outside Review Form Responses'!I:I),"NA")</f>
        <v>15</v>
      </c>
      <c r="H14" s="112">
        <f>'MSEE Info'!D14</f>
        <v>21</v>
      </c>
    </row>
    <row r="15" spans="1:8">
      <c r="A15" s="232" t="s">
        <v>856</v>
      </c>
      <c r="B15" s="273" t="s">
        <v>694</v>
      </c>
      <c r="C15" s="110" t="str">
        <f>IF(COUNTIFS('Outside Review Form Responses'!$E:$E,$A15,'Outside Review Form Responses'!A:A,"&lt;&gt;")&gt;0, COUNTIFS('Outside Review Form Responses'!$E:$E,$A15,'Outside Review Form Responses'!A:A,"&lt;&gt;")&amp;" reviews", "NA")</f>
        <v>NA</v>
      </c>
      <c r="D15" s="111" t="str">
        <f>IFERROR(AVERAGEIF('Outside Review Form Responses'!$E:$E,$A15,'Outside Review Form Responses'!F:F),"NA")</f>
        <v>NA</v>
      </c>
      <c r="E15" s="111" t="str">
        <f>IFERROR(AVERAGEIF('Outside Review Form Responses'!$E:$E,$A15,'Outside Review Form Responses'!G:G),"NA")</f>
        <v>NA</v>
      </c>
      <c r="F15" s="111" t="str">
        <f>IFERROR(AVERAGEIF('Outside Review Form Responses'!$E:$E,$A15,'Outside Review Form Responses'!H:H),"NA")</f>
        <v>NA</v>
      </c>
      <c r="G15" s="111" t="str">
        <f>IFERROR(AVERAGEIF('Outside Review Form Responses'!$E:$E,$A15,'Outside Review Form Responses'!I:I),"NA")</f>
        <v>NA</v>
      </c>
      <c r="H15" s="112">
        <v>17</v>
      </c>
    </row>
    <row r="16" spans="1:8">
      <c r="A16" s="239" t="s">
        <v>857</v>
      </c>
      <c r="B16" s="281" t="s">
        <v>694</v>
      </c>
      <c r="C16" s="110" t="str">
        <f>IF(COUNTIFS('Outside Review Form Responses'!$E:$E,$A16,'Outside Review Form Responses'!A:A,"&lt;&gt;")&gt;0, COUNTIFS('Outside Review Form Responses'!$E:$E,$A16,'Outside Review Form Responses'!A:A,"&lt;&gt;")&amp;" reviews", "NA")</f>
        <v>1 reviews</v>
      </c>
      <c r="D16" s="111">
        <f>IFERROR(AVERAGEIF('Outside Review Form Responses'!$E:$E,$A16,'Outside Review Form Responses'!F:F),"NA")</f>
        <v>3</v>
      </c>
      <c r="E16" s="111">
        <f>IFERROR(AVERAGEIF('Outside Review Form Responses'!$E:$E,$A16,'Outside Review Form Responses'!G:G),"NA")</f>
        <v>1</v>
      </c>
      <c r="F16" s="111">
        <f>IFERROR(AVERAGEIF('Outside Review Form Responses'!$E:$E,$A16,'Outside Review Form Responses'!H:H),"NA")</f>
        <v>3</v>
      </c>
      <c r="G16" s="111">
        <f>IFERROR(AVERAGEIF('Outside Review Form Responses'!$E:$E,$A16,'Outside Review Form Responses'!I:I),"NA")</f>
        <v>5</v>
      </c>
      <c r="H16" s="112">
        <v>7</v>
      </c>
    </row>
    <row r="17" spans="1:8">
      <c r="A17" s="255" t="s">
        <v>858</v>
      </c>
      <c r="B17" s="272" t="s">
        <v>694</v>
      </c>
      <c r="C17" s="110" t="str">
        <f>IF(COUNTIFS('Outside Review Form Responses'!$E:$E,$A17,'Outside Review Form Responses'!A:A,"&lt;&gt;")&gt;0, COUNTIFS('Outside Review Form Responses'!$E:$E,$A17,'Outside Review Form Responses'!A:A,"&lt;&gt;")&amp;" reviews", "NA")</f>
        <v>NA</v>
      </c>
      <c r="D17" s="111" t="str">
        <f>IFERROR(AVERAGEIF('Outside Review Form Responses'!$E:$E,$A17,'Outside Review Form Responses'!F:F),"NA")</f>
        <v>NA</v>
      </c>
      <c r="E17" s="111" t="str">
        <f>IFERROR(AVERAGEIF('Outside Review Form Responses'!$E:$E,$A17,'Outside Review Form Responses'!G:G),"NA")</f>
        <v>NA</v>
      </c>
      <c r="F17" s="111" t="str">
        <f>IFERROR(AVERAGEIF('Outside Review Form Responses'!$E:$E,$A17,'Outside Review Form Responses'!H:H),"NA")</f>
        <v>NA</v>
      </c>
      <c r="G17" s="111" t="str">
        <f>IFERROR(AVERAGEIF('Outside Review Form Responses'!$E:$E,$A17,'Outside Review Form Responses'!I:I),"NA")</f>
        <v>NA</v>
      </c>
      <c r="H17" s="112">
        <f>'MSEE Info'!D17</f>
        <v>50</v>
      </c>
    </row>
    <row r="18" spans="1:8">
      <c r="A18" s="232" t="s">
        <v>859</v>
      </c>
      <c r="B18" s="273" t="s">
        <v>694</v>
      </c>
      <c r="C18" s="110" t="str">
        <f>IF(COUNTIFS('Outside Review Form Responses'!$E:$E,$A18,'Outside Review Form Responses'!A:A,"&lt;&gt;")&gt;0, COUNTIFS('Outside Review Form Responses'!$E:$E,$A18,'Outside Review Form Responses'!A:A,"&lt;&gt;")&amp;" reviews", "NA")</f>
        <v>NA</v>
      </c>
      <c r="D18" s="111" t="str">
        <f>IFERROR(AVERAGEIF('Outside Review Form Responses'!$E:$E,$A18,'Outside Review Form Responses'!F:F),"NA")</f>
        <v>NA</v>
      </c>
      <c r="E18" s="111" t="str">
        <f>IFERROR(AVERAGEIF('Outside Review Form Responses'!$E:$E,$A18,'Outside Review Form Responses'!G:G),"NA")</f>
        <v>NA</v>
      </c>
      <c r="F18" s="111" t="str">
        <f>IFERROR(AVERAGEIF('Outside Review Form Responses'!$E:$E,$A18,'Outside Review Form Responses'!H:H),"NA")</f>
        <v>NA</v>
      </c>
      <c r="G18" s="111" t="str">
        <f>IFERROR(AVERAGEIF('Outside Review Form Responses'!$E:$E,$A18,'Outside Review Form Responses'!I:I),"NA")</f>
        <v>NA</v>
      </c>
      <c r="H18" s="112">
        <v>60</v>
      </c>
    </row>
    <row r="19" spans="1:8">
      <c r="A19" s="232" t="s">
        <v>860</v>
      </c>
      <c r="B19" s="273" t="s">
        <v>694</v>
      </c>
      <c r="C19" s="110" t="str">
        <f>IF(COUNTIFS('Outside Review Form Responses'!$E:$E,$A19,'Outside Review Form Responses'!A:A,"&lt;&gt;")&gt;0, COUNTIFS('Outside Review Form Responses'!$E:$E,$A19,'Outside Review Form Responses'!A:A,"&lt;&gt;")&amp;" reviews", "NA")</f>
        <v>NA</v>
      </c>
      <c r="D19" s="111" t="str">
        <f>IFERROR(AVERAGEIF('Outside Review Form Responses'!$E:$E,$A19,'Outside Review Form Responses'!F:F),"NA")</f>
        <v>NA</v>
      </c>
      <c r="E19" s="111" t="str">
        <f>IFERROR(AVERAGEIF('Outside Review Form Responses'!$E:$E,$A19,'Outside Review Form Responses'!G:G),"NA")</f>
        <v>NA</v>
      </c>
      <c r="F19" s="111" t="str">
        <f>IFERROR(AVERAGEIF('Outside Review Form Responses'!$E:$E,$A19,'Outside Review Form Responses'!H:H),"NA")</f>
        <v>NA</v>
      </c>
      <c r="G19" s="111" t="str">
        <f>IFERROR(AVERAGEIF('Outside Review Form Responses'!$E:$E,$A19,'Outside Review Form Responses'!I:I),"NA")</f>
        <v>NA</v>
      </c>
      <c r="H19" s="112">
        <v>50</v>
      </c>
    </row>
    <row r="20" spans="1:8">
      <c r="A20" s="262" t="s">
        <v>861</v>
      </c>
      <c r="B20" s="274" t="s">
        <v>694</v>
      </c>
      <c r="C20" s="110" t="str">
        <f>IF(COUNTIFS('Outside Review Form Responses'!$E:$E,$A20,'Outside Review Form Responses'!A:A,"&lt;&gt;")&gt;0, COUNTIFS('Outside Review Form Responses'!$E:$E,$A20,'Outside Review Form Responses'!A:A,"&lt;&gt;")&amp;" reviews", "NA")</f>
        <v>NA</v>
      </c>
      <c r="D20" s="111" t="str">
        <f>IFERROR(AVERAGEIF('Outside Review Form Responses'!$E:$E,$A20,'Outside Review Form Responses'!F:F),"NA")</f>
        <v>NA</v>
      </c>
      <c r="E20" s="111" t="str">
        <f>IFERROR(AVERAGEIF('Outside Review Form Responses'!$E:$E,$A20,'Outside Review Form Responses'!G:G),"NA")</f>
        <v>NA</v>
      </c>
      <c r="F20" s="111" t="str">
        <f>IFERROR(AVERAGEIF('Outside Review Form Responses'!$E:$E,$A20,'Outside Review Form Responses'!H:H),"NA")</f>
        <v>NA</v>
      </c>
      <c r="G20" s="111" t="str">
        <f>IFERROR(AVERAGEIF('Outside Review Form Responses'!$E:$E,$A20,'Outside Review Form Responses'!I:I),"NA")</f>
        <v>NA</v>
      </c>
      <c r="H20" s="112">
        <v>48</v>
      </c>
    </row>
    <row r="21" spans="1:8">
      <c r="A21" s="246" t="s">
        <v>862</v>
      </c>
      <c r="B21" s="280" t="s">
        <v>694</v>
      </c>
      <c r="C21" s="110" t="str">
        <f>IF(COUNTIFS('Outside Review Form Responses'!$E:$E,$A21,'Outside Review Form Responses'!A:A,"&lt;&gt;")&gt;0, COUNTIFS('Outside Review Form Responses'!$E:$E,$A21,'Outside Review Form Responses'!A:A,"&lt;&gt;")&amp;" reviews", "NA")</f>
        <v>NA</v>
      </c>
      <c r="D21" s="111" t="str">
        <f>IFERROR(AVERAGEIF('Outside Review Form Responses'!$E:$E,$A21,'Outside Review Form Responses'!F:F),"NA")</f>
        <v>NA</v>
      </c>
      <c r="E21" s="111" t="str">
        <f>IFERROR(AVERAGEIF('Outside Review Form Responses'!$E:$E,$A21,'Outside Review Form Responses'!G:G),"NA")</f>
        <v>NA</v>
      </c>
      <c r="F21" s="111" t="str">
        <f>IFERROR(AVERAGEIF('Outside Review Form Responses'!$E:$E,$A21,'Outside Review Form Responses'!H:H),"NA")</f>
        <v>NA</v>
      </c>
      <c r="G21" s="111" t="str">
        <f>IFERROR(AVERAGEIF('Outside Review Form Responses'!$E:$E,$A21,'Outside Review Form Responses'!I:I),"NA")</f>
        <v>NA</v>
      </c>
      <c r="H21" s="112">
        <v>11</v>
      </c>
    </row>
    <row r="22" spans="1:8">
      <c r="A22" s="232" t="s">
        <v>863</v>
      </c>
      <c r="B22" s="273" t="s">
        <v>694</v>
      </c>
      <c r="C22" s="110" t="str">
        <f>IF(COUNTIFS('Outside Review Form Responses'!$E:$E,$A22,'Outside Review Form Responses'!A:A,"&lt;&gt;")&gt;0, COUNTIFS('Outside Review Form Responses'!$E:$E,$A22,'Outside Review Form Responses'!A:A,"&lt;&gt;")&amp;" reviews", "NA")</f>
        <v>NA</v>
      </c>
      <c r="D22" s="111" t="str">
        <f>IFERROR(AVERAGEIF('Outside Review Form Responses'!$E:$E,$A22,'Outside Review Form Responses'!F:F),"NA")</f>
        <v>NA</v>
      </c>
      <c r="E22" s="111" t="str">
        <f>IFERROR(AVERAGEIF('Outside Review Form Responses'!$E:$E,$A22,'Outside Review Form Responses'!G:G),"NA")</f>
        <v>NA</v>
      </c>
      <c r="F22" s="111" t="str">
        <f>IFERROR(AVERAGEIF('Outside Review Form Responses'!$E:$E,$A22,'Outside Review Form Responses'!H:H),"NA")</f>
        <v>NA</v>
      </c>
      <c r="G22" s="111" t="str">
        <f>IFERROR(AVERAGEIF('Outside Review Form Responses'!$E:$E,$A22,'Outside Review Form Responses'!I:I),"NA")</f>
        <v>NA</v>
      </c>
      <c r="H22" s="112">
        <v>10</v>
      </c>
    </row>
    <row r="23" spans="1:8">
      <c r="A23" s="239" t="s">
        <v>864</v>
      </c>
      <c r="B23" s="281" t="s">
        <v>694</v>
      </c>
      <c r="C23" s="110" t="str">
        <f>IF(COUNTIFS('Outside Review Form Responses'!$E:$E,$A23,'Outside Review Form Responses'!A:A,"&lt;&gt;")&gt;0, COUNTIFS('Outside Review Form Responses'!$E:$E,$A23,'Outside Review Form Responses'!A:A,"&lt;&gt;")&amp;" reviews", "NA")</f>
        <v>NA</v>
      </c>
      <c r="D23" s="111" t="str">
        <f>IFERROR(AVERAGEIF('Outside Review Form Responses'!$E:$E,$A23,'Outside Review Form Responses'!F:F),"NA")</f>
        <v>NA</v>
      </c>
      <c r="E23" s="111" t="str">
        <f>IFERROR(AVERAGEIF('Outside Review Form Responses'!$E:$E,$A23,'Outside Review Form Responses'!G:G),"NA")</f>
        <v>NA</v>
      </c>
      <c r="F23" s="111" t="str">
        <f>IFERROR(AVERAGEIF('Outside Review Form Responses'!$E:$E,$A23,'Outside Review Form Responses'!H:H),"NA")</f>
        <v>NA</v>
      </c>
      <c r="G23" s="111" t="str">
        <f>IFERROR(AVERAGEIF('Outside Review Form Responses'!$E:$E,$A23,'Outside Review Form Responses'!I:I),"NA")</f>
        <v>NA</v>
      </c>
      <c r="H23" s="112">
        <v>8</v>
      </c>
    </row>
    <row r="24" spans="1:8">
      <c r="A24" s="255" t="s">
        <v>865</v>
      </c>
      <c r="B24" s="272" t="s">
        <v>694</v>
      </c>
      <c r="C24" s="110" t="str">
        <f>IF(COUNTIFS('Outside Review Form Responses'!$E:$E,$A24,'Outside Review Form Responses'!A:A,"&lt;&gt;")&gt;0, COUNTIFS('Outside Review Form Responses'!$E:$E,$A24,'Outside Review Form Responses'!A:A,"&lt;&gt;")&amp;" reviews", "NA")</f>
        <v>NA</v>
      </c>
      <c r="D24" s="111" t="str">
        <f>IFERROR(AVERAGEIF('Outside Review Form Responses'!$E:$E,$A24,'Outside Review Form Responses'!F:F),"NA")</f>
        <v>NA</v>
      </c>
      <c r="E24" s="111" t="str">
        <f>IFERROR(AVERAGEIF('Outside Review Form Responses'!$E:$E,$A24,'Outside Review Form Responses'!G:G),"NA")</f>
        <v>NA</v>
      </c>
      <c r="F24" s="111" t="str">
        <f>IFERROR(AVERAGEIF('Outside Review Form Responses'!$E:$E,$A24,'Outside Review Form Responses'!H:H),"NA")</f>
        <v>NA</v>
      </c>
      <c r="G24" s="111" t="str">
        <f>IFERROR(AVERAGEIF('Outside Review Form Responses'!$E:$E,$A24,'Outside Review Form Responses'!I:I),"NA")</f>
        <v>NA</v>
      </c>
      <c r="H24" s="112">
        <v>19</v>
      </c>
    </row>
    <row r="25" spans="1:8">
      <c r="A25" s="232" t="s">
        <v>866</v>
      </c>
      <c r="B25" s="273" t="s">
        <v>694</v>
      </c>
      <c r="C25" s="110" t="str">
        <f>IF(COUNTIFS('Outside Review Form Responses'!$E:$E,$A25,'Outside Review Form Responses'!A:A,"&lt;&gt;")&gt;0, COUNTIFS('Outside Review Form Responses'!$E:$E,$A25,'Outside Review Form Responses'!A:A,"&lt;&gt;")&amp;" reviews", "NA")</f>
        <v>NA</v>
      </c>
      <c r="D25" s="111" t="str">
        <f>IFERROR(AVERAGEIF('Outside Review Form Responses'!$E:$E,$A25,'Outside Review Form Responses'!F:F),"NA")</f>
        <v>NA</v>
      </c>
      <c r="E25" s="111" t="str">
        <f>IFERROR(AVERAGEIF('Outside Review Form Responses'!$E:$E,$A25,'Outside Review Form Responses'!G:G),"NA")</f>
        <v>NA</v>
      </c>
      <c r="F25" s="111" t="str">
        <f>IFERROR(AVERAGEIF('Outside Review Form Responses'!$E:$E,$A25,'Outside Review Form Responses'!H:H),"NA")</f>
        <v>NA</v>
      </c>
      <c r="G25" s="111" t="str">
        <f>IFERROR(AVERAGEIF('Outside Review Form Responses'!$E:$E,$A25,'Outside Review Form Responses'!I:I),"NA")</f>
        <v>NA</v>
      </c>
      <c r="H25" s="112">
        <v>24</v>
      </c>
    </row>
    <row r="26" spans="1:8">
      <c r="A26" s="262" t="s">
        <v>867</v>
      </c>
      <c r="B26" s="274" t="s">
        <v>694</v>
      </c>
      <c r="C26" s="110" t="str">
        <f>IF(COUNTIFS('Outside Review Form Responses'!$E:$E,$A26,'Outside Review Form Responses'!A:A,"&lt;&gt;")&gt;0, COUNTIFS('Outside Review Form Responses'!$E:$E,$A26,'Outside Review Form Responses'!A:A,"&lt;&gt;")&amp;" reviews", "NA")</f>
        <v>NA</v>
      </c>
      <c r="D26" s="111" t="str">
        <f>IFERROR(AVERAGEIF('Outside Review Form Responses'!$E:$E,$A26,'Outside Review Form Responses'!F:F),"NA")</f>
        <v>NA</v>
      </c>
      <c r="E26" s="111" t="str">
        <f>IFERROR(AVERAGEIF('Outside Review Form Responses'!$E:$E,$A26,'Outside Review Form Responses'!G:G),"NA")</f>
        <v>NA</v>
      </c>
      <c r="F26" s="111" t="str">
        <f>IFERROR(AVERAGEIF('Outside Review Form Responses'!$E:$E,$A26,'Outside Review Form Responses'!H:H),"NA")</f>
        <v>NA</v>
      </c>
      <c r="G26" s="111" t="str">
        <f>IFERROR(AVERAGEIF('Outside Review Form Responses'!$E:$E,$A26,'Outside Review Form Responses'!I:I),"NA")</f>
        <v>NA</v>
      </c>
      <c r="H26" s="112">
        <f>'MSEE Info'!D26</f>
        <v>0</v>
      </c>
    </row>
    <row r="27" spans="1:8">
      <c r="A27" s="246" t="s">
        <v>868</v>
      </c>
      <c r="B27" s="280" t="s">
        <v>694</v>
      </c>
      <c r="C27" s="110" t="str">
        <f>IF(COUNTIFS('Outside Review Form Responses'!$E:$E,$A27,'Outside Review Form Responses'!A:A,"&lt;&gt;")&gt;0, COUNTIFS('Outside Review Form Responses'!$E:$E,$A27,'Outside Review Form Responses'!A:A,"&lt;&gt;")&amp;" reviews", "NA")</f>
        <v>NA</v>
      </c>
      <c r="D27" s="111" t="str">
        <f>IFERROR(AVERAGEIF('Outside Review Form Responses'!$E:$E,$A27,'Outside Review Form Responses'!F:F),"NA")</f>
        <v>NA</v>
      </c>
      <c r="E27" s="111" t="str">
        <f>IFERROR(AVERAGEIF('Outside Review Form Responses'!$E:$E,$A27,'Outside Review Form Responses'!G:G),"NA")</f>
        <v>NA</v>
      </c>
      <c r="F27" s="111" t="str">
        <f>IFERROR(AVERAGEIF('Outside Review Form Responses'!$E:$E,$A27,'Outside Review Form Responses'!H:H),"NA")</f>
        <v>NA</v>
      </c>
      <c r="G27" s="111" t="str">
        <f>IFERROR(AVERAGEIF('Outside Review Form Responses'!$E:$E,$A27,'Outside Review Form Responses'!I:I),"NA")</f>
        <v>NA</v>
      </c>
      <c r="H27" s="112">
        <v>40</v>
      </c>
    </row>
    <row r="28" spans="1:8">
      <c r="A28" s="232" t="s">
        <v>869</v>
      </c>
      <c r="B28" s="273" t="s">
        <v>694</v>
      </c>
      <c r="C28" s="110" t="str">
        <f>IF(COUNTIFS('Outside Review Form Responses'!$E:$E,$A28,'Outside Review Form Responses'!A:A,"&lt;&gt;")&gt;0, COUNTIFS('Outside Review Form Responses'!$E:$E,$A28,'Outside Review Form Responses'!A:A,"&lt;&gt;")&amp;" reviews", "NA")</f>
        <v>NA</v>
      </c>
      <c r="D28" s="111" t="str">
        <f>IFERROR(AVERAGEIF('Outside Review Form Responses'!$E:$E,$A28,'Outside Review Form Responses'!F:F),"NA")</f>
        <v>NA</v>
      </c>
      <c r="E28" s="111" t="str">
        <f>IFERROR(AVERAGEIF('Outside Review Form Responses'!$E:$E,$A28,'Outside Review Form Responses'!G:G),"NA")</f>
        <v>NA</v>
      </c>
      <c r="F28" s="111" t="str">
        <f>IFERROR(AVERAGEIF('Outside Review Form Responses'!$E:$E,$A28,'Outside Review Form Responses'!H:H),"NA")</f>
        <v>NA</v>
      </c>
      <c r="G28" s="111" t="str">
        <f>IFERROR(AVERAGEIF('Outside Review Form Responses'!$E:$E,$A28,'Outside Review Form Responses'!I:I),"NA")</f>
        <v>NA</v>
      </c>
      <c r="H28" s="112">
        <v>30</v>
      </c>
    </row>
    <row r="29" spans="1:8">
      <c r="A29" s="239" t="s">
        <v>870</v>
      </c>
      <c r="B29" s="281" t="s">
        <v>694</v>
      </c>
      <c r="C29" s="110" t="str">
        <f>IF(COUNTIFS('Outside Review Form Responses'!$E:$E,$A29,'Outside Review Form Responses'!A:A,"&lt;&gt;")&gt;0, COUNTIFS('Outside Review Form Responses'!$E:$E,$A29,'Outside Review Form Responses'!A:A,"&lt;&gt;")&amp;" reviews", "NA")</f>
        <v>NA</v>
      </c>
      <c r="D29" s="111" t="str">
        <f>IFERROR(AVERAGEIF('Outside Review Form Responses'!$E:$E,$A29,'Outside Review Form Responses'!F:F),"NA")</f>
        <v>NA</v>
      </c>
      <c r="E29" s="111" t="str">
        <f>IFERROR(AVERAGEIF('Outside Review Form Responses'!$E:$E,$A29,'Outside Review Form Responses'!G:G),"NA")</f>
        <v>NA</v>
      </c>
      <c r="F29" s="111" t="str">
        <f>IFERROR(AVERAGEIF('Outside Review Form Responses'!$E:$E,$A29,'Outside Review Form Responses'!H:H),"NA")</f>
        <v>NA</v>
      </c>
      <c r="G29" s="111" t="str">
        <f>IFERROR(AVERAGEIF('Outside Review Form Responses'!$E:$E,$A29,'Outside Review Form Responses'!I:I),"NA")</f>
        <v>NA</v>
      </c>
      <c r="H29" s="112">
        <f>'MSEE Info'!D29</f>
        <v>0</v>
      </c>
    </row>
    <row r="30" spans="1:8">
      <c r="A30" s="255" t="s">
        <v>871</v>
      </c>
      <c r="B30" s="272" t="s">
        <v>774</v>
      </c>
      <c r="C30" s="110" t="str">
        <f>IF(COUNTIFS('Outside Review Form Responses'!$E:$E,$A30,'Outside Review Form Responses'!A:A,"&lt;&gt;")&gt;0, COUNTIFS('Outside Review Form Responses'!$E:$E,$A30,'Outside Review Form Responses'!A:A,"&lt;&gt;")&amp;" reviews", "NA")</f>
        <v>5 reviews</v>
      </c>
      <c r="D30" s="111">
        <f>IFERROR(AVERAGEIF('Outside Review Form Responses'!$E:$E,$A30,'Outside Review Form Responses'!F:F),"NA")</f>
        <v>4.5999999999999996</v>
      </c>
      <c r="E30" s="111">
        <f>IFERROR(AVERAGEIF('Outside Review Form Responses'!$E:$E,$A30,'Outside Review Form Responses'!G:G),"NA")</f>
        <v>3</v>
      </c>
      <c r="F30" s="111">
        <f>IFERROR(AVERAGEIF('Outside Review Form Responses'!$E:$E,$A30,'Outside Review Form Responses'!H:H),"NA")</f>
        <v>4.4000000000000004</v>
      </c>
      <c r="G30" s="111">
        <f>IFERROR(AVERAGEIF('Outside Review Form Responses'!$E:$E,$A30,'Outside Review Form Responses'!I:I),"NA")</f>
        <v>33</v>
      </c>
      <c r="H30" s="112">
        <v>11</v>
      </c>
    </row>
    <row r="31" spans="1:8">
      <c r="A31" s="232" t="s">
        <v>872</v>
      </c>
      <c r="B31" s="273" t="s">
        <v>774</v>
      </c>
      <c r="C31" s="110" t="str">
        <f>IF(COUNTIFS('Outside Review Form Responses'!$E:$E,$A31,'Outside Review Form Responses'!A:A,"&lt;&gt;")&gt;0, COUNTIFS('Outside Review Form Responses'!$E:$E,$A31,'Outside Review Form Responses'!A:A,"&lt;&gt;")&amp;" reviews", "NA")</f>
        <v>NA</v>
      </c>
      <c r="D31" s="111" t="str">
        <f>IFERROR(AVERAGEIF('Outside Review Form Responses'!$E:$E,$A31,'Outside Review Form Responses'!F:F),"NA")</f>
        <v>NA</v>
      </c>
      <c r="E31" s="111" t="str">
        <f>IFERROR(AVERAGEIF('Outside Review Form Responses'!$E:$E,$A31,'Outside Review Form Responses'!G:G),"NA")</f>
        <v>NA</v>
      </c>
      <c r="F31" s="111" t="str">
        <f>IFERROR(AVERAGEIF('Outside Review Form Responses'!$E:$E,$A31,'Outside Review Form Responses'!H:H),"NA")</f>
        <v>NA</v>
      </c>
      <c r="G31" s="111" t="str">
        <f>IFERROR(AVERAGEIF('Outside Review Form Responses'!$E:$E,$A31,'Outside Review Form Responses'!I:I),"NA")</f>
        <v>NA</v>
      </c>
      <c r="H31" s="112">
        <f>'MSEE Info'!D31</f>
        <v>18</v>
      </c>
    </row>
    <row r="32" spans="1:8">
      <c r="A32" s="232" t="s">
        <v>873</v>
      </c>
      <c r="B32" s="273" t="s">
        <v>774</v>
      </c>
      <c r="C32" s="110" t="str">
        <f>IF(COUNTIFS('Outside Review Form Responses'!$E:$E,$A32,'Outside Review Form Responses'!A:A,"&lt;&gt;")&gt;0, COUNTIFS('Outside Review Form Responses'!$E:$E,$A32,'Outside Review Form Responses'!A:A,"&lt;&gt;")&amp;" reviews", "NA")</f>
        <v>2 reviews</v>
      </c>
      <c r="D32" s="111">
        <f>IFERROR(AVERAGEIF('Outside Review Form Responses'!$E:$E,$A32,'Outside Review Form Responses'!F:F),"NA")</f>
        <v>5</v>
      </c>
      <c r="E32" s="111">
        <f>IFERROR(AVERAGEIF('Outside Review Form Responses'!$E:$E,$A32,'Outside Review Form Responses'!G:G),"NA")</f>
        <v>3.5</v>
      </c>
      <c r="F32" s="111">
        <f>IFERROR(AVERAGEIF('Outside Review Form Responses'!$E:$E,$A32,'Outside Review Form Responses'!H:H),"NA")</f>
        <v>5</v>
      </c>
      <c r="G32" s="111">
        <f>IFERROR(AVERAGEIF('Outside Review Form Responses'!$E:$E,$A32,'Outside Review Form Responses'!I:I),"NA")</f>
        <v>30</v>
      </c>
      <c r="H32" s="112">
        <f>'MSEE Info'!D32</f>
        <v>19</v>
      </c>
    </row>
    <row r="33" spans="1:8">
      <c r="A33" s="262" t="s">
        <v>874</v>
      </c>
      <c r="B33" s="274" t="s">
        <v>774</v>
      </c>
      <c r="C33" s="110" t="str">
        <f>IF(COUNTIFS('Outside Review Form Responses'!$E:$E,$A33,'Outside Review Form Responses'!A:A,"&lt;&gt;")&gt;0, COUNTIFS('Outside Review Form Responses'!$E:$E,$A33,'Outside Review Form Responses'!A:A,"&lt;&gt;")&amp;" reviews", "NA")</f>
        <v>NA</v>
      </c>
      <c r="D33" s="111" t="str">
        <f>IFERROR(AVERAGEIF('Outside Review Form Responses'!$E:$E,$A33,'Outside Review Form Responses'!F:F),"NA")</f>
        <v>NA</v>
      </c>
      <c r="E33" s="111" t="str">
        <f>IFERROR(AVERAGEIF('Outside Review Form Responses'!$E:$E,$A33,'Outside Review Form Responses'!G:G),"NA")</f>
        <v>NA</v>
      </c>
      <c r="F33" s="111" t="str">
        <f>IFERROR(AVERAGEIF('Outside Review Form Responses'!$E:$E,$A33,'Outside Review Form Responses'!H:H),"NA")</f>
        <v>NA</v>
      </c>
      <c r="G33" s="111" t="str">
        <f>IFERROR(AVERAGEIF('Outside Review Form Responses'!$E:$E,$A33,'Outside Review Form Responses'!I:I),"NA")</f>
        <v>NA</v>
      </c>
      <c r="H33" s="112">
        <f>'MSEE Info'!D33</f>
        <v>17</v>
      </c>
    </row>
    <row r="34" spans="1:8">
      <c r="A34" s="246" t="s">
        <v>875</v>
      </c>
      <c r="B34" s="280" t="s">
        <v>774</v>
      </c>
      <c r="C34" s="110" t="str">
        <f>IF(COUNTIFS('Outside Review Form Responses'!$E:$E,$A34,'Outside Review Form Responses'!A:A,"&lt;&gt;")&gt;0, COUNTIFS('Outside Review Form Responses'!$E:$E,$A34,'Outside Review Form Responses'!A:A,"&lt;&gt;")&amp;" reviews", "NA")</f>
        <v>1 reviews</v>
      </c>
      <c r="D34" s="111">
        <f>IFERROR(AVERAGEIF('Outside Review Form Responses'!$E:$E,$A34,'Outside Review Form Responses'!F:F),"NA")</f>
        <v>5</v>
      </c>
      <c r="E34" s="111">
        <f>IFERROR(AVERAGEIF('Outside Review Form Responses'!$E:$E,$A34,'Outside Review Form Responses'!G:G),"NA")</f>
        <v>4</v>
      </c>
      <c r="F34" s="111">
        <f>IFERROR(AVERAGEIF('Outside Review Form Responses'!$E:$E,$A34,'Outside Review Form Responses'!H:H),"NA")</f>
        <v>5</v>
      </c>
      <c r="G34" s="111">
        <f>IFERROR(AVERAGEIF('Outside Review Form Responses'!$E:$E,$A34,'Outside Review Form Responses'!I:I),"NA")</f>
        <v>24</v>
      </c>
      <c r="H34" s="112">
        <f>'MSEE Info'!D34</f>
        <v>0</v>
      </c>
    </row>
    <row r="35" spans="1:8">
      <c r="A35" s="232" t="s">
        <v>876</v>
      </c>
      <c r="B35" s="273" t="s">
        <v>774</v>
      </c>
      <c r="C35" s="110" t="str">
        <f>IF(COUNTIFS('Outside Review Form Responses'!$E:$E,$A35,'Outside Review Form Responses'!A:A,"&lt;&gt;")&gt;0, COUNTIFS('Outside Review Form Responses'!$E:$E,$A35,'Outside Review Form Responses'!A:A,"&lt;&gt;")&amp;" reviews", "NA")</f>
        <v>1 reviews</v>
      </c>
      <c r="D35" s="111">
        <f>IFERROR(AVERAGEIF('Outside Review Form Responses'!$E:$E,$A35,'Outside Review Form Responses'!F:F),"NA")</f>
        <v>5</v>
      </c>
      <c r="E35" s="111">
        <f>IFERROR(AVERAGEIF('Outside Review Form Responses'!$E:$E,$A35,'Outside Review Form Responses'!G:G),"NA")</f>
        <v>3</v>
      </c>
      <c r="F35" s="111">
        <f>IFERROR(AVERAGEIF('Outside Review Form Responses'!$E:$E,$A35,'Outside Review Form Responses'!H:H),"NA")</f>
        <v>5</v>
      </c>
      <c r="G35" s="111">
        <f>IFERROR(AVERAGEIF('Outside Review Form Responses'!$E:$E,$A35,'Outside Review Form Responses'!I:I),"NA")</f>
        <v>16</v>
      </c>
      <c r="H35" s="112">
        <f>'MSEE Info'!D35</f>
        <v>0</v>
      </c>
    </row>
    <row r="36" spans="1:8">
      <c r="A36" s="232" t="s">
        <v>877</v>
      </c>
      <c r="B36" s="273" t="s">
        <v>774</v>
      </c>
      <c r="C36" s="110" t="str">
        <f>IF(COUNTIFS('Outside Review Form Responses'!$E:$E,$A36,'Outside Review Form Responses'!A:A,"&lt;&gt;")&gt;0, COUNTIFS('Outside Review Form Responses'!$E:$E,$A36,'Outside Review Form Responses'!A:A,"&lt;&gt;")&amp;" reviews", "NA")</f>
        <v>1 reviews</v>
      </c>
      <c r="D36" s="111">
        <f>IFERROR(AVERAGEIF('Outside Review Form Responses'!$E:$E,$A36,'Outside Review Form Responses'!F:F),"NA")</f>
        <v>5</v>
      </c>
      <c r="E36" s="111">
        <f>IFERROR(AVERAGEIF('Outside Review Form Responses'!$E:$E,$A36,'Outside Review Form Responses'!G:G),"NA")</f>
        <v>3</v>
      </c>
      <c r="F36" s="111">
        <f>IFERROR(AVERAGEIF('Outside Review Form Responses'!$E:$E,$A36,'Outside Review Form Responses'!H:H),"NA")</f>
        <v>5</v>
      </c>
      <c r="G36" s="111">
        <f>IFERROR(AVERAGEIF('Outside Review Form Responses'!$E:$E,$A36,'Outside Review Form Responses'!I:I),"NA")</f>
        <v>16</v>
      </c>
      <c r="H36" s="112">
        <f>'MSEE Info'!D36</f>
        <v>0</v>
      </c>
    </row>
    <row r="37" spans="1:8">
      <c r="A37" s="232" t="s">
        <v>878</v>
      </c>
      <c r="B37" s="273" t="s">
        <v>774</v>
      </c>
      <c r="C37" s="110" t="str">
        <f>IF(COUNTIFS('Outside Review Form Responses'!$E:$E,$A37,'Outside Review Form Responses'!A:A,"&lt;&gt;")&gt;0, COUNTIFS('Outside Review Form Responses'!$E:$E,$A37,'Outside Review Form Responses'!A:A,"&lt;&gt;")&amp;" reviews", "NA")</f>
        <v>NA</v>
      </c>
      <c r="D37" s="111" t="str">
        <f>IFERROR(AVERAGEIF('Outside Review Form Responses'!$E:$E,$A37,'Outside Review Form Responses'!F:F),"NA")</f>
        <v>NA</v>
      </c>
      <c r="E37" s="111" t="str">
        <f>IFERROR(AVERAGEIF('Outside Review Form Responses'!$E:$E,$A37,'Outside Review Form Responses'!G:G),"NA")</f>
        <v>NA</v>
      </c>
      <c r="F37" s="111" t="str">
        <f>IFERROR(AVERAGEIF('Outside Review Form Responses'!$E:$E,$A37,'Outside Review Form Responses'!H:H),"NA")</f>
        <v>NA</v>
      </c>
      <c r="G37" s="111" t="str">
        <f>IFERROR(AVERAGEIF('Outside Review Form Responses'!$E:$E,$A37,'Outside Review Form Responses'!I:I),"NA")</f>
        <v>NA</v>
      </c>
      <c r="H37" s="112">
        <f>'MSEE Info'!D37</f>
        <v>0</v>
      </c>
    </row>
    <row r="38" spans="1:8">
      <c r="A38" s="239" t="s">
        <v>879</v>
      </c>
      <c r="B38" s="281" t="s">
        <v>774</v>
      </c>
      <c r="C38" s="110" t="str">
        <f>IF(COUNTIFS('Outside Review Form Responses'!$E:$E,$A38,'Outside Review Form Responses'!A:A,"&lt;&gt;")&gt;0, COUNTIFS('Outside Review Form Responses'!$E:$E,$A38,'Outside Review Form Responses'!A:A,"&lt;&gt;")&amp;" reviews", "NA")</f>
        <v>NA</v>
      </c>
      <c r="D38" s="111" t="str">
        <f>IFERROR(AVERAGEIF('Outside Review Form Responses'!$E:$E,$A38,'Outside Review Form Responses'!F:F),"NA")</f>
        <v>NA</v>
      </c>
      <c r="E38" s="111" t="str">
        <f>IFERROR(AVERAGEIF('Outside Review Form Responses'!$E:$E,$A38,'Outside Review Form Responses'!G:G),"NA")</f>
        <v>NA</v>
      </c>
      <c r="F38" s="111" t="str">
        <f>IFERROR(AVERAGEIF('Outside Review Form Responses'!$E:$E,$A38,'Outside Review Form Responses'!H:H),"NA")</f>
        <v>NA</v>
      </c>
      <c r="G38" s="111" t="str">
        <f>IFERROR(AVERAGEIF('Outside Review Form Responses'!$E:$E,$A38,'Outside Review Form Responses'!I:I),"NA")</f>
        <v>NA</v>
      </c>
      <c r="H38" s="112">
        <f>'MSEE Info'!D38</f>
        <v>0</v>
      </c>
    </row>
    <row r="39" spans="1:8">
      <c r="A39" s="283" t="s">
        <v>880</v>
      </c>
      <c r="B39" s="284" t="s">
        <v>774</v>
      </c>
      <c r="C39" s="110" t="str">
        <f>IF(COUNTIFS('Outside Review Form Responses'!$E:$E,$A39,'Outside Review Form Responses'!A:A,"&lt;&gt;")&gt;0, COUNTIFS('Outside Review Form Responses'!$E:$E,$A39,'Outside Review Form Responses'!A:A,"&lt;&gt;")&amp;" reviews", "NA")</f>
        <v>NA</v>
      </c>
      <c r="D39" s="111" t="str">
        <f>IFERROR(AVERAGEIF('Outside Review Form Responses'!$E:$E,$A39,'Outside Review Form Responses'!F:F),"NA")</f>
        <v>NA</v>
      </c>
      <c r="E39" s="111" t="str">
        <f>IFERROR(AVERAGEIF('Outside Review Form Responses'!$E:$E,$A39,'Outside Review Form Responses'!G:G),"NA")</f>
        <v>NA</v>
      </c>
      <c r="F39" s="111" t="str">
        <f>IFERROR(AVERAGEIF('Outside Review Form Responses'!$E:$E,$A39,'Outside Review Form Responses'!H:H),"NA")</f>
        <v>NA</v>
      </c>
      <c r="G39" s="111" t="str">
        <f>IFERROR(AVERAGEIF('Outside Review Form Responses'!$E:$E,$A39,'Outside Review Form Responses'!I:I),"NA")</f>
        <v>NA</v>
      </c>
      <c r="H39" s="112">
        <f>'MSEE Info'!D39</f>
        <v>0</v>
      </c>
    </row>
    <row r="40" spans="1:8">
      <c r="A40" s="246" t="s">
        <v>881</v>
      </c>
      <c r="B40" s="280" t="s">
        <v>774</v>
      </c>
      <c r="C40" s="110" t="str">
        <f>IF(COUNTIFS('Outside Review Form Responses'!$E:$E,$A40,'Outside Review Form Responses'!A:A,"&lt;&gt;")&gt;0, COUNTIFS('Outside Review Form Responses'!$E:$E,$A40,'Outside Review Form Responses'!A:A,"&lt;&gt;")&amp;" reviews", "NA")</f>
        <v>1 reviews</v>
      </c>
      <c r="D40" s="111">
        <f>IFERROR(AVERAGEIF('Outside Review Form Responses'!$E:$E,$A40,'Outside Review Form Responses'!F:F),"NA")</f>
        <v>5</v>
      </c>
      <c r="E40" s="111">
        <f>IFERROR(AVERAGEIF('Outside Review Form Responses'!$E:$E,$A40,'Outside Review Form Responses'!G:G),"NA")</f>
        <v>3</v>
      </c>
      <c r="F40" s="111">
        <f>IFERROR(AVERAGEIF('Outside Review Form Responses'!$E:$E,$A40,'Outside Review Form Responses'!H:H),"NA")</f>
        <v>5</v>
      </c>
      <c r="G40" s="111">
        <f>IFERROR(AVERAGEIF('Outside Review Form Responses'!$E:$E,$A40,'Outside Review Form Responses'!I:I),"NA")</f>
        <v>25</v>
      </c>
      <c r="H40" s="112">
        <f>'MSEE Info'!D40</f>
        <v>0</v>
      </c>
    </row>
    <row r="41" spans="1:8">
      <c r="A41" s="232" t="s">
        <v>882</v>
      </c>
      <c r="B41" s="273" t="s">
        <v>774</v>
      </c>
      <c r="C41" s="110" t="str">
        <f>IF(COUNTIFS('Outside Review Form Responses'!$E:$E,$A41,'Outside Review Form Responses'!A:A,"&lt;&gt;")&gt;0, COUNTIFS('Outside Review Form Responses'!$E:$E,$A41,'Outside Review Form Responses'!A:A,"&lt;&gt;")&amp;" reviews", "NA")</f>
        <v>NA</v>
      </c>
      <c r="D41" s="111" t="str">
        <f>IFERROR(AVERAGEIF('Outside Review Form Responses'!$E:$E,$A41,'Outside Review Form Responses'!F:F),"NA")</f>
        <v>NA</v>
      </c>
      <c r="E41" s="111" t="str">
        <f>IFERROR(AVERAGEIF('Outside Review Form Responses'!$E:$E,$A41,'Outside Review Form Responses'!G:G),"NA")</f>
        <v>NA</v>
      </c>
      <c r="F41" s="111" t="str">
        <f>IFERROR(AVERAGEIF('Outside Review Form Responses'!$E:$E,$A41,'Outside Review Form Responses'!H:H),"NA")</f>
        <v>NA</v>
      </c>
      <c r="G41" s="111" t="str">
        <f>IFERROR(AVERAGEIF('Outside Review Form Responses'!$E:$E,$A41,'Outside Review Form Responses'!I:I),"NA")</f>
        <v>NA</v>
      </c>
      <c r="H41" s="112">
        <f>'MSEE Info'!D41</f>
        <v>0</v>
      </c>
    </row>
    <row r="42" spans="1:8">
      <c r="A42" s="232" t="s">
        <v>883</v>
      </c>
      <c r="B42" s="273" t="s">
        <v>774</v>
      </c>
      <c r="C42" s="110" t="str">
        <f>IF(COUNTIFS('Outside Review Form Responses'!$E:$E,$A42,'Outside Review Form Responses'!A:A,"&lt;&gt;")&gt;0, COUNTIFS('Outside Review Form Responses'!$E:$E,$A42,'Outside Review Form Responses'!A:A,"&lt;&gt;")&amp;" reviews", "NA")</f>
        <v>NA</v>
      </c>
      <c r="D42" s="111" t="str">
        <f>IFERROR(AVERAGEIF('Outside Review Form Responses'!$E:$E,$A42,'Outside Review Form Responses'!F:F),"NA")</f>
        <v>NA</v>
      </c>
      <c r="E42" s="111" t="str">
        <f>IFERROR(AVERAGEIF('Outside Review Form Responses'!$E:$E,$A42,'Outside Review Form Responses'!G:G),"NA")</f>
        <v>NA</v>
      </c>
      <c r="F42" s="111" t="str">
        <f>IFERROR(AVERAGEIF('Outside Review Form Responses'!$E:$E,$A42,'Outside Review Form Responses'!H:H),"NA")</f>
        <v>NA</v>
      </c>
      <c r="G42" s="111" t="str">
        <f>IFERROR(AVERAGEIF('Outside Review Form Responses'!$E:$E,$A42,'Outside Review Form Responses'!I:I),"NA")</f>
        <v>NA</v>
      </c>
      <c r="H42" s="112">
        <f>'MSEE Info'!D42</f>
        <v>0</v>
      </c>
    </row>
    <row r="43" spans="1:8">
      <c r="A43" s="232" t="s">
        <v>884</v>
      </c>
      <c r="B43" s="273" t="s">
        <v>774</v>
      </c>
      <c r="C43" s="110" t="str">
        <f>IF(COUNTIFS('Outside Review Form Responses'!$E:$E,$A43,'Outside Review Form Responses'!A:A,"&lt;&gt;")&gt;0, COUNTIFS('Outside Review Form Responses'!$E:$E,$A43,'Outside Review Form Responses'!A:A,"&lt;&gt;")&amp;" reviews", "NA")</f>
        <v>NA</v>
      </c>
      <c r="D43" s="111" t="str">
        <f>IFERROR(AVERAGEIF('Outside Review Form Responses'!$E:$E,$A43,'Outside Review Form Responses'!F:F),"NA")</f>
        <v>NA</v>
      </c>
      <c r="E43" s="111" t="str">
        <f>IFERROR(AVERAGEIF('Outside Review Form Responses'!$E:$E,$A43,'Outside Review Form Responses'!G:G),"NA")</f>
        <v>NA</v>
      </c>
      <c r="F43" s="111" t="str">
        <f>IFERROR(AVERAGEIF('Outside Review Form Responses'!$E:$E,$A43,'Outside Review Form Responses'!H:H),"NA")</f>
        <v>NA</v>
      </c>
      <c r="G43" s="111" t="str">
        <f>IFERROR(AVERAGEIF('Outside Review Form Responses'!$E:$E,$A43,'Outside Review Form Responses'!I:I),"NA")</f>
        <v>NA</v>
      </c>
      <c r="H43" s="112">
        <f>'MSEE Info'!D43</f>
        <v>0</v>
      </c>
    </row>
    <row r="44" spans="1:8">
      <c r="A44" s="239" t="s">
        <v>885</v>
      </c>
      <c r="B44" s="281" t="s">
        <v>774</v>
      </c>
      <c r="C44" s="110" t="str">
        <f>IF(COUNTIFS('Outside Review Form Responses'!$E:$E,$A44,'Outside Review Form Responses'!A:A,"&lt;&gt;")&gt;0, COUNTIFS('Outside Review Form Responses'!$E:$E,$A44,'Outside Review Form Responses'!A:A,"&lt;&gt;")&amp;" reviews", "NA")</f>
        <v>NA</v>
      </c>
      <c r="D44" s="111" t="str">
        <f>IFERROR(AVERAGEIF('Outside Review Form Responses'!$E:$E,$A44,'Outside Review Form Responses'!F:F),"NA")</f>
        <v>NA</v>
      </c>
      <c r="E44" s="111" t="str">
        <f>IFERROR(AVERAGEIF('Outside Review Form Responses'!$E:$E,$A44,'Outside Review Form Responses'!G:G),"NA")</f>
        <v>NA</v>
      </c>
      <c r="F44" s="111" t="str">
        <f>IFERROR(AVERAGEIF('Outside Review Form Responses'!$E:$E,$A44,'Outside Review Form Responses'!H:H),"NA")</f>
        <v>NA</v>
      </c>
      <c r="G44" s="111" t="str">
        <f>IFERROR(AVERAGEIF('Outside Review Form Responses'!$E:$E,$A44,'Outside Review Form Responses'!I:I),"NA")</f>
        <v>NA</v>
      </c>
      <c r="H44" s="112">
        <f>'MSEE Info'!D44</f>
        <v>0</v>
      </c>
    </row>
    <row r="45" spans="1:8">
      <c r="A45" s="255" t="s">
        <v>886</v>
      </c>
      <c r="B45" s="272" t="s">
        <v>774</v>
      </c>
      <c r="C45" s="110" t="str">
        <f>IF(COUNTIFS('Outside Review Form Responses'!$E:$E,$A45,'Outside Review Form Responses'!A:A,"&lt;&gt;")&gt;0, COUNTIFS('Outside Review Form Responses'!$E:$E,$A45,'Outside Review Form Responses'!A:A,"&lt;&gt;")&amp;" reviews", "NA")</f>
        <v>1 reviews</v>
      </c>
      <c r="D45" s="111">
        <f>IFERROR(AVERAGEIF('Outside Review Form Responses'!$E:$E,$A45,'Outside Review Form Responses'!F:F),"NA")</f>
        <v>4</v>
      </c>
      <c r="E45" s="111">
        <f>IFERROR(AVERAGEIF('Outside Review Form Responses'!$E:$E,$A45,'Outside Review Form Responses'!G:G),"NA")</f>
        <v>5</v>
      </c>
      <c r="F45" s="111">
        <f>IFERROR(AVERAGEIF('Outside Review Form Responses'!$E:$E,$A45,'Outside Review Form Responses'!H:H),"NA")</f>
        <v>4</v>
      </c>
      <c r="G45" s="111">
        <f>IFERROR(AVERAGEIF('Outside Review Form Responses'!$E:$E,$A45,'Outside Review Form Responses'!I:I),"NA")</f>
        <v>30</v>
      </c>
      <c r="H45" s="112">
        <f>'MSEE Info'!D45</f>
        <v>0</v>
      </c>
    </row>
    <row r="46" spans="1:8">
      <c r="A46" s="232" t="s">
        <v>887</v>
      </c>
      <c r="B46" s="273" t="s">
        <v>774</v>
      </c>
      <c r="C46" s="110" t="str">
        <f>IF(COUNTIFS('Outside Review Form Responses'!$E:$E,$A46,'Outside Review Form Responses'!A:A,"&lt;&gt;")&gt;0, COUNTIFS('Outside Review Form Responses'!$E:$E,$A46,'Outside Review Form Responses'!A:A,"&lt;&gt;")&amp;" reviews", "NA")</f>
        <v>NA</v>
      </c>
      <c r="D46" s="111" t="str">
        <f>IFERROR(AVERAGEIF('Outside Review Form Responses'!$E:$E,$A46,'Outside Review Form Responses'!F:F),"NA")</f>
        <v>NA</v>
      </c>
      <c r="E46" s="111" t="str">
        <f>IFERROR(AVERAGEIF('Outside Review Form Responses'!$E:$E,$A46,'Outside Review Form Responses'!G:G),"NA")</f>
        <v>NA</v>
      </c>
      <c r="F46" s="111" t="str">
        <f>IFERROR(AVERAGEIF('Outside Review Form Responses'!$E:$E,$A46,'Outside Review Form Responses'!H:H),"NA")</f>
        <v>NA</v>
      </c>
      <c r="G46" s="111" t="str">
        <f>IFERROR(AVERAGEIF('Outside Review Form Responses'!$E:$E,$A46,'Outside Review Form Responses'!I:I),"NA")</f>
        <v>NA</v>
      </c>
      <c r="H46" s="112">
        <f>'MSEE Info'!D46</f>
        <v>0</v>
      </c>
    </row>
    <row r="47" spans="1:8">
      <c r="A47" s="262" t="s">
        <v>888</v>
      </c>
      <c r="B47" s="274" t="s">
        <v>774</v>
      </c>
      <c r="C47" s="110" t="str">
        <f>IF(COUNTIFS('Outside Review Form Responses'!$E:$E,$A47,'Outside Review Form Responses'!A:A,"&lt;&gt;")&gt;0, COUNTIFS('Outside Review Form Responses'!$E:$E,$A47,'Outside Review Form Responses'!A:A,"&lt;&gt;")&amp;" reviews", "NA")</f>
        <v>NA</v>
      </c>
      <c r="D47" s="111" t="str">
        <f>IFERROR(AVERAGEIF('Outside Review Form Responses'!$E:$E,$A47,'Outside Review Form Responses'!F:F),"NA")</f>
        <v>NA</v>
      </c>
      <c r="E47" s="111" t="str">
        <f>IFERROR(AVERAGEIF('Outside Review Form Responses'!$E:$E,$A47,'Outside Review Form Responses'!G:G),"NA")</f>
        <v>NA</v>
      </c>
      <c r="F47" s="111" t="str">
        <f>IFERROR(AVERAGEIF('Outside Review Form Responses'!$E:$E,$A47,'Outside Review Form Responses'!H:H),"NA")</f>
        <v>NA</v>
      </c>
      <c r="G47" s="111" t="str">
        <f>IFERROR(AVERAGEIF('Outside Review Form Responses'!$E:$E,$A47,'Outside Review Form Responses'!I:I),"NA")</f>
        <v>NA</v>
      </c>
      <c r="H47" s="112">
        <f>'MSEE Info'!D47</f>
        <v>0</v>
      </c>
    </row>
    <row r="48" spans="1:8">
      <c r="A48" s="246" t="s">
        <v>889</v>
      </c>
      <c r="B48" s="280" t="s">
        <v>774</v>
      </c>
      <c r="C48" s="110" t="str">
        <f>IF(COUNTIFS('Outside Review Form Responses'!$E:$E,$A48,'Outside Review Form Responses'!A:A,"&lt;&gt;")&gt;0, COUNTIFS('Outside Review Form Responses'!$E:$E,$A48,'Outside Review Form Responses'!A:A,"&lt;&gt;")&amp;" reviews", "NA")</f>
        <v>NA</v>
      </c>
      <c r="D48" s="111" t="str">
        <f>IFERROR(AVERAGEIF('Outside Review Form Responses'!$E:$E,$A48,'Outside Review Form Responses'!F:F),"NA")</f>
        <v>NA</v>
      </c>
      <c r="E48" s="111" t="str">
        <f>IFERROR(AVERAGEIF('Outside Review Form Responses'!$E:$E,$A48,'Outside Review Form Responses'!G:G),"NA")</f>
        <v>NA</v>
      </c>
      <c r="F48" s="111" t="str">
        <f>IFERROR(AVERAGEIF('Outside Review Form Responses'!$E:$E,$A48,'Outside Review Form Responses'!H:H),"NA")</f>
        <v>NA</v>
      </c>
      <c r="G48" s="111" t="str">
        <f>IFERROR(AVERAGEIF('Outside Review Form Responses'!$E:$E,$A48,'Outside Review Form Responses'!I:I),"NA")</f>
        <v>NA</v>
      </c>
      <c r="H48" s="112">
        <f>'MSEE Info'!D48</f>
        <v>0</v>
      </c>
    </row>
    <row r="49" spans="1:8">
      <c r="A49" s="232" t="s">
        <v>890</v>
      </c>
      <c r="B49" s="273" t="s">
        <v>774</v>
      </c>
      <c r="C49" s="110" t="str">
        <f>IF(COUNTIFS('Outside Review Form Responses'!$E:$E,$A49,'Outside Review Form Responses'!A:A,"&lt;&gt;")&gt;0, COUNTIFS('Outside Review Form Responses'!$E:$E,$A49,'Outside Review Form Responses'!A:A,"&lt;&gt;")&amp;" reviews", "NA")</f>
        <v>NA</v>
      </c>
      <c r="D49" s="111" t="str">
        <f>IFERROR(AVERAGEIF('Outside Review Form Responses'!$E:$E,$A49,'Outside Review Form Responses'!F:F),"NA")</f>
        <v>NA</v>
      </c>
      <c r="E49" s="111" t="str">
        <f>IFERROR(AVERAGEIF('Outside Review Form Responses'!$E:$E,$A49,'Outside Review Form Responses'!G:G),"NA")</f>
        <v>NA</v>
      </c>
      <c r="F49" s="111" t="str">
        <f>IFERROR(AVERAGEIF('Outside Review Form Responses'!$E:$E,$A49,'Outside Review Form Responses'!H:H),"NA")</f>
        <v>NA</v>
      </c>
      <c r="G49" s="111" t="str">
        <f>IFERROR(AVERAGEIF('Outside Review Form Responses'!$E:$E,$A49,'Outside Review Form Responses'!I:I),"NA")</f>
        <v>NA</v>
      </c>
      <c r="H49" s="112">
        <f>'MSEE Info'!D49</f>
        <v>0</v>
      </c>
    </row>
    <row r="50" spans="1:8">
      <c r="A50" s="232" t="s">
        <v>891</v>
      </c>
      <c r="B50" s="273" t="s">
        <v>774</v>
      </c>
      <c r="C50" s="110" t="str">
        <f>IF(COUNTIFS('Outside Review Form Responses'!$E:$E,$A50,'Outside Review Form Responses'!A:A,"&lt;&gt;")&gt;0, COUNTIFS('Outside Review Form Responses'!$E:$E,$A50,'Outside Review Form Responses'!A:A,"&lt;&gt;")&amp;" reviews", "NA")</f>
        <v>NA</v>
      </c>
      <c r="D50" s="111" t="str">
        <f>IFERROR(AVERAGEIF('Outside Review Form Responses'!$E:$E,$A50,'Outside Review Form Responses'!F:F),"NA")</f>
        <v>NA</v>
      </c>
      <c r="E50" s="111" t="str">
        <f>IFERROR(AVERAGEIF('Outside Review Form Responses'!$E:$E,$A50,'Outside Review Form Responses'!G:G),"NA")</f>
        <v>NA</v>
      </c>
      <c r="F50" s="111" t="str">
        <f>IFERROR(AVERAGEIF('Outside Review Form Responses'!$E:$E,$A50,'Outside Review Form Responses'!H:H),"NA")</f>
        <v>NA</v>
      </c>
      <c r="G50" s="111" t="str">
        <f>IFERROR(AVERAGEIF('Outside Review Form Responses'!$E:$E,$A50,'Outside Review Form Responses'!I:I),"NA")</f>
        <v>NA</v>
      </c>
      <c r="H50" s="112">
        <f>'MSEE Info'!D50</f>
        <v>0</v>
      </c>
    </row>
    <row r="51" spans="1:8">
      <c r="A51" s="239" t="s">
        <v>892</v>
      </c>
      <c r="B51" s="281" t="s">
        <v>774</v>
      </c>
      <c r="C51" s="110" t="str">
        <f>IF(COUNTIFS('Outside Review Form Responses'!$E:$E,$A51,'Outside Review Form Responses'!A:A,"&lt;&gt;")&gt;0, COUNTIFS('Outside Review Form Responses'!$E:$E,$A51,'Outside Review Form Responses'!A:A,"&lt;&gt;")&amp;" reviews", "NA")</f>
        <v>NA</v>
      </c>
      <c r="D51" s="111" t="str">
        <f>IFERROR(AVERAGEIF('Outside Review Form Responses'!$E:$E,$A51,'Outside Review Form Responses'!F:F),"NA")</f>
        <v>NA</v>
      </c>
      <c r="E51" s="111" t="str">
        <f>IFERROR(AVERAGEIF('Outside Review Form Responses'!$E:$E,$A51,'Outside Review Form Responses'!G:G),"NA")</f>
        <v>NA</v>
      </c>
      <c r="F51" s="111" t="str">
        <f>IFERROR(AVERAGEIF('Outside Review Form Responses'!$E:$E,$A51,'Outside Review Form Responses'!H:H),"NA")</f>
        <v>NA</v>
      </c>
      <c r="G51" s="111" t="str">
        <f>IFERROR(AVERAGEIF('Outside Review Form Responses'!$E:$E,$A51,'Outside Review Form Responses'!I:I),"NA")</f>
        <v>NA</v>
      </c>
      <c r="H51" s="112">
        <f>'MSEE Info'!D51</f>
        <v>0</v>
      </c>
    </row>
    <row r="52" spans="1:8">
      <c r="A52" s="246" t="s">
        <v>893</v>
      </c>
      <c r="B52" s="280" t="s">
        <v>825</v>
      </c>
      <c r="C52" s="110" t="str">
        <f>IF(COUNTIFS('Outside Review Form Responses'!$E:$E,$A52,'Outside Review Form Responses'!A:A,"&lt;&gt;")&gt;0, COUNTIFS('Outside Review Form Responses'!$E:$E,$A52,'Outside Review Form Responses'!A:A,"&lt;&gt;")&amp;" reviews", "NA")</f>
        <v>1 reviews</v>
      </c>
      <c r="D52" s="111">
        <f>IFERROR(AVERAGEIF('Outside Review Form Responses'!$E:$E,$A52,'Outside Review Form Responses'!F:F),"NA")</f>
        <v>5</v>
      </c>
      <c r="E52" s="111">
        <f>IFERROR(AVERAGEIF('Outside Review Form Responses'!$E:$E,$A52,'Outside Review Form Responses'!G:G),"NA")</f>
        <v>3</v>
      </c>
      <c r="F52" s="111">
        <f>IFERROR(AVERAGEIF('Outside Review Form Responses'!$E:$E,$A52,'Outside Review Form Responses'!H:H),"NA")</f>
        <v>5</v>
      </c>
      <c r="G52" s="111">
        <f>IFERROR(AVERAGEIF('Outside Review Form Responses'!$E:$E,$A52,'Outside Review Form Responses'!I:I),"NA")</f>
        <v>30</v>
      </c>
      <c r="H52" s="112">
        <f>'MSEE Info'!D52</f>
        <v>0</v>
      </c>
    </row>
    <row r="53" spans="1:8">
      <c r="A53" s="232" t="s">
        <v>894</v>
      </c>
      <c r="B53" s="273" t="s">
        <v>825</v>
      </c>
      <c r="C53" s="110" t="str">
        <f>IF(COUNTIFS('Outside Review Form Responses'!$E:$E,$A53,'Outside Review Form Responses'!A:A,"&lt;&gt;")&gt;0, COUNTIFS('Outside Review Form Responses'!$E:$E,$A53,'Outside Review Form Responses'!A:A,"&lt;&gt;")&amp;" reviews", "NA")</f>
        <v>1 reviews</v>
      </c>
      <c r="D53" s="111">
        <f>IFERROR(AVERAGEIF('Outside Review Form Responses'!$E:$E,$A53,'Outside Review Form Responses'!F:F),"NA")</f>
        <v>5</v>
      </c>
      <c r="E53" s="111">
        <f>IFERROR(AVERAGEIF('Outside Review Form Responses'!$E:$E,$A53,'Outside Review Form Responses'!G:G),"NA")</f>
        <v>4</v>
      </c>
      <c r="F53" s="111">
        <f>IFERROR(AVERAGEIF('Outside Review Form Responses'!$E:$E,$A53,'Outside Review Form Responses'!H:H),"NA")</f>
        <v>5</v>
      </c>
      <c r="G53" s="111">
        <f>IFERROR(AVERAGEIF('Outside Review Form Responses'!$E:$E,$A53,'Outside Review Form Responses'!I:I),"NA")</f>
        <v>40</v>
      </c>
      <c r="H53" s="112">
        <f>'MSEE Info'!D53</f>
        <v>0</v>
      </c>
    </row>
    <row r="54" spans="1:8">
      <c r="A54" s="239" t="s">
        <v>895</v>
      </c>
      <c r="B54" s="281" t="s">
        <v>825</v>
      </c>
      <c r="C54" s="110" t="str">
        <f>IF(COUNTIFS('Outside Review Form Responses'!$E:$E,$A54,'Outside Review Form Responses'!A:A,"&lt;&gt;")&gt;0, COUNTIFS('Outside Review Form Responses'!$E:$E,$A54,'Outside Review Form Responses'!A:A,"&lt;&gt;")&amp;" reviews", "NA")</f>
        <v>1 reviews</v>
      </c>
      <c r="D54" s="111">
        <f>IFERROR(AVERAGEIF('Outside Review Form Responses'!$E:$E,$A54,'Outside Review Form Responses'!F:F),"NA")</f>
        <v>5</v>
      </c>
      <c r="E54" s="111">
        <f>IFERROR(AVERAGEIF('Outside Review Form Responses'!$E:$E,$A54,'Outside Review Form Responses'!G:G),"NA")</f>
        <v>4</v>
      </c>
      <c r="F54" s="111">
        <f>IFERROR(AVERAGEIF('Outside Review Form Responses'!$E:$E,$A54,'Outside Review Form Responses'!H:H),"NA")</f>
        <v>5</v>
      </c>
      <c r="G54" s="111">
        <f>IFERROR(AVERAGEIF('Outside Review Form Responses'!$E:$E,$A54,'Outside Review Form Responses'!I:I),"NA")</f>
        <v>35</v>
      </c>
      <c r="H54" s="112">
        <f>'MSEE Info'!D54</f>
        <v>0</v>
      </c>
    </row>
    <row r="55" spans="1:8">
      <c r="A55" s="255" t="s">
        <v>896</v>
      </c>
      <c r="B55" s="272" t="s">
        <v>825</v>
      </c>
      <c r="C55" s="110" t="str">
        <f>IF(COUNTIFS('Outside Review Form Responses'!$E:$E,$A55,'Outside Review Form Responses'!A:A,"&lt;&gt;")&gt;0, COUNTIFS('Outside Review Form Responses'!$E:$E,$A55,'Outside Review Form Responses'!A:A,"&lt;&gt;")&amp;" reviews", "NA")</f>
        <v>1 reviews</v>
      </c>
      <c r="D55" s="111">
        <f>IFERROR(AVERAGEIF('Outside Review Form Responses'!$E:$E,$A55,'Outside Review Form Responses'!F:F),"NA")</f>
        <v>4</v>
      </c>
      <c r="E55" s="111">
        <f>IFERROR(AVERAGEIF('Outside Review Form Responses'!$E:$E,$A55,'Outside Review Form Responses'!G:G),"NA")</f>
        <v>5</v>
      </c>
      <c r="F55" s="111">
        <f>IFERROR(AVERAGEIF('Outside Review Form Responses'!$E:$E,$A55,'Outside Review Form Responses'!H:H),"NA")</f>
        <v>3</v>
      </c>
      <c r="G55" s="111">
        <f>IFERROR(AVERAGEIF('Outside Review Form Responses'!$E:$E,$A55,'Outside Review Form Responses'!I:I),"NA")</f>
        <v>45</v>
      </c>
      <c r="H55" s="112">
        <f>'MSEE Info'!D55</f>
        <v>0</v>
      </c>
    </row>
    <row r="56" spans="1:8">
      <c r="A56" s="232" t="s">
        <v>897</v>
      </c>
      <c r="B56" s="273" t="s">
        <v>825</v>
      </c>
      <c r="C56" s="110" t="str">
        <f>IF(COUNTIFS('Outside Review Form Responses'!$E:$E,$A56,'Outside Review Form Responses'!A:A,"&lt;&gt;")&gt;0, COUNTIFS('Outside Review Form Responses'!$E:$E,$A56,'Outside Review Form Responses'!A:A,"&lt;&gt;")&amp;" reviews", "NA")</f>
        <v>2 reviews</v>
      </c>
      <c r="D56" s="111">
        <f>IFERROR(AVERAGEIF('Outside Review Form Responses'!$E:$E,$A56,'Outside Review Form Responses'!F:F),"NA")</f>
        <v>4</v>
      </c>
      <c r="E56" s="111">
        <f>IFERROR(AVERAGEIF('Outside Review Form Responses'!$E:$E,$A56,'Outside Review Form Responses'!G:G),"NA")</f>
        <v>4.5</v>
      </c>
      <c r="F56" s="111">
        <f>IFERROR(AVERAGEIF('Outside Review Form Responses'!$E:$E,$A56,'Outside Review Form Responses'!H:H),"NA")</f>
        <v>2</v>
      </c>
      <c r="G56" s="111">
        <f>IFERROR(AVERAGEIF('Outside Review Form Responses'!$E:$E,$A56,'Outside Review Form Responses'!I:I),"NA")</f>
        <v>40</v>
      </c>
      <c r="H56" s="112">
        <f>'MSEE Info'!D56</f>
        <v>0</v>
      </c>
    </row>
    <row r="57" spans="1:8">
      <c r="A57" s="262" t="s">
        <v>898</v>
      </c>
      <c r="B57" s="274" t="s">
        <v>825</v>
      </c>
      <c r="C57" s="110" t="str">
        <f>IF(COUNTIFS('Outside Review Form Responses'!$E:$E,$A57,'Outside Review Form Responses'!A:A,"&lt;&gt;")&gt;0, COUNTIFS('Outside Review Form Responses'!$E:$E,$A57,'Outside Review Form Responses'!A:A,"&lt;&gt;")&amp;" reviews", "NA")</f>
        <v>1 reviews</v>
      </c>
      <c r="D57" s="111">
        <f>IFERROR(AVERAGEIF('Outside Review Form Responses'!$E:$E,$A57,'Outside Review Form Responses'!F:F),"NA")</f>
        <v>4</v>
      </c>
      <c r="E57" s="111">
        <f>IFERROR(AVERAGEIF('Outside Review Form Responses'!$E:$E,$A57,'Outside Review Form Responses'!G:G),"NA")</f>
        <v>4</v>
      </c>
      <c r="F57" s="111">
        <f>IFERROR(AVERAGEIF('Outside Review Form Responses'!$E:$E,$A57,'Outside Review Form Responses'!H:H),"NA")</f>
        <v>4</v>
      </c>
      <c r="G57" s="111">
        <f>IFERROR(AVERAGEIF('Outside Review Form Responses'!$E:$E,$A57,'Outside Review Form Responses'!I:I),"NA")</f>
        <v>35</v>
      </c>
      <c r="H57" s="112">
        <f>'MSEE Info'!D57</f>
        <v>0</v>
      </c>
    </row>
    <row r="58" spans="1:8">
      <c r="A58" s="246" t="s">
        <v>899</v>
      </c>
      <c r="B58" s="280" t="s">
        <v>825</v>
      </c>
      <c r="C58" s="110" t="str">
        <f>IF(COUNTIFS('Outside Review Form Responses'!$E:$E,$A58,'Outside Review Form Responses'!A:A,"&lt;&gt;")&gt;0, COUNTIFS('Outside Review Form Responses'!$E:$E,$A58,'Outside Review Form Responses'!A:A,"&lt;&gt;")&amp;" reviews", "NA")</f>
        <v>NA</v>
      </c>
      <c r="D58" s="111" t="str">
        <f>IFERROR(AVERAGEIF('Outside Review Form Responses'!$E:$E,$A58,'Outside Review Form Responses'!F:F),"NA")</f>
        <v>NA</v>
      </c>
      <c r="E58" s="111" t="str">
        <f>IFERROR(AVERAGEIF('Outside Review Form Responses'!$E:$E,$A58,'Outside Review Form Responses'!G:G),"NA")</f>
        <v>NA</v>
      </c>
      <c r="F58" s="111" t="str">
        <f>IFERROR(AVERAGEIF('Outside Review Form Responses'!$E:$E,$A58,'Outside Review Form Responses'!H:H),"NA")</f>
        <v>NA</v>
      </c>
      <c r="G58" s="111" t="str">
        <f>IFERROR(AVERAGEIF('Outside Review Form Responses'!$E:$E,$A58,'Outside Review Form Responses'!I:I),"NA")</f>
        <v>NA</v>
      </c>
      <c r="H58" s="112">
        <f>'MSEE Info'!D58</f>
        <v>0</v>
      </c>
    </row>
    <row r="59" spans="1:8">
      <c r="A59" s="232" t="s">
        <v>900</v>
      </c>
      <c r="B59" s="273" t="s">
        <v>825</v>
      </c>
      <c r="C59" s="110" t="str">
        <f>IF(COUNTIFS('Outside Review Form Responses'!$E:$E,$A59,'Outside Review Form Responses'!A:A,"&lt;&gt;")&gt;0, COUNTIFS('Outside Review Form Responses'!$E:$E,$A59,'Outside Review Form Responses'!A:A,"&lt;&gt;")&amp;" reviews", "NA")</f>
        <v>NA</v>
      </c>
      <c r="D59" s="111" t="str">
        <f>IFERROR(AVERAGEIF('Outside Review Form Responses'!$E:$E,$A59,'Outside Review Form Responses'!F:F),"NA")</f>
        <v>NA</v>
      </c>
      <c r="E59" s="111" t="str">
        <f>IFERROR(AVERAGEIF('Outside Review Form Responses'!$E:$E,$A59,'Outside Review Form Responses'!G:G),"NA")</f>
        <v>NA</v>
      </c>
      <c r="F59" s="111" t="str">
        <f>IFERROR(AVERAGEIF('Outside Review Form Responses'!$E:$E,$A59,'Outside Review Form Responses'!H:H),"NA")</f>
        <v>NA</v>
      </c>
      <c r="G59" s="111" t="str">
        <f>IFERROR(AVERAGEIF('Outside Review Form Responses'!$E:$E,$A59,'Outside Review Form Responses'!I:I),"NA")</f>
        <v>NA</v>
      </c>
      <c r="H59" s="112">
        <f>'MSEE Info'!D59</f>
        <v>0</v>
      </c>
    </row>
    <row r="60" spans="1:8">
      <c r="A60" s="239" t="s">
        <v>901</v>
      </c>
      <c r="B60" s="281" t="s">
        <v>825</v>
      </c>
      <c r="C60" s="110" t="str">
        <f>IF(COUNTIFS('Outside Review Form Responses'!$E:$E,$A60,'Outside Review Form Responses'!A:A,"&lt;&gt;")&gt;0, COUNTIFS('Outside Review Form Responses'!$E:$E,$A60,'Outside Review Form Responses'!A:A,"&lt;&gt;")&amp;" reviews", "NA")</f>
        <v>NA</v>
      </c>
      <c r="D60" s="111" t="str">
        <f>IFERROR(AVERAGEIF('Outside Review Form Responses'!$E:$E,$A60,'Outside Review Form Responses'!F:F),"NA")</f>
        <v>NA</v>
      </c>
      <c r="E60" s="111" t="str">
        <f>IFERROR(AVERAGEIF('Outside Review Form Responses'!$E:$E,$A60,'Outside Review Form Responses'!G:G),"NA")</f>
        <v>NA</v>
      </c>
      <c r="F60" s="111" t="str">
        <f>IFERROR(AVERAGEIF('Outside Review Form Responses'!$E:$E,$A60,'Outside Review Form Responses'!H:H),"NA")</f>
        <v>NA</v>
      </c>
      <c r="G60" s="111" t="str">
        <f>IFERROR(AVERAGEIF('Outside Review Form Responses'!$E:$E,$A60,'Outside Review Form Responses'!I:I),"NA")</f>
        <v>NA</v>
      </c>
      <c r="H60" s="112">
        <f>'MSEE Info'!D60</f>
        <v>0</v>
      </c>
    </row>
    <row r="61" spans="1:8">
      <c r="A61" s="255" t="s">
        <v>902</v>
      </c>
      <c r="B61" s="272" t="s">
        <v>825</v>
      </c>
      <c r="C61" s="110" t="str">
        <f>IF(COUNTIFS('Outside Review Form Responses'!$E:$E,$A61,'Outside Review Form Responses'!A:A,"&lt;&gt;")&gt;0, COUNTIFS('Outside Review Form Responses'!$E:$E,$A61,'Outside Review Form Responses'!A:A,"&lt;&gt;")&amp;" reviews", "NA")</f>
        <v>NA</v>
      </c>
      <c r="D61" s="111" t="str">
        <f>IFERROR(AVERAGEIF('Outside Review Form Responses'!$E:$E,$A61,'Outside Review Form Responses'!F:F),"NA")</f>
        <v>NA</v>
      </c>
      <c r="E61" s="111" t="str">
        <f>IFERROR(AVERAGEIF('Outside Review Form Responses'!$E:$E,$A61,'Outside Review Form Responses'!G:G),"NA")</f>
        <v>NA</v>
      </c>
      <c r="F61" s="111" t="str">
        <f>IFERROR(AVERAGEIF('Outside Review Form Responses'!$E:$E,$A61,'Outside Review Form Responses'!H:H),"NA")</f>
        <v>NA</v>
      </c>
      <c r="G61" s="111" t="str">
        <f>IFERROR(AVERAGEIF('Outside Review Form Responses'!$E:$E,$A61,'Outside Review Form Responses'!I:I),"NA")</f>
        <v>NA</v>
      </c>
      <c r="H61" s="112">
        <f>'MSEE Info'!D61</f>
        <v>0</v>
      </c>
    </row>
    <row r="62" spans="1:8">
      <c r="A62" s="232" t="s">
        <v>903</v>
      </c>
      <c r="B62" s="273" t="s">
        <v>825</v>
      </c>
      <c r="C62" s="110" t="str">
        <f>IF(COUNTIFS('Outside Review Form Responses'!$E:$E,$A62,'Outside Review Form Responses'!A:A,"&lt;&gt;")&gt;0, COUNTIFS('Outside Review Form Responses'!$E:$E,$A62,'Outside Review Form Responses'!A:A,"&lt;&gt;")&amp;" reviews", "NA")</f>
        <v>NA</v>
      </c>
      <c r="D62" s="111" t="str">
        <f>IFERROR(AVERAGEIF('Outside Review Form Responses'!$E:$E,$A62,'Outside Review Form Responses'!F:F),"NA")</f>
        <v>NA</v>
      </c>
      <c r="E62" s="111" t="str">
        <f>IFERROR(AVERAGEIF('Outside Review Form Responses'!$E:$E,$A62,'Outside Review Form Responses'!G:G),"NA")</f>
        <v>NA</v>
      </c>
      <c r="F62" s="111" t="str">
        <f>IFERROR(AVERAGEIF('Outside Review Form Responses'!$E:$E,$A62,'Outside Review Form Responses'!H:H),"NA")</f>
        <v>NA</v>
      </c>
      <c r="G62" s="111" t="str">
        <f>IFERROR(AVERAGEIF('Outside Review Form Responses'!$E:$E,$A62,'Outside Review Form Responses'!I:I),"NA")</f>
        <v>NA</v>
      </c>
      <c r="H62" s="112">
        <f>'MSEE Info'!D62</f>
        <v>0</v>
      </c>
    </row>
    <row r="63" spans="1:8">
      <c r="A63" s="262" t="s">
        <v>904</v>
      </c>
      <c r="B63" s="274" t="s">
        <v>825</v>
      </c>
      <c r="C63" s="110" t="str">
        <f>IF(COUNTIFS('Outside Review Form Responses'!$E:$E,$A63,'Outside Review Form Responses'!A:A,"&lt;&gt;")&gt;0, COUNTIFS('Outside Review Form Responses'!$E:$E,$A63,'Outside Review Form Responses'!A:A,"&lt;&gt;")&amp;" reviews", "NA")</f>
        <v>NA</v>
      </c>
      <c r="D63" s="111" t="str">
        <f>IFERROR(AVERAGEIF('Outside Review Form Responses'!$E:$E,$A63,'Outside Review Form Responses'!F:F),"NA")</f>
        <v>NA</v>
      </c>
      <c r="E63" s="111" t="str">
        <f>IFERROR(AVERAGEIF('Outside Review Form Responses'!$E:$E,$A63,'Outside Review Form Responses'!G:G),"NA")</f>
        <v>NA</v>
      </c>
      <c r="F63" s="111" t="str">
        <f>IFERROR(AVERAGEIF('Outside Review Form Responses'!$E:$E,$A63,'Outside Review Form Responses'!H:H),"NA")</f>
        <v>NA</v>
      </c>
      <c r="G63" s="111" t="str">
        <f>IFERROR(AVERAGEIF('Outside Review Form Responses'!$E:$E,$A63,'Outside Review Form Responses'!I:I),"NA")</f>
        <v>NA</v>
      </c>
      <c r="H63" s="112">
        <f>'MSEE Info'!D63</f>
        <v>0</v>
      </c>
    </row>
    <row r="64" spans="1:8">
      <c r="A64" s="246" t="s">
        <v>905</v>
      </c>
      <c r="B64" s="280" t="s">
        <v>838</v>
      </c>
      <c r="C64" s="110" t="str">
        <f>IF(COUNTIFS('Outside Review Form Responses'!$E:$E,$A64,'Outside Review Form Responses'!A:A,"&lt;&gt;")&gt;0, COUNTIFS('Outside Review Form Responses'!$E:$E,$A64,'Outside Review Form Responses'!A:A,"&lt;&gt;")&amp;" reviews", "NA")</f>
        <v>1 reviews</v>
      </c>
      <c r="D64" s="111">
        <f>IFERROR(AVERAGEIF('Outside Review Form Responses'!$E:$E,$A64,'Outside Review Form Responses'!F:F),"NA")</f>
        <v>5</v>
      </c>
      <c r="E64" s="111">
        <f>IFERROR(AVERAGEIF('Outside Review Form Responses'!$E:$E,$A64,'Outside Review Form Responses'!G:G),"NA")</f>
        <v>4</v>
      </c>
      <c r="F64" s="111">
        <f>IFERROR(AVERAGEIF('Outside Review Form Responses'!$E:$E,$A64,'Outside Review Form Responses'!H:H),"NA")</f>
        <v>5</v>
      </c>
      <c r="G64" s="111">
        <f>IFERROR(AVERAGEIF('Outside Review Form Responses'!$E:$E,$A64,'Outside Review Form Responses'!I:I),"NA")</f>
        <v>15</v>
      </c>
      <c r="H64" s="112">
        <f>'MSEE Info'!D64</f>
        <v>0</v>
      </c>
    </row>
    <row r="65" spans="1:8">
      <c r="A65" s="232" t="s">
        <v>906</v>
      </c>
      <c r="B65" s="273" t="s">
        <v>838</v>
      </c>
      <c r="C65" s="110" t="str">
        <f>IF(COUNTIFS('Outside Review Form Responses'!$E:$E,$A65,'Outside Review Form Responses'!A:A,"&lt;&gt;")&gt;0, COUNTIFS('Outside Review Form Responses'!$E:$E,$A65,'Outside Review Form Responses'!A:A,"&lt;&gt;")&amp;" reviews", "NA")</f>
        <v>NA</v>
      </c>
      <c r="D65" s="111" t="str">
        <f>IFERROR(AVERAGEIF('Outside Review Form Responses'!$E:$E,$A65,'Outside Review Form Responses'!F:F),"NA")</f>
        <v>NA</v>
      </c>
      <c r="E65" s="111" t="str">
        <f>IFERROR(AVERAGEIF('Outside Review Form Responses'!$E:$E,$A65,'Outside Review Form Responses'!G:G),"NA")</f>
        <v>NA</v>
      </c>
      <c r="F65" s="111" t="str">
        <f>IFERROR(AVERAGEIF('Outside Review Form Responses'!$E:$E,$A65,'Outside Review Form Responses'!H:H),"NA")</f>
        <v>NA</v>
      </c>
      <c r="G65" s="111" t="str">
        <f>IFERROR(AVERAGEIF('Outside Review Form Responses'!$E:$E,$A65,'Outside Review Form Responses'!I:I),"NA")</f>
        <v>NA</v>
      </c>
      <c r="H65" s="112">
        <f>'MSEE Info'!D65</f>
        <v>0</v>
      </c>
    </row>
    <row r="66" spans="1:8">
      <c r="A66" s="239" t="s">
        <v>907</v>
      </c>
      <c r="B66" s="281" t="s">
        <v>838</v>
      </c>
      <c r="C66" s="110" t="str">
        <f>IF(COUNTIFS('Outside Review Form Responses'!$E:$E,$A66,'Outside Review Form Responses'!A:A,"&lt;&gt;")&gt;0, COUNTIFS('Outside Review Form Responses'!$E:$E,$A66,'Outside Review Form Responses'!A:A,"&lt;&gt;")&amp;" reviews", "NA")</f>
        <v>NA</v>
      </c>
      <c r="D66" s="111" t="str">
        <f>IFERROR(AVERAGEIF('Outside Review Form Responses'!$E:$E,$A66,'Outside Review Form Responses'!F:F),"NA")</f>
        <v>NA</v>
      </c>
      <c r="E66" s="111" t="str">
        <f>IFERROR(AVERAGEIF('Outside Review Form Responses'!$E:$E,$A66,'Outside Review Form Responses'!G:G),"NA")</f>
        <v>NA</v>
      </c>
      <c r="F66" s="111" t="str">
        <f>IFERROR(AVERAGEIF('Outside Review Form Responses'!$E:$E,$A66,'Outside Review Form Responses'!H:H),"NA")</f>
        <v>NA</v>
      </c>
      <c r="G66" s="111" t="str">
        <f>IFERROR(AVERAGEIF('Outside Review Form Responses'!$E:$E,$A66,'Outside Review Form Responses'!I:I),"NA")</f>
        <v>NA</v>
      </c>
      <c r="H66" s="112">
        <f>'MSEE Info'!D66</f>
        <v>0</v>
      </c>
    </row>
    <row r="67" spans="1:8">
      <c r="A67" s="83"/>
      <c r="B67" s="82"/>
      <c r="C67" s="82"/>
      <c r="D67" s="82"/>
      <c r="E67" s="82"/>
      <c r="F67" s="83"/>
      <c r="G67" s="83"/>
      <c r="H67" s="83"/>
    </row>
    <row r="68" spans="1:8">
      <c r="A68" s="83"/>
      <c r="B68" s="82"/>
      <c r="C68" s="82"/>
      <c r="D68" s="82"/>
      <c r="E68" s="82"/>
      <c r="F68" s="83"/>
      <c r="G68" s="83"/>
      <c r="H68" s="83"/>
    </row>
    <row r="69" spans="1:8">
      <c r="A69" s="83"/>
      <c r="B69" s="82"/>
      <c r="C69" s="82"/>
      <c r="D69" s="82"/>
      <c r="E69" s="82"/>
      <c r="F69" s="83"/>
      <c r="G69" s="83"/>
      <c r="H69" s="83"/>
    </row>
    <row r="70" spans="1:8">
      <c r="A70" s="83"/>
      <c r="B70" s="82"/>
      <c r="C70" s="82"/>
      <c r="D70" s="82"/>
      <c r="E70" s="82"/>
      <c r="F70" s="83"/>
      <c r="G70" s="83"/>
      <c r="H70" s="83"/>
    </row>
    <row r="71" spans="1:8">
      <c r="A71" s="83"/>
      <c r="B71" s="82"/>
      <c r="C71" s="82"/>
      <c r="D71" s="82"/>
      <c r="E71" s="82"/>
      <c r="F71" s="83"/>
      <c r="G71" s="83"/>
      <c r="H71" s="83"/>
    </row>
    <row r="72" spans="1:8">
      <c r="A72" s="83"/>
      <c r="B72" s="82"/>
      <c r="C72" s="82"/>
      <c r="D72" s="82"/>
      <c r="E72" s="82"/>
      <c r="F72" s="83"/>
      <c r="G72" s="83"/>
      <c r="H72" s="83"/>
    </row>
    <row r="73" spans="1:8">
      <c r="A73" s="83"/>
      <c r="B73" s="82"/>
      <c r="C73" s="82"/>
      <c r="D73" s="82"/>
      <c r="E73" s="82"/>
      <c r="F73" s="83"/>
      <c r="G73" s="83"/>
      <c r="H73" s="83"/>
    </row>
    <row r="74" spans="1:8">
      <c r="A74" s="83"/>
      <c r="B74" s="82"/>
      <c r="C74" s="82"/>
      <c r="D74" s="82"/>
      <c r="E74" s="82"/>
      <c r="F74" s="83"/>
      <c r="G74" s="83"/>
      <c r="H74" s="83"/>
    </row>
    <row r="75" spans="1:8">
      <c r="A75" s="83"/>
      <c r="B75" s="82"/>
      <c r="C75" s="82"/>
      <c r="D75" s="82"/>
      <c r="E75" s="82"/>
      <c r="F75" s="83"/>
      <c r="G75" s="83"/>
      <c r="H75" s="83"/>
    </row>
    <row r="76" spans="1:8">
      <c r="A76" s="83"/>
      <c r="B76" s="82"/>
      <c r="C76" s="82"/>
      <c r="D76" s="82"/>
      <c r="E76" s="82"/>
      <c r="F76" s="83"/>
      <c r="G76" s="83"/>
      <c r="H76" s="83"/>
    </row>
    <row r="77" spans="1:8">
      <c r="A77" s="83"/>
      <c r="B77" s="82"/>
      <c r="C77" s="82"/>
      <c r="D77" s="82"/>
      <c r="E77" s="82"/>
      <c r="F77" s="83"/>
      <c r="G77" s="83"/>
      <c r="H77" s="83"/>
    </row>
    <row r="78" spans="1:8">
      <c r="A78" s="83"/>
      <c r="B78" s="82"/>
      <c r="C78" s="82"/>
      <c r="D78" s="82"/>
      <c r="E78" s="82"/>
      <c r="F78" s="83"/>
      <c r="G78" s="83"/>
      <c r="H78" s="83"/>
    </row>
    <row r="79" spans="1:8">
      <c r="A79" s="83"/>
      <c r="B79" s="82"/>
      <c r="C79" s="82"/>
      <c r="D79" s="82"/>
      <c r="E79" s="82"/>
      <c r="F79" s="83"/>
      <c r="G79" s="83"/>
      <c r="H79" s="83"/>
    </row>
    <row r="80" spans="1:8">
      <c r="A80" s="83"/>
      <c r="B80" s="82"/>
      <c r="C80" s="82"/>
      <c r="D80" s="82"/>
      <c r="E80" s="82"/>
      <c r="F80" s="83"/>
      <c r="G80" s="83"/>
      <c r="H80" s="83"/>
    </row>
    <row r="81" spans="1:8">
      <c r="A81" s="83"/>
      <c r="B81" s="82"/>
      <c r="C81" s="82"/>
      <c r="D81" s="82"/>
      <c r="E81" s="82"/>
      <c r="F81" s="83"/>
      <c r="G81" s="83"/>
      <c r="H81" s="83"/>
    </row>
    <row r="82" spans="1:8">
      <c r="A82" s="83"/>
      <c r="B82" s="82"/>
      <c r="C82" s="82"/>
      <c r="D82" s="82"/>
      <c r="E82" s="82"/>
      <c r="F82" s="83"/>
      <c r="G82" s="83"/>
      <c r="H82" s="83"/>
    </row>
    <row r="83" spans="1:8">
      <c r="A83" s="83"/>
      <c r="B83" s="82"/>
      <c r="C83" s="82"/>
      <c r="D83" s="82"/>
      <c r="E83" s="82"/>
      <c r="F83" s="83"/>
      <c r="G83" s="83"/>
      <c r="H83" s="83"/>
    </row>
    <row r="84" spans="1:8">
      <c r="A84" s="83"/>
      <c r="B84" s="82"/>
      <c r="C84" s="82"/>
      <c r="D84" s="82"/>
      <c r="E84" s="82"/>
      <c r="F84" s="83"/>
      <c r="G84" s="83"/>
      <c r="H84" s="83"/>
    </row>
    <row r="85" spans="1:8">
      <c r="A85" s="83"/>
      <c r="B85" s="82"/>
      <c r="C85" s="82"/>
      <c r="D85" s="82"/>
      <c r="E85" s="82"/>
      <c r="F85" s="83"/>
      <c r="G85" s="83"/>
      <c r="H85" s="83"/>
    </row>
    <row r="86" spans="1:8">
      <c r="A86" s="83"/>
      <c r="B86" s="82"/>
      <c r="C86" s="82"/>
      <c r="D86" s="82"/>
      <c r="E86" s="82"/>
      <c r="F86" s="83"/>
      <c r="G86" s="83"/>
      <c r="H86" s="83"/>
    </row>
    <row r="87" spans="1:8">
      <c r="A87" s="83"/>
      <c r="B87" s="82"/>
      <c r="C87" s="82"/>
      <c r="D87" s="82"/>
      <c r="E87" s="82"/>
      <c r="F87" s="83"/>
      <c r="G87" s="83"/>
      <c r="H87" s="83"/>
    </row>
    <row r="88" spans="1:8">
      <c r="A88" s="83"/>
      <c r="B88" s="82"/>
      <c r="C88" s="82"/>
      <c r="D88" s="82"/>
      <c r="E88" s="82"/>
      <c r="F88" s="83"/>
      <c r="G88" s="83"/>
      <c r="H88" s="83"/>
    </row>
    <row r="89" spans="1:8">
      <c r="A89" s="83"/>
      <c r="B89" s="82"/>
      <c r="C89" s="82"/>
      <c r="D89" s="82"/>
      <c r="E89" s="82"/>
      <c r="F89" s="83"/>
      <c r="G89" s="83"/>
      <c r="H89" s="83"/>
    </row>
    <row r="90" spans="1:8">
      <c r="A90" s="83"/>
      <c r="B90" s="82"/>
      <c r="C90" s="82"/>
      <c r="D90" s="82"/>
      <c r="E90" s="82"/>
      <c r="F90" s="83"/>
      <c r="G90" s="83"/>
      <c r="H90" s="83"/>
    </row>
    <row r="91" spans="1:8">
      <c r="A91" s="83"/>
      <c r="B91" s="82"/>
      <c r="C91" s="82"/>
      <c r="D91" s="82"/>
      <c r="E91" s="82"/>
      <c r="F91" s="83"/>
      <c r="G91" s="83"/>
      <c r="H91" s="83"/>
    </row>
    <row r="92" spans="1:8">
      <c r="A92" s="83"/>
      <c r="B92" s="82"/>
      <c r="C92" s="82"/>
      <c r="D92" s="82"/>
      <c r="E92" s="82"/>
      <c r="F92" s="83"/>
      <c r="G92" s="83"/>
      <c r="H92" s="83"/>
    </row>
    <row r="93" spans="1:8">
      <c r="A93" s="83"/>
      <c r="B93" s="82"/>
      <c r="C93" s="82"/>
      <c r="D93" s="82"/>
      <c r="E93" s="82"/>
      <c r="F93" s="83"/>
      <c r="G93" s="83"/>
      <c r="H93" s="83"/>
    </row>
    <row r="94" spans="1:8">
      <c r="A94" s="83"/>
      <c r="B94" s="82"/>
      <c r="C94" s="82"/>
      <c r="D94" s="82"/>
      <c r="E94" s="82"/>
      <c r="F94" s="83"/>
      <c r="G94" s="83"/>
      <c r="H94" s="83"/>
    </row>
    <row r="95" spans="1:8">
      <c r="A95" s="83"/>
      <c r="B95" s="82"/>
      <c r="C95" s="82"/>
      <c r="D95" s="82"/>
      <c r="E95" s="82"/>
      <c r="F95" s="83"/>
      <c r="G95" s="83"/>
      <c r="H95" s="83"/>
    </row>
    <row r="96" spans="1:8">
      <c r="A96" s="83"/>
      <c r="B96" s="82"/>
      <c r="C96" s="82"/>
      <c r="D96" s="82"/>
      <c r="E96" s="82"/>
      <c r="F96" s="83"/>
      <c r="G96" s="83"/>
      <c r="H96" s="83"/>
    </row>
    <row r="97" spans="1:8">
      <c r="A97" s="83"/>
      <c r="B97" s="82"/>
      <c r="C97" s="82"/>
      <c r="D97" s="82"/>
      <c r="E97" s="82"/>
      <c r="F97" s="83"/>
      <c r="G97" s="83"/>
      <c r="H97" s="83"/>
    </row>
    <row r="98" spans="1:8">
      <c r="A98" s="83"/>
      <c r="B98" s="82"/>
      <c r="C98" s="82"/>
      <c r="D98" s="82"/>
      <c r="E98" s="82"/>
      <c r="F98" s="83"/>
      <c r="G98" s="83"/>
      <c r="H98" s="83"/>
    </row>
    <row r="99" spans="1:8">
      <c r="A99" s="83"/>
      <c r="B99" s="82"/>
      <c r="C99" s="82"/>
      <c r="D99" s="82"/>
      <c r="E99" s="82"/>
      <c r="F99" s="83"/>
      <c r="G99" s="83"/>
      <c r="H99" s="83"/>
    </row>
    <row r="100" spans="1:8">
      <c r="A100" s="83"/>
      <c r="B100" s="82"/>
      <c r="C100" s="82"/>
      <c r="D100" s="82"/>
      <c r="E100" s="82"/>
      <c r="F100" s="83"/>
      <c r="G100" s="83"/>
      <c r="H100" s="83"/>
    </row>
    <row r="101" spans="1:8">
      <c r="A101" s="83"/>
      <c r="B101" s="82"/>
      <c r="C101" s="82"/>
      <c r="D101" s="82"/>
      <c r="E101" s="82"/>
      <c r="F101" s="83"/>
      <c r="G101" s="83"/>
      <c r="H101" s="83"/>
    </row>
    <row r="102" spans="1:8">
      <c r="A102" s="83"/>
      <c r="B102" s="82"/>
      <c r="C102" s="82"/>
      <c r="D102" s="82"/>
      <c r="E102" s="82"/>
      <c r="F102" s="83"/>
      <c r="G102" s="83"/>
      <c r="H102" s="83"/>
    </row>
    <row r="103" spans="1:8">
      <c r="A103" s="83"/>
      <c r="B103" s="82"/>
      <c r="C103" s="82"/>
      <c r="D103" s="82"/>
      <c r="E103" s="82"/>
      <c r="F103" s="83"/>
      <c r="G103" s="83"/>
      <c r="H103" s="83"/>
    </row>
    <row r="104" spans="1:8">
      <c r="A104" s="83"/>
      <c r="B104" s="82"/>
      <c r="C104" s="82"/>
      <c r="D104" s="82"/>
      <c r="E104" s="82"/>
      <c r="F104" s="83"/>
      <c r="G104" s="83"/>
      <c r="H104" s="83"/>
    </row>
    <row r="105" spans="1:8">
      <c r="A105" s="83"/>
      <c r="B105" s="82"/>
      <c r="C105" s="82"/>
      <c r="D105" s="82"/>
      <c r="E105" s="82"/>
      <c r="F105" s="83"/>
      <c r="G105" s="83"/>
      <c r="H105" s="83"/>
    </row>
    <row r="106" spans="1:8">
      <c r="A106" s="83"/>
      <c r="B106" s="82"/>
      <c r="C106" s="82"/>
      <c r="D106" s="82"/>
      <c r="E106" s="82"/>
      <c r="F106" s="83"/>
      <c r="G106" s="83"/>
      <c r="H106" s="83"/>
    </row>
    <row r="107" spans="1:8">
      <c r="A107" s="83"/>
      <c r="B107" s="82"/>
      <c r="C107" s="82"/>
      <c r="D107" s="82"/>
      <c r="E107" s="82"/>
      <c r="F107" s="83"/>
      <c r="G107" s="83"/>
      <c r="H107" s="83"/>
    </row>
    <row r="108" spans="1:8">
      <c r="A108" s="83"/>
      <c r="B108" s="82"/>
      <c r="C108" s="82"/>
      <c r="D108" s="82"/>
      <c r="E108" s="82"/>
      <c r="F108" s="83"/>
      <c r="G108" s="83"/>
      <c r="H108" s="83"/>
    </row>
    <row r="109" spans="1:8">
      <c r="A109" s="83"/>
      <c r="B109" s="82"/>
      <c r="C109" s="82"/>
      <c r="D109" s="82"/>
      <c r="E109" s="82"/>
      <c r="F109" s="83"/>
      <c r="G109" s="83"/>
      <c r="H109" s="83"/>
    </row>
    <row r="110" spans="1:8">
      <c r="A110" s="83"/>
      <c r="B110" s="82"/>
      <c r="C110" s="82"/>
      <c r="D110" s="82"/>
      <c r="E110" s="82"/>
      <c r="F110" s="83"/>
      <c r="G110" s="83"/>
      <c r="H110" s="83"/>
    </row>
    <row r="111" spans="1:8">
      <c r="A111" s="83"/>
      <c r="B111" s="82"/>
      <c r="C111" s="82"/>
      <c r="D111" s="82"/>
      <c r="E111" s="82"/>
      <c r="F111" s="83"/>
      <c r="G111" s="83"/>
      <c r="H111" s="83"/>
    </row>
    <row r="112" spans="1:8">
      <c r="A112" s="83"/>
      <c r="B112" s="82"/>
      <c r="C112" s="82"/>
      <c r="D112" s="82"/>
      <c r="E112" s="82"/>
      <c r="F112" s="83"/>
      <c r="G112" s="83"/>
      <c r="H112" s="83"/>
    </row>
    <row r="113" spans="1:8">
      <c r="A113" s="83"/>
      <c r="B113" s="82"/>
      <c r="C113" s="82"/>
      <c r="D113" s="82"/>
      <c r="E113" s="82"/>
      <c r="F113" s="83"/>
      <c r="G113" s="83"/>
      <c r="H113" s="83"/>
    </row>
    <row r="114" spans="1:8">
      <c r="A114" s="83"/>
      <c r="B114" s="82"/>
      <c r="C114" s="82"/>
      <c r="D114" s="82"/>
      <c r="E114" s="82"/>
      <c r="F114" s="83"/>
      <c r="G114" s="83"/>
      <c r="H114" s="83"/>
    </row>
    <row r="115" spans="1:8">
      <c r="A115" s="83"/>
      <c r="B115" s="82"/>
      <c r="C115" s="82"/>
      <c r="D115" s="82"/>
      <c r="E115" s="82"/>
      <c r="F115" s="83"/>
      <c r="G115" s="83"/>
      <c r="H115" s="83"/>
    </row>
    <row r="116" spans="1:8">
      <c r="A116" s="83"/>
      <c r="B116" s="82"/>
      <c r="C116" s="82"/>
      <c r="D116" s="82"/>
      <c r="E116" s="82"/>
      <c r="F116" s="83"/>
      <c r="G116" s="83"/>
      <c r="H116" s="83"/>
    </row>
    <row r="117" spans="1:8">
      <c r="A117" s="83"/>
      <c r="B117" s="82"/>
      <c r="C117" s="82"/>
      <c r="D117" s="82"/>
      <c r="E117" s="82"/>
      <c r="F117" s="83"/>
      <c r="G117" s="83"/>
      <c r="H117" s="83"/>
    </row>
    <row r="118" spans="1:8">
      <c r="A118" s="83"/>
      <c r="B118" s="82"/>
      <c r="C118" s="82"/>
      <c r="D118" s="82"/>
      <c r="E118" s="82"/>
      <c r="F118" s="83"/>
      <c r="G118" s="83"/>
      <c r="H118" s="83"/>
    </row>
    <row r="119" spans="1:8">
      <c r="A119" s="83"/>
      <c r="B119" s="82"/>
      <c r="C119" s="82"/>
      <c r="D119" s="82"/>
      <c r="E119" s="82"/>
      <c r="F119" s="83"/>
      <c r="G119" s="83"/>
      <c r="H119" s="83"/>
    </row>
    <row r="120" spans="1:8">
      <c r="A120" s="83"/>
      <c r="B120" s="82"/>
      <c r="C120" s="82"/>
      <c r="D120" s="82"/>
      <c r="E120" s="82"/>
      <c r="F120" s="83"/>
      <c r="G120" s="83"/>
      <c r="H120" s="83"/>
    </row>
    <row r="121" spans="1:8">
      <c r="A121" s="83"/>
      <c r="B121" s="82"/>
      <c r="C121" s="82"/>
      <c r="D121" s="82"/>
      <c r="E121" s="82"/>
      <c r="F121" s="83"/>
      <c r="G121" s="83"/>
      <c r="H121" s="83"/>
    </row>
    <row r="122" spans="1:8">
      <c r="A122" s="83"/>
      <c r="B122" s="82"/>
      <c r="C122" s="82"/>
      <c r="D122" s="82"/>
      <c r="E122" s="82"/>
      <c r="F122" s="83"/>
      <c r="G122" s="83"/>
      <c r="H122" s="83"/>
    </row>
    <row r="123" spans="1:8">
      <c r="A123" s="83"/>
      <c r="B123" s="82"/>
      <c r="C123" s="82"/>
      <c r="D123" s="82"/>
      <c r="E123" s="82"/>
      <c r="F123" s="83"/>
      <c r="G123" s="83"/>
      <c r="H123" s="83"/>
    </row>
    <row r="124" spans="1:8">
      <c r="A124" s="83"/>
      <c r="B124" s="82"/>
      <c r="C124" s="82"/>
      <c r="D124" s="82"/>
      <c r="E124" s="82"/>
      <c r="F124" s="83"/>
      <c r="G124" s="83"/>
      <c r="H124" s="83"/>
    </row>
    <row r="125" spans="1:8">
      <c r="A125" s="83"/>
      <c r="B125" s="82"/>
      <c r="C125" s="82"/>
      <c r="D125" s="82"/>
      <c r="E125" s="82"/>
      <c r="F125" s="83"/>
      <c r="G125" s="83"/>
      <c r="H125" s="83"/>
    </row>
    <row r="126" spans="1:8">
      <c r="A126" s="83"/>
      <c r="B126" s="82"/>
      <c r="C126" s="82"/>
      <c r="D126" s="82"/>
      <c r="E126" s="82"/>
      <c r="F126" s="83"/>
      <c r="G126" s="83"/>
      <c r="H126" s="83"/>
    </row>
    <row r="127" spans="1:8">
      <c r="A127" s="83"/>
      <c r="B127" s="82"/>
      <c r="C127" s="82"/>
      <c r="D127" s="82"/>
      <c r="E127" s="82"/>
      <c r="F127" s="83"/>
      <c r="G127" s="83"/>
      <c r="H127" s="83"/>
    </row>
    <row r="128" spans="1:8">
      <c r="A128" s="83"/>
      <c r="B128" s="82"/>
      <c r="C128" s="82"/>
      <c r="D128" s="82"/>
      <c r="E128" s="82"/>
      <c r="F128" s="83"/>
      <c r="G128" s="83"/>
      <c r="H128" s="83"/>
    </row>
    <row r="129" spans="1:8">
      <c r="A129" s="83"/>
      <c r="B129" s="82"/>
      <c r="C129" s="82"/>
      <c r="D129" s="82"/>
      <c r="E129" s="82"/>
      <c r="F129" s="83"/>
      <c r="G129" s="83"/>
      <c r="H129" s="83"/>
    </row>
    <row r="130" spans="1:8">
      <c r="A130" s="83"/>
      <c r="B130" s="82"/>
      <c r="C130" s="82"/>
      <c r="D130" s="82"/>
      <c r="E130" s="82"/>
      <c r="F130" s="83"/>
      <c r="G130" s="83"/>
      <c r="H130" s="83"/>
    </row>
    <row r="131" spans="1:8">
      <c r="A131" s="83"/>
      <c r="B131" s="82"/>
      <c r="C131" s="82"/>
      <c r="D131" s="82"/>
      <c r="E131" s="82"/>
      <c r="F131" s="83"/>
      <c r="G131" s="83"/>
      <c r="H131" s="83"/>
    </row>
    <row r="132" spans="1:8">
      <c r="A132" s="83"/>
      <c r="B132" s="82"/>
      <c r="C132" s="82"/>
      <c r="D132" s="82"/>
      <c r="E132" s="82"/>
      <c r="F132" s="83"/>
      <c r="G132" s="83"/>
      <c r="H132" s="83"/>
    </row>
    <row r="133" spans="1:8">
      <c r="A133" s="83"/>
      <c r="B133" s="82"/>
      <c r="C133" s="82"/>
      <c r="D133" s="82"/>
      <c r="E133" s="82"/>
      <c r="F133" s="83"/>
      <c r="G133" s="83"/>
      <c r="H133" s="83"/>
    </row>
    <row r="134" spans="1:8">
      <c r="A134" s="83"/>
      <c r="B134" s="82"/>
      <c r="C134" s="82"/>
      <c r="D134" s="82"/>
      <c r="E134" s="82"/>
      <c r="F134" s="83"/>
      <c r="G134" s="83"/>
      <c r="H134" s="83"/>
    </row>
    <row r="135" spans="1:8">
      <c r="A135" s="83"/>
      <c r="B135" s="82"/>
      <c r="C135" s="82"/>
      <c r="D135" s="82"/>
      <c r="E135" s="82"/>
      <c r="F135" s="83"/>
      <c r="G135" s="83"/>
      <c r="H135" s="83"/>
    </row>
    <row r="136" spans="1:8">
      <c r="A136" s="83"/>
      <c r="B136" s="82"/>
      <c r="C136" s="82"/>
      <c r="D136" s="82"/>
      <c r="E136" s="82"/>
      <c r="F136" s="83"/>
      <c r="G136" s="83"/>
      <c r="H136" s="83"/>
    </row>
    <row r="137" spans="1:8">
      <c r="A137" s="83"/>
      <c r="B137" s="82"/>
      <c r="C137" s="82"/>
      <c r="D137" s="82"/>
      <c r="E137" s="82"/>
      <c r="F137" s="83"/>
      <c r="G137" s="83"/>
      <c r="H137" s="83"/>
    </row>
    <row r="138" spans="1:8">
      <c r="A138" s="83"/>
      <c r="B138" s="82"/>
      <c r="C138" s="82"/>
      <c r="D138" s="82"/>
      <c r="E138" s="82"/>
      <c r="F138" s="83"/>
      <c r="G138" s="83"/>
      <c r="H138" s="83"/>
    </row>
    <row r="139" spans="1:8">
      <c r="A139" s="83"/>
      <c r="B139" s="82"/>
      <c r="C139" s="82"/>
      <c r="D139" s="82"/>
      <c r="E139" s="82"/>
      <c r="F139" s="83"/>
      <c r="G139" s="83"/>
      <c r="H139" s="83"/>
    </row>
    <row r="140" spans="1:8">
      <c r="A140" s="83"/>
      <c r="B140" s="82"/>
      <c r="C140" s="82"/>
      <c r="D140" s="82"/>
      <c r="E140" s="82"/>
      <c r="F140" s="83"/>
      <c r="G140" s="83"/>
      <c r="H140" s="83"/>
    </row>
    <row r="141" spans="1:8">
      <c r="A141" s="83"/>
      <c r="B141" s="82"/>
      <c r="C141" s="82"/>
      <c r="D141" s="82"/>
      <c r="E141" s="82"/>
      <c r="F141" s="83"/>
      <c r="G141" s="83"/>
      <c r="H141" s="83"/>
    </row>
    <row r="142" spans="1:8">
      <c r="A142" s="83"/>
      <c r="B142" s="82"/>
      <c r="C142" s="82"/>
      <c r="D142" s="82"/>
      <c r="E142" s="82"/>
      <c r="F142" s="83"/>
      <c r="G142" s="83"/>
      <c r="H142" s="83"/>
    </row>
    <row r="143" spans="1:8">
      <c r="A143" s="83"/>
      <c r="B143" s="82"/>
      <c r="C143" s="82"/>
      <c r="D143" s="82"/>
      <c r="E143" s="82"/>
      <c r="F143" s="83"/>
      <c r="G143" s="83"/>
      <c r="H143" s="83"/>
    </row>
    <row r="144" spans="1:8">
      <c r="A144" s="83"/>
      <c r="B144" s="82"/>
      <c r="C144" s="82"/>
      <c r="D144" s="82"/>
      <c r="E144" s="82"/>
      <c r="F144" s="83"/>
      <c r="G144" s="83"/>
      <c r="H144" s="83"/>
    </row>
    <row r="145" spans="1:8">
      <c r="A145" s="83"/>
      <c r="B145" s="82"/>
      <c r="C145" s="82"/>
      <c r="D145" s="82"/>
      <c r="E145" s="82"/>
      <c r="F145" s="83"/>
      <c r="G145" s="83"/>
      <c r="H145" s="83"/>
    </row>
    <row r="146" spans="1:8">
      <c r="A146" s="83"/>
      <c r="B146" s="82"/>
      <c r="C146" s="82"/>
      <c r="D146" s="82"/>
      <c r="E146" s="82"/>
      <c r="F146" s="83"/>
      <c r="G146" s="83"/>
      <c r="H146" s="83"/>
    </row>
    <row r="147" spans="1:8">
      <c r="A147" s="83"/>
      <c r="B147" s="82"/>
      <c r="C147" s="82"/>
      <c r="D147" s="82"/>
      <c r="E147" s="82"/>
      <c r="F147" s="83"/>
      <c r="G147" s="83"/>
      <c r="H147" s="83"/>
    </row>
    <row r="148" spans="1:8">
      <c r="A148" s="83"/>
      <c r="B148" s="82"/>
      <c r="C148" s="82"/>
      <c r="D148" s="82"/>
      <c r="E148" s="82"/>
      <c r="F148" s="83"/>
      <c r="G148" s="83"/>
      <c r="H148" s="83"/>
    </row>
    <row r="149" spans="1:8">
      <c r="A149" s="83"/>
      <c r="B149" s="82"/>
      <c r="C149" s="82"/>
      <c r="D149" s="82"/>
      <c r="E149" s="82"/>
      <c r="F149" s="83"/>
      <c r="G149" s="83"/>
      <c r="H149" s="83"/>
    </row>
    <row r="150" spans="1:8">
      <c r="A150" s="83"/>
      <c r="B150" s="82"/>
      <c r="C150" s="82"/>
      <c r="D150" s="82"/>
      <c r="E150" s="82"/>
      <c r="F150" s="83"/>
      <c r="G150" s="83"/>
      <c r="H150" s="83"/>
    </row>
    <row r="151" spans="1:8">
      <c r="A151" s="83"/>
      <c r="B151" s="82"/>
      <c r="C151" s="82"/>
      <c r="D151" s="82"/>
      <c r="E151" s="82"/>
      <c r="F151" s="83"/>
      <c r="G151" s="83"/>
      <c r="H151" s="83"/>
    </row>
    <row r="152" spans="1:8">
      <c r="A152" s="83"/>
      <c r="B152" s="82"/>
      <c r="C152" s="82"/>
      <c r="D152" s="82"/>
      <c r="E152" s="82"/>
      <c r="F152" s="83"/>
      <c r="G152" s="83"/>
      <c r="H152" s="83"/>
    </row>
    <row r="153" spans="1:8">
      <c r="A153" s="83"/>
      <c r="B153" s="82"/>
      <c r="C153" s="82"/>
      <c r="D153" s="82"/>
      <c r="E153" s="82"/>
      <c r="F153" s="83"/>
      <c r="G153" s="83"/>
      <c r="H153" s="83"/>
    </row>
    <row r="154" spans="1:8">
      <c r="A154" s="83"/>
      <c r="B154" s="82"/>
      <c r="C154" s="82"/>
      <c r="D154" s="82"/>
      <c r="E154" s="82"/>
      <c r="F154" s="83"/>
      <c r="G154" s="83"/>
      <c r="H154" s="83"/>
    </row>
    <row r="155" spans="1:8">
      <c r="A155" s="83"/>
      <c r="B155" s="82"/>
      <c r="C155" s="82"/>
      <c r="D155" s="82"/>
      <c r="E155" s="82"/>
      <c r="F155" s="83"/>
      <c r="G155" s="83"/>
      <c r="H155" s="83"/>
    </row>
    <row r="156" spans="1:8">
      <c r="A156" s="83"/>
      <c r="B156" s="82"/>
      <c r="C156" s="82"/>
      <c r="D156" s="82"/>
      <c r="E156" s="82"/>
      <c r="F156" s="83"/>
      <c r="G156" s="83"/>
      <c r="H156" s="83"/>
    </row>
    <row r="157" spans="1:8">
      <c r="A157" s="83"/>
      <c r="B157" s="82"/>
      <c r="C157" s="82"/>
      <c r="D157" s="82"/>
      <c r="E157" s="82"/>
      <c r="F157" s="83"/>
      <c r="G157" s="83"/>
      <c r="H157" s="83"/>
    </row>
    <row r="158" spans="1:8">
      <c r="A158" s="83"/>
      <c r="B158" s="82"/>
      <c r="C158" s="82"/>
      <c r="D158" s="82"/>
      <c r="E158" s="82"/>
      <c r="F158" s="83"/>
      <c r="G158" s="83"/>
      <c r="H158" s="83"/>
    </row>
    <row r="159" spans="1:8">
      <c r="A159" s="83"/>
      <c r="B159" s="82"/>
      <c r="C159" s="82"/>
      <c r="D159" s="82"/>
      <c r="E159" s="82"/>
      <c r="F159" s="83"/>
      <c r="G159" s="83"/>
      <c r="H159" s="83"/>
    </row>
    <row r="160" spans="1:8">
      <c r="A160" s="83"/>
      <c r="B160" s="82"/>
      <c r="C160" s="82"/>
      <c r="D160" s="82"/>
      <c r="E160" s="82"/>
      <c r="F160" s="83"/>
      <c r="G160" s="83"/>
      <c r="H160" s="83"/>
    </row>
    <row r="161" spans="1:8">
      <c r="A161" s="83"/>
      <c r="B161" s="82"/>
      <c r="C161" s="82"/>
      <c r="D161" s="82"/>
      <c r="E161" s="82"/>
      <c r="F161" s="83"/>
      <c r="G161" s="83"/>
      <c r="H161" s="83"/>
    </row>
    <row r="162" spans="1:8">
      <c r="A162" s="83"/>
      <c r="B162" s="82"/>
      <c r="C162" s="82"/>
      <c r="D162" s="82"/>
      <c r="E162" s="82"/>
      <c r="F162" s="83"/>
      <c r="G162" s="83"/>
      <c r="H162" s="83"/>
    </row>
    <row r="163" spans="1:8">
      <c r="A163" s="83"/>
      <c r="B163" s="82"/>
      <c r="C163" s="82"/>
      <c r="D163" s="82"/>
      <c r="E163" s="82"/>
      <c r="F163" s="83"/>
      <c r="G163" s="83"/>
      <c r="H163" s="83"/>
    </row>
    <row r="164" spans="1:8">
      <c r="A164" s="83"/>
      <c r="B164" s="82"/>
      <c r="C164" s="82"/>
      <c r="D164" s="82"/>
      <c r="E164" s="82"/>
      <c r="F164" s="83"/>
      <c r="G164" s="83"/>
      <c r="H164" s="83"/>
    </row>
    <row r="165" spans="1:8">
      <c r="A165" s="83"/>
      <c r="B165" s="82"/>
      <c r="C165" s="82"/>
      <c r="D165" s="82"/>
      <c r="E165" s="82"/>
      <c r="F165" s="83"/>
      <c r="G165" s="83"/>
      <c r="H165" s="83"/>
    </row>
    <row r="166" spans="1:8">
      <c r="A166" s="83"/>
      <c r="B166" s="82"/>
      <c r="C166" s="82"/>
      <c r="D166" s="82"/>
      <c r="E166" s="82"/>
      <c r="F166" s="83"/>
      <c r="G166" s="83"/>
      <c r="H166" s="83"/>
    </row>
    <row r="167" spans="1:8">
      <c r="A167" s="83"/>
      <c r="B167" s="82"/>
      <c r="C167" s="82"/>
      <c r="D167" s="82"/>
      <c r="E167" s="82"/>
      <c r="F167" s="83"/>
      <c r="G167" s="83"/>
      <c r="H167" s="83"/>
    </row>
    <row r="168" spans="1:8">
      <c r="A168" s="83"/>
      <c r="B168" s="82"/>
      <c r="C168" s="82"/>
      <c r="D168" s="82"/>
      <c r="E168" s="82"/>
      <c r="F168" s="83"/>
      <c r="G168" s="83"/>
      <c r="H168" s="83"/>
    </row>
    <row r="169" spans="1:8">
      <c r="A169" s="83"/>
      <c r="B169" s="82"/>
      <c r="C169" s="82"/>
      <c r="D169" s="82"/>
      <c r="E169" s="82"/>
      <c r="F169" s="83"/>
      <c r="G169" s="83"/>
      <c r="H169" s="83"/>
    </row>
    <row r="170" spans="1:8">
      <c r="A170" s="83"/>
      <c r="B170" s="82"/>
      <c r="C170" s="82"/>
      <c r="D170" s="82"/>
      <c r="E170" s="82"/>
      <c r="F170" s="83"/>
      <c r="G170" s="83"/>
      <c r="H170" s="83"/>
    </row>
    <row r="171" spans="1:8">
      <c r="A171" s="83"/>
      <c r="B171" s="82"/>
      <c r="C171" s="82"/>
      <c r="D171" s="82"/>
      <c r="E171" s="82"/>
      <c r="F171" s="83"/>
      <c r="G171" s="83"/>
      <c r="H171" s="83"/>
    </row>
    <row r="172" spans="1:8">
      <c r="A172" s="83"/>
      <c r="B172" s="82"/>
      <c r="C172" s="82"/>
      <c r="D172" s="82"/>
      <c r="E172" s="82"/>
      <c r="F172" s="83"/>
      <c r="G172" s="83"/>
      <c r="H172" s="83"/>
    </row>
    <row r="173" spans="1:8">
      <c r="A173" s="83"/>
      <c r="B173" s="82"/>
      <c r="C173" s="82"/>
      <c r="D173" s="82"/>
      <c r="E173" s="82"/>
      <c r="F173" s="83"/>
      <c r="G173" s="83"/>
      <c r="H173" s="83"/>
    </row>
    <row r="174" spans="1:8">
      <c r="A174" s="83"/>
      <c r="B174" s="82"/>
      <c r="C174" s="82"/>
      <c r="D174" s="82"/>
      <c r="E174" s="82"/>
      <c r="F174" s="83"/>
      <c r="G174" s="83"/>
      <c r="H174" s="83"/>
    </row>
    <row r="175" spans="1:8">
      <c r="A175" s="83"/>
      <c r="B175" s="82"/>
      <c r="C175" s="82"/>
      <c r="D175" s="82"/>
      <c r="E175" s="82"/>
      <c r="F175" s="83"/>
      <c r="G175" s="83"/>
      <c r="H175" s="83"/>
    </row>
    <row r="176" spans="1:8">
      <c r="A176" s="83"/>
      <c r="B176" s="82"/>
      <c r="C176" s="82"/>
      <c r="D176" s="82"/>
      <c r="E176" s="82"/>
      <c r="F176" s="83"/>
      <c r="G176" s="83"/>
      <c r="H176" s="83"/>
    </row>
    <row r="177" spans="1:8">
      <c r="A177" s="83"/>
      <c r="B177" s="82"/>
      <c r="C177" s="82"/>
      <c r="D177" s="82"/>
      <c r="E177" s="82"/>
      <c r="F177" s="83"/>
      <c r="G177" s="83"/>
      <c r="H177" s="83"/>
    </row>
    <row r="178" spans="1:8">
      <c r="A178" s="83"/>
      <c r="B178" s="82"/>
      <c r="C178" s="82"/>
      <c r="D178" s="82"/>
      <c r="E178" s="82"/>
      <c r="F178" s="83"/>
      <c r="G178" s="83"/>
      <c r="H178" s="83"/>
    </row>
    <row r="179" spans="1:8">
      <c r="A179" s="83"/>
      <c r="B179" s="82"/>
      <c r="C179" s="82"/>
      <c r="D179" s="82"/>
      <c r="E179" s="82"/>
      <c r="F179" s="83"/>
      <c r="G179" s="83"/>
      <c r="H179" s="83"/>
    </row>
    <row r="180" spans="1:8">
      <c r="A180" s="83"/>
      <c r="B180" s="82"/>
      <c r="C180" s="82"/>
      <c r="D180" s="82"/>
      <c r="E180" s="82"/>
      <c r="F180" s="83"/>
      <c r="G180" s="83"/>
      <c r="H180" s="83"/>
    </row>
    <row r="181" spans="1:8">
      <c r="A181" s="83"/>
      <c r="B181" s="82"/>
      <c r="C181" s="82"/>
      <c r="D181" s="82"/>
      <c r="E181" s="82"/>
      <c r="F181" s="83"/>
      <c r="G181" s="83"/>
      <c r="H181" s="83"/>
    </row>
    <row r="182" spans="1:8">
      <c r="A182" s="83"/>
      <c r="B182" s="82"/>
      <c r="C182" s="82"/>
      <c r="D182" s="82"/>
      <c r="E182" s="82"/>
      <c r="F182" s="83"/>
      <c r="G182" s="83"/>
      <c r="H182" s="83"/>
    </row>
    <row r="183" spans="1:8">
      <c r="A183" s="83"/>
      <c r="B183" s="82"/>
      <c r="C183" s="82"/>
      <c r="D183" s="82"/>
      <c r="E183" s="82"/>
      <c r="F183" s="83"/>
      <c r="G183" s="83"/>
      <c r="H183" s="83"/>
    </row>
    <row r="184" spans="1:8">
      <c r="A184" s="83"/>
      <c r="B184" s="82"/>
      <c r="C184" s="82"/>
      <c r="D184" s="82"/>
      <c r="E184" s="82"/>
      <c r="F184" s="83"/>
      <c r="G184" s="83"/>
      <c r="H184" s="83"/>
    </row>
    <row r="185" spans="1:8">
      <c r="A185" s="83"/>
      <c r="B185" s="82"/>
      <c r="C185" s="82"/>
      <c r="D185" s="82"/>
      <c r="E185" s="82"/>
      <c r="F185" s="83"/>
      <c r="G185" s="83"/>
      <c r="H185" s="83"/>
    </row>
    <row r="186" spans="1:8">
      <c r="A186" s="83"/>
      <c r="B186" s="82"/>
      <c r="C186" s="82"/>
      <c r="D186" s="82"/>
      <c r="E186" s="82"/>
      <c r="F186" s="83"/>
      <c r="G186" s="83"/>
      <c r="H186" s="83"/>
    </row>
    <row r="187" spans="1:8">
      <c r="A187" s="83"/>
      <c r="B187" s="82"/>
      <c r="C187" s="82"/>
      <c r="D187" s="82"/>
      <c r="E187" s="82"/>
      <c r="F187" s="83"/>
      <c r="G187" s="83"/>
      <c r="H187" s="83"/>
    </row>
    <row r="188" spans="1:8">
      <c r="A188" s="83"/>
      <c r="B188" s="82"/>
      <c r="C188" s="82"/>
      <c r="D188" s="82"/>
      <c r="E188" s="82"/>
      <c r="F188" s="83"/>
      <c r="G188" s="83"/>
      <c r="H188" s="83"/>
    </row>
    <row r="189" spans="1:8">
      <c r="A189" s="83"/>
      <c r="B189" s="82"/>
      <c r="C189" s="82"/>
      <c r="D189" s="82"/>
      <c r="E189" s="82"/>
      <c r="F189" s="83"/>
      <c r="G189" s="83"/>
      <c r="H189" s="83"/>
    </row>
    <row r="190" spans="1:8">
      <c r="A190" s="83"/>
      <c r="B190" s="82"/>
      <c r="C190" s="82"/>
      <c r="D190" s="82"/>
      <c r="E190" s="82"/>
      <c r="F190" s="83"/>
      <c r="G190" s="83"/>
      <c r="H190" s="83"/>
    </row>
    <row r="191" spans="1:8">
      <c r="A191" s="83"/>
      <c r="B191" s="82"/>
      <c r="C191" s="82"/>
      <c r="D191" s="82"/>
      <c r="E191" s="82"/>
      <c r="F191" s="83"/>
      <c r="G191" s="83"/>
      <c r="H191" s="83"/>
    </row>
    <row r="192" spans="1:8">
      <c r="A192" s="83"/>
      <c r="B192" s="82"/>
      <c r="C192" s="82"/>
      <c r="D192" s="82"/>
      <c r="E192" s="82"/>
      <c r="F192" s="83"/>
      <c r="G192" s="83"/>
      <c r="H192" s="83"/>
    </row>
    <row r="193" spans="1:8">
      <c r="A193" s="83"/>
      <c r="B193" s="82"/>
      <c r="C193" s="82"/>
      <c r="D193" s="82"/>
      <c r="E193" s="82"/>
      <c r="F193" s="83"/>
      <c r="G193" s="83"/>
      <c r="H193" s="83"/>
    </row>
    <row r="194" spans="1:8">
      <c r="A194" s="83"/>
      <c r="B194" s="82"/>
      <c r="C194" s="82"/>
      <c r="D194" s="82"/>
      <c r="E194" s="82"/>
      <c r="F194" s="83"/>
      <c r="G194" s="83"/>
      <c r="H194" s="83"/>
    </row>
    <row r="195" spans="1:8">
      <c r="A195" s="83"/>
      <c r="B195" s="82"/>
      <c r="C195" s="82"/>
      <c r="D195" s="82"/>
      <c r="E195" s="82"/>
      <c r="F195" s="83"/>
      <c r="G195" s="83"/>
      <c r="H195" s="83"/>
    </row>
    <row r="196" spans="1:8">
      <c r="A196" s="83"/>
      <c r="B196" s="82"/>
      <c r="C196" s="82"/>
      <c r="D196" s="82"/>
      <c r="E196" s="82"/>
      <c r="F196" s="83"/>
      <c r="G196" s="83"/>
      <c r="H196" s="83"/>
    </row>
    <row r="197" spans="1:8">
      <c r="A197" s="83"/>
      <c r="B197" s="82"/>
      <c r="C197" s="82"/>
      <c r="D197" s="82"/>
      <c r="E197" s="82"/>
      <c r="F197" s="83"/>
      <c r="G197" s="83"/>
      <c r="H197" s="83"/>
    </row>
    <row r="198" spans="1:8">
      <c r="A198" s="83"/>
      <c r="B198" s="82"/>
      <c r="C198" s="82"/>
      <c r="D198" s="82"/>
      <c r="E198" s="82"/>
      <c r="F198" s="83"/>
      <c r="G198" s="83"/>
      <c r="H198" s="83"/>
    </row>
    <row r="199" spans="1:8">
      <c r="A199" s="83"/>
      <c r="B199" s="82"/>
      <c r="C199" s="82"/>
      <c r="D199" s="82"/>
      <c r="E199" s="82"/>
      <c r="F199" s="83"/>
      <c r="G199" s="83"/>
      <c r="H199" s="83"/>
    </row>
    <row r="200" spans="1:8">
      <c r="A200" s="83"/>
      <c r="B200" s="82"/>
      <c r="C200" s="82"/>
      <c r="D200" s="82"/>
      <c r="E200" s="82"/>
      <c r="F200" s="83"/>
      <c r="G200" s="83"/>
      <c r="H200" s="83"/>
    </row>
    <row r="201" spans="1:8">
      <c r="A201" s="83"/>
      <c r="B201" s="82"/>
      <c r="C201" s="82"/>
      <c r="D201" s="82"/>
      <c r="E201" s="82"/>
      <c r="F201" s="83"/>
      <c r="G201" s="83"/>
      <c r="H201" s="83"/>
    </row>
    <row r="202" spans="1:8">
      <c r="A202" s="83"/>
      <c r="B202" s="82"/>
      <c r="C202" s="82"/>
      <c r="D202" s="82"/>
      <c r="E202" s="82"/>
      <c r="F202" s="83"/>
      <c r="G202" s="83"/>
      <c r="H202" s="83"/>
    </row>
    <row r="203" spans="1:8">
      <c r="A203" s="83"/>
      <c r="B203" s="82"/>
      <c r="C203" s="82"/>
      <c r="D203" s="82"/>
      <c r="E203" s="82"/>
      <c r="F203" s="83"/>
      <c r="G203" s="83"/>
      <c r="H203" s="83"/>
    </row>
    <row r="204" spans="1:8">
      <c r="A204" s="83"/>
      <c r="B204" s="82"/>
      <c r="C204" s="82"/>
      <c r="D204" s="82"/>
      <c r="E204" s="82"/>
      <c r="F204" s="83"/>
      <c r="G204" s="83"/>
      <c r="H204" s="83"/>
    </row>
    <row r="205" spans="1:8">
      <c r="A205" s="83"/>
      <c r="B205" s="82"/>
      <c r="C205" s="82"/>
      <c r="D205" s="82"/>
      <c r="E205" s="82"/>
      <c r="F205" s="83"/>
      <c r="G205" s="83"/>
      <c r="H205" s="83"/>
    </row>
    <row r="206" spans="1:8">
      <c r="A206" s="83"/>
      <c r="B206" s="82"/>
      <c r="C206" s="82"/>
      <c r="D206" s="82"/>
      <c r="E206" s="82"/>
      <c r="F206" s="83"/>
      <c r="G206" s="83"/>
      <c r="H206" s="83"/>
    </row>
    <row r="207" spans="1:8">
      <c r="A207" s="83"/>
      <c r="B207" s="82"/>
      <c r="C207" s="82"/>
      <c r="D207" s="82"/>
      <c r="E207" s="82"/>
      <c r="F207" s="83"/>
      <c r="G207" s="83"/>
      <c r="H207" s="83"/>
    </row>
    <row r="208" spans="1:8">
      <c r="A208" s="83"/>
      <c r="B208" s="82"/>
      <c r="C208" s="82"/>
      <c r="D208" s="82"/>
      <c r="E208" s="82"/>
      <c r="F208" s="83"/>
      <c r="G208" s="83"/>
      <c r="H208" s="83"/>
    </row>
    <row r="209" spans="1:8">
      <c r="A209" s="83"/>
      <c r="B209" s="82"/>
      <c r="C209" s="82"/>
      <c r="D209" s="82"/>
      <c r="E209" s="82"/>
      <c r="F209" s="83"/>
      <c r="G209" s="83"/>
      <c r="H209" s="83"/>
    </row>
    <row r="210" spans="1:8">
      <c r="A210" s="83"/>
      <c r="B210" s="82"/>
      <c r="C210" s="82"/>
      <c r="D210" s="82"/>
      <c r="E210" s="82"/>
      <c r="F210" s="83"/>
      <c r="G210" s="83"/>
      <c r="H210" s="83"/>
    </row>
    <row r="211" spans="1:8">
      <c r="A211" s="83"/>
      <c r="B211" s="82"/>
      <c r="C211" s="82"/>
      <c r="D211" s="82"/>
      <c r="E211" s="82"/>
      <c r="F211" s="83"/>
      <c r="G211" s="83"/>
      <c r="H211" s="83"/>
    </row>
    <row r="212" spans="1:8">
      <c r="A212" s="83"/>
      <c r="B212" s="82"/>
      <c r="C212" s="82"/>
      <c r="D212" s="82"/>
      <c r="E212" s="82"/>
      <c r="F212" s="83"/>
      <c r="G212" s="83"/>
      <c r="H212" s="83"/>
    </row>
    <row r="213" spans="1:8">
      <c r="A213" s="83"/>
      <c r="B213" s="82"/>
      <c r="C213" s="82"/>
      <c r="D213" s="82"/>
      <c r="E213" s="82"/>
      <c r="F213" s="83"/>
      <c r="G213" s="83"/>
      <c r="H213" s="83"/>
    </row>
    <row r="214" spans="1:8">
      <c r="A214" s="83"/>
      <c r="B214" s="82"/>
      <c r="C214" s="82"/>
      <c r="D214" s="82"/>
      <c r="E214" s="82"/>
      <c r="F214" s="83"/>
      <c r="G214" s="83"/>
      <c r="H214" s="83"/>
    </row>
    <row r="215" spans="1:8">
      <c r="A215" s="83"/>
      <c r="B215" s="82"/>
      <c r="C215" s="82"/>
      <c r="D215" s="82"/>
      <c r="E215" s="82"/>
      <c r="F215" s="83"/>
      <c r="G215" s="83"/>
      <c r="H215" s="83"/>
    </row>
    <row r="216" spans="1:8">
      <c r="A216" s="83"/>
      <c r="B216" s="82"/>
      <c r="C216" s="82"/>
      <c r="D216" s="82"/>
      <c r="E216" s="82"/>
      <c r="F216" s="83"/>
      <c r="G216" s="83"/>
      <c r="H216" s="83"/>
    </row>
    <row r="217" spans="1:8">
      <c r="A217" s="83"/>
      <c r="B217" s="82"/>
      <c r="C217" s="82"/>
      <c r="D217" s="82"/>
      <c r="E217" s="82"/>
      <c r="F217" s="83"/>
      <c r="G217" s="83"/>
      <c r="H217" s="83"/>
    </row>
    <row r="218" spans="1:8">
      <c r="A218" s="83"/>
      <c r="B218" s="82"/>
      <c r="C218" s="82"/>
      <c r="D218" s="82"/>
      <c r="E218" s="82"/>
      <c r="F218" s="83"/>
      <c r="G218" s="83"/>
      <c r="H218" s="83"/>
    </row>
    <row r="219" spans="1:8">
      <c r="A219" s="83"/>
      <c r="B219" s="82"/>
      <c r="C219" s="82"/>
      <c r="D219" s="82"/>
      <c r="E219" s="82"/>
      <c r="F219" s="83"/>
      <c r="G219" s="83"/>
      <c r="H219" s="83"/>
    </row>
    <row r="220" spans="1:8">
      <c r="A220" s="83"/>
      <c r="B220" s="82"/>
      <c r="C220" s="82"/>
      <c r="D220" s="82"/>
      <c r="E220" s="82"/>
      <c r="F220" s="83"/>
      <c r="G220" s="83"/>
      <c r="H220" s="83"/>
    </row>
    <row r="221" spans="1:8">
      <c r="A221" s="83"/>
      <c r="B221" s="82"/>
      <c r="C221" s="82"/>
      <c r="D221" s="82"/>
      <c r="E221" s="82"/>
      <c r="F221" s="83"/>
      <c r="G221" s="83"/>
      <c r="H221" s="83"/>
    </row>
    <row r="222" spans="1:8">
      <c r="A222" s="83"/>
      <c r="B222" s="82"/>
      <c r="C222" s="82"/>
      <c r="D222" s="82"/>
      <c r="E222" s="82"/>
      <c r="F222" s="83"/>
      <c r="G222" s="83"/>
      <c r="H222" s="83"/>
    </row>
    <row r="223" spans="1:8">
      <c r="A223" s="83"/>
      <c r="B223" s="82"/>
      <c r="C223" s="82"/>
      <c r="D223" s="82"/>
      <c r="E223" s="82"/>
      <c r="F223" s="83"/>
      <c r="G223" s="83"/>
      <c r="H223" s="83"/>
    </row>
    <row r="224" spans="1:8">
      <c r="A224" s="83"/>
      <c r="B224" s="82"/>
      <c r="C224" s="82"/>
      <c r="D224" s="82"/>
      <c r="E224" s="82"/>
      <c r="F224" s="83"/>
      <c r="G224" s="83"/>
      <c r="H224" s="83"/>
    </row>
    <row r="225" spans="1:8">
      <c r="A225" s="83"/>
      <c r="B225" s="82"/>
      <c r="C225" s="82"/>
      <c r="D225" s="82"/>
      <c r="E225" s="82"/>
      <c r="F225" s="83"/>
      <c r="G225" s="83"/>
      <c r="H225" s="83"/>
    </row>
    <row r="226" spans="1:8">
      <c r="A226" s="83"/>
      <c r="B226" s="82"/>
      <c r="C226" s="82"/>
      <c r="D226" s="82"/>
      <c r="E226" s="82"/>
      <c r="F226" s="83"/>
      <c r="G226" s="83"/>
      <c r="H226" s="83"/>
    </row>
    <row r="227" spans="1:8">
      <c r="A227" s="83"/>
      <c r="B227" s="82"/>
      <c r="C227" s="82"/>
      <c r="D227" s="82"/>
      <c r="E227" s="82"/>
      <c r="F227" s="83"/>
      <c r="G227" s="83"/>
      <c r="H227" s="83"/>
    </row>
    <row r="228" spans="1:8">
      <c r="A228" s="83"/>
      <c r="B228" s="82"/>
      <c r="C228" s="82"/>
      <c r="D228" s="82"/>
      <c r="E228" s="82"/>
      <c r="F228" s="83"/>
      <c r="G228" s="83"/>
      <c r="H228" s="83"/>
    </row>
    <row r="229" spans="1:8">
      <c r="A229" s="83"/>
      <c r="B229" s="82"/>
      <c r="C229" s="82"/>
      <c r="D229" s="82"/>
      <c r="E229" s="82"/>
      <c r="F229" s="83"/>
      <c r="G229" s="83"/>
      <c r="H229" s="83"/>
    </row>
    <row r="230" spans="1:8">
      <c r="A230" s="83"/>
      <c r="B230" s="82"/>
      <c r="C230" s="82"/>
      <c r="D230" s="82"/>
      <c r="E230" s="82"/>
      <c r="F230" s="83"/>
      <c r="G230" s="83"/>
      <c r="H230" s="83"/>
    </row>
    <row r="231" spans="1:8">
      <c r="A231" s="83"/>
      <c r="B231" s="82"/>
      <c r="C231" s="82"/>
      <c r="D231" s="82"/>
      <c r="E231" s="82"/>
      <c r="F231" s="83"/>
      <c r="G231" s="83"/>
      <c r="H231" s="83"/>
    </row>
    <row r="232" spans="1:8">
      <c r="A232" s="83"/>
      <c r="B232" s="82"/>
      <c r="C232" s="82"/>
      <c r="D232" s="82"/>
      <c r="E232" s="82"/>
      <c r="F232" s="83"/>
      <c r="G232" s="83"/>
      <c r="H232" s="83"/>
    </row>
    <row r="233" spans="1:8">
      <c r="A233" s="83"/>
      <c r="B233" s="82"/>
      <c r="C233" s="82"/>
      <c r="D233" s="82"/>
      <c r="E233" s="82"/>
      <c r="F233" s="83"/>
      <c r="G233" s="83"/>
      <c r="H233" s="83"/>
    </row>
    <row r="234" spans="1:8">
      <c r="A234" s="83"/>
      <c r="B234" s="82"/>
      <c r="C234" s="82"/>
      <c r="D234" s="82"/>
      <c r="E234" s="82"/>
      <c r="F234" s="83"/>
      <c r="G234" s="83"/>
      <c r="H234" s="83"/>
    </row>
    <row r="235" spans="1:8">
      <c r="A235" s="83"/>
      <c r="B235" s="82"/>
      <c r="C235" s="82"/>
      <c r="D235" s="82"/>
      <c r="E235" s="82"/>
      <c r="F235" s="83"/>
      <c r="G235" s="83"/>
      <c r="H235" s="83"/>
    </row>
    <row r="236" spans="1:8">
      <c r="A236" s="83"/>
      <c r="B236" s="82"/>
      <c r="C236" s="82"/>
      <c r="D236" s="82"/>
      <c r="E236" s="82"/>
      <c r="F236" s="83"/>
      <c r="G236" s="83"/>
      <c r="H236" s="83"/>
    </row>
    <row r="237" spans="1:8">
      <c r="A237" s="83"/>
      <c r="B237" s="82"/>
      <c r="C237" s="82"/>
      <c r="D237" s="82"/>
      <c r="E237" s="82"/>
      <c r="F237" s="83"/>
      <c r="G237" s="83"/>
      <c r="H237" s="83"/>
    </row>
    <row r="238" spans="1:8">
      <c r="A238" s="83"/>
      <c r="B238" s="82"/>
      <c r="C238" s="82"/>
      <c r="D238" s="82"/>
      <c r="E238" s="82"/>
      <c r="F238" s="83"/>
      <c r="G238" s="83"/>
      <c r="H238" s="83"/>
    </row>
    <row r="239" spans="1:8">
      <c r="A239" s="83"/>
      <c r="B239" s="82"/>
      <c r="C239" s="82"/>
      <c r="D239" s="82"/>
      <c r="E239" s="82"/>
      <c r="F239" s="83"/>
      <c r="G239" s="83"/>
      <c r="H239" s="83"/>
    </row>
    <row r="240" spans="1:8">
      <c r="A240" s="83"/>
      <c r="B240" s="82"/>
      <c r="C240" s="82"/>
      <c r="D240" s="82"/>
      <c r="E240" s="82"/>
      <c r="F240" s="83"/>
      <c r="G240" s="83"/>
      <c r="H240" s="83"/>
    </row>
    <row r="241" spans="1:8">
      <c r="A241" s="83"/>
      <c r="B241" s="82"/>
      <c r="C241" s="82"/>
      <c r="D241" s="82"/>
      <c r="E241" s="82"/>
      <c r="F241" s="83"/>
      <c r="G241" s="83"/>
      <c r="H241" s="83"/>
    </row>
    <row r="242" spans="1:8">
      <c r="A242" s="83"/>
      <c r="B242" s="82"/>
      <c r="C242" s="82"/>
      <c r="D242" s="82"/>
      <c r="E242" s="82"/>
      <c r="F242" s="83"/>
      <c r="G242" s="83"/>
      <c r="H242" s="83"/>
    </row>
    <row r="243" spans="1:8">
      <c r="A243" s="83"/>
      <c r="B243" s="82"/>
      <c r="C243" s="82"/>
      <c r="D243" s="82"/>
      <c r="E243" s="82"/>
      <c r="F243" s="83"/>
      <c r="G243" s="83"/>
      <c r="H243" s="83"/>
    </row>
    <row r="244" spans="1:8">
      <c r="A244" s="83"/>
      <c r="B244" s="82"/>
      <c r="C244" s="82"/>
      <c r="D244" s="82"/>
      <c r="E244" s="82"/>
      <c r="F244" s="83"/>
      <c r="G244" s="83"/>
      <c r="H244" s="83"/>
    </row>
    <row r="245" spans="1:8">
      <c r="A245" s="83"/>
      <c r="B245" s="82"/>
      <c r="C245" s="82"/>
      <c r="D245" s="82"/>
      <c r="E245" s="82"/>
      <c r="F245" s="83"/>
      <c r="G245" s="83"/>
      <c r="H245" s="83"/>
    </row>
    <row r="246" spans="1:8">
      <c r="A246" s="83"/>
      <c r="B246" s="82"/>
      <c r="C246" s="82"/>
      <c r="D246" s="82"/>
      <c r="E246" s="82"/>
      <c r="F246" s="83"/>
      <c r="G246" s="83"/>
      <c r="H246" s="83"/>
    </row>
    <row r="247" spans="1:8">
      <c r="A247" s="83"/>
      <c r="B247" s="82"/>
      <c r="C247" s="82"/>
      <c r="D247" s="82"/>
      <c r="E247" s="82"/>
      <c r="F247" s="83"/>
      <c r="G247" s="83"/>
      <c r="H247" s="83"/>
    </row>
    <row r="248" spans="1:8">
      <c r="A248" s="83"/>
      <c r="B248" s="82"/>
      <c r="C248" s="82"/>
      <c r="D248" s="82"/>
      <c r="E248" s="82"/>
      <c r="F248" s="83"/>
      <c r="G248" s="83"/>
      <c r="H248" s="83"/>
    </row>
    <row r="249" spans="1:8">
      <c r="A249" s="83"/>
      <c r="B249" s="82"/>
      <c r="C249" s="82"/>
      <c r="D249" s="82"/>
      <c r="E249" s="82"/>
      <c r="F249" s="83"/>
      <c r="G249" s="83"/>
      <c r="H249" s="83"/>
    </row>
    <row r="250" spans="1:8">
      <c r="A250" s="83"/>
      <c r="B250" s="82"/>
      <c r="C250" s="82"/>
      <c r="D250" s="82"/>
      <c r="E250" s="82"/>
      <c r="F250" s="83"/>
      <c r="G250" s="83"/>
      <c r="H250" s="83"/>
    </row>
    <row r="251" spans="1:8">
      <c r="A251" s="83"/>
      <c r="B251" s="82"/>
      <c r="C251" s="82"/>
      <c r="D251" s="82"/>
      <c r="E251" s="82"/>
      <c r="F251" s="83"/>
      <c r="G251" s="83"/>
      <c r="H251" s="83"/>
    </row>
    <row r="252" spans="1:8">
      <c r="A252" s="83"/>
      <c r="B252" s="82"/>
      <c r="C252" s="82"/>
      <c r="D252" s="82"/>
      <c r="E252" s="82"/>
      <c r="F252" s="83"/>
      <c r="G252" s="83"/>
      <c r="H252" s="83"/>
    </row>
    <row r="253" spans="1:8">
      <c r="A253" s="83"/>
      <c r="B253" s="82"/>
      <c r="C253" s="82"/>
      <c r="D253" s="82"/>
      <c r="E253" s="82"/>
      <c r="F253" s="83"/>
      <c r="G253" s="83"/>
      <c r="H253" s="83"/>
    </row>
    <row r="254" spans="1:8">
      <c r="A254" s="83"/>
      <c r="B254" s="82"/>
      <c r="C254" s="82"/>
      <c r="D254" s="82"/>
      <c r="E254" s="82"/>
      <c r="F254" s="83"/>
      <c r="G254" s="83"/>
      <c r="H254" s="83"/>
    </row>
    <row r="255" spans="1:8">
      <c r="A255" s="83"/>
      <c r="B255" s="82"/>
      <c r="C255" s="82"/>
      <c r="D255" s="82"/>
      <c r="E255" s="82"/>
      <c r="F255" s="83"/>
      <c r="G255" s="83"/>
      <c r="H255" s="83"/>
    </row>
    <row r="256" spans="1:8">
      <c r="A256" s="83"/>
      <c r="B256" s="82"/>
      <c r="C256" s="82"/>
      <c r="D256" s="82"/>
      <c r="E256" s="82"/>
      <c r="F256" s="83"/>
      <c r="G256" s="83"/>
      <c r="H256" s="83"/>
    </row>
    <row r="257" spans="1:8">
      <c r="A257" s="83"/>
      <c r="B257" s="82"/>
      <c r="C257" s="82"/>
      <c r="D257" s="82"/>
      <c r="E257" s="82"/>
      <c r="F257" s="83"/>
      <c r="G257" s="83"/>
      <c r="H257" s="83"/>
    </row>
    <row r="258" spans="1:8">
      <c r="A258" s="83"/>
      <c r="B258" s="82"/>
      <c r="C258" s="82"/>
      <c r="D258" s="82"/>
      <c r="E258" s="82"/>
      <c r="F258" s="83"/>
      <c r="G258" s="83"/>
      <c r="H258" s="83"/>
    </row>
    <row r="259" spans="1:8">
      <c r="A259" s="83"/>
      <c r="B259" s="82"/>
      <c r="C259" s="82"/>
      <c r="D259" s="82"/>
      <c r="E259" s="82"/>
      <c r="F259" s="83"/>
      <c r="G259" s="83"/>
      <c r="H259" s="83"/>
    </row>
    <row r="260" spans="1:8">
      <c r="A260" s="83"/>
      <c r="B260" s="82"/>
      <c r="C260" s="82"/>
      <c r="D260" s="82"/>
      <c r="E260" s="82"/>
      <c r="F260" s="83"/>
      <c r="G260" s="83"/>
      <c r="H260" s="83"/>
    </row>
    <row r="261" spans="1:8">
      <c r="A261" s="83"/>
      <c r="B261" s="82"/>
      <c r="C261" s="82"/>
      <c r="D261" s="82"/>
      <c r="E261" s="82"/>
      <c r="F261" s="83"/>
      <c r="G261" s="83"/>
      <c r="H261" s="83"/>
    </row>
    <row r="262" spans="1:8">
      <c r="A262" s="83"/>
      <c r="B262" s="82"/>
      <c r="C262" s="82"/>
      <c r="D262" s="82"/>
      <c r="E262" s="82"/>
      <c r="F262" s="83"/>
      <c r="G262" s="83"/>
      <c r="H262" s="83"/>
    </row>
    <row r="263" spans="1:8">
      <c r="A263" s="83"/>
      <c r="B263" s="82"/>
      <c r="C263" s="82"/>
      <c r="D263" s="82"/>
      <c r="E263" s="82"/>
      <c r="F263" s="83"/>
      <c r="G263" s="83"/>
      <c r="H263" s="83"/>
    </row>
    <row r="264" spans="1:8">
      <c r="A264" s="83"/>
      <c r="B264" s="82"/>
      <c r="C264" s="82"/>
      <c r="D264" s="82"/>
      <c r="E264" s="82"/>
      <c r="F264" s="83"/>
      <c r="G264" s="83"/>
      <c r="H264" s="83"/>
    </row>
    <row r="265" spans="1:8">
      <c r="A265" s="83"/>
      <c r="B265" s="82"/>
      <c r="C265" s="82"/>
      <c r="D265" s="82"/>
      <c r="E265" s="82"/>
      <c r="F265" s="83"/>
      <c r="G265" s="83"/>
      <c r="H265" s="83"/>
    </row>
    <row r="266" spans="1:8">
      <c r="A266" s="83"/>
      <c r="B266" s="82"/>
      <c r="C266" s="82"/>
      <c r="D266" s="82"/>
      <c r="E266" s="82"/>
      <c r="F266" s="83"/>
      <c r="G266" s="83"/>
      <c r="H266" s="83"/>
    </row>
    <row r="267" spans="1:8">
      <c r="A267" s="83"/>
      <c r="B267" s="82"/>
      <c r="C267" s="82"/>
      <c r="D267" s="82"/>
      <c r="E267" s="82"/>
      <c r="F267" s="83"/>
      <c r="G267" s="83"/>
      <c r="H267" s="83"/>
    </row>
    <row r="268" spans="1:8">
      <c r="A268" s="83"/>
      <c r="B268" s="82"/>
      <c r="C268" s="82"/>
      <c r="D268" s="82"/>
      <c r="E268" s="82"/>
      <c r="F268" s="83"/>
      <c r="G268" s="83"/>
      <c r="H268" s="83"/>
    </row>
    <row r="269" spans="1:8">
      <c r="A269" s="83"/>
      <c r="B269" s="82"/>
      <c r="C269" s="82"/>
      <c r="D269" s="82"/>
      <c r="E269" s="82"/>
      <c r="F269" s="83"/>
      <c r="G269" s="83"/>
      <c r="H269" s="83"/>
    </row>
    <row r="270" spans="1:8">
      <c r="A270" s="83"/>
      <c r="B270" s="82"/>
      <c r="C270" s="82"/>
      <c r="D270" s="82"/>
      <c r="E270" s="82"/>
      <c r="F270" s="83"/>
      <c r="G270" s="83"/>
      <c r="H270" s="83"/>
    </row>
    <row r="271" spans="1:8">
      <c r="A271" s="83"/>
      <c r="B271" s="82"/>
      <c r="C271" s="82"/>
      <c r="D271" s="82"/>
      <c r="E271" s="82"/>
      <c r="F271" s="83"/>
      <c r="G271" s="83"/>
      <c r="H271" s="83"/>
    </row>
    <row r="272" spans="1:8">
      <c r="A272" s="83"/>
      <c r="B272" s="82"/>
      <c r="C272" s="82"/>
      <c r="D272" s="82"/>
      <c r="E272" s="82"/>
      <c r="F272" s="83"/>
      <c r="G272" s="83"/>
      <c r="H272" s="83"/>
    </row>
    <row r="273" spans="1:8">
      <c r="A273" s="83"/>
      <c r="B273" s="82"/>
      <c r="C273" s="82"/>
      <c r="D273" s="82"/>
      <c r="E273" s="82"/>
      <c r="F273" s="83"/>
      <c r="G273" s="83"/>
      <c r="H273" s="83"/>
    </row>
    <row r="274" spans="1:8">
      <c r="A274" s="83"/>
      <c r="B274" s="82"/>
      <c r="C274" s="82"/>
      <c r="D274" s="82"/>
      <c r="E274" s="82"/>
      <c r="F274" s="83"/>
      <c r="G274" s="83"/>
      <c r="H274" s="83"/>
    </row>
    <row r="275" spans="1:8">
      <c r="A275" s="83"/>
      <c r="B275" s="82"/>
      <c r="C275" s="82"/>
      <c r="D275" s="82"/>
      <c r="E275" s="82"/>
      <c r="F275" s="83"/>
      <c r="G275" s="83"/>
      <c r="H275" s="83"/>
    </row>
    <row r="276" spans="1:8">
      <c r="A276" s="83"/>
      <c r="B276" s="82"/>
      <c r="C276" s="82"/>
      <c r="D276" s="82"/>
      <c r="E276" s="82"/>
      <c r="F276" s="83"/>
      <c r="G276" s="83"/>
      <c r="H276" s="83"/>
    </row>
    <row r="277" spans="1:8">
      <c r="A277" s="83"/>
      <c r="B277" s="82"/>
      <c r="C277" s="82"/>
      <c r="D277" s="82"/>
      <c r="E277" s="82"/>
      <c r="F277" s="83"/>
      <c r="G277" s="83"/>
      <c r="H277" s="83"/>
    </row>
    <row r="278" spans="1:8">
      <c r="A278" s="83"/>
      <c r="B278" s="82"/>
      <c r="C278" s="82"/>
      <c r="D278" s="82"/>
      <c r="E278" s="82"/>
      <c r="F278" s="83"/>
      <c r="G278" s="83"/>
      <c r="H278" s="83"/>
    </row>
    <row r="279" spans="1:8">
      <c r="A279" s="83"/>
      <c r="B279" s="82"/>
      <c r="C279" s="82"/>
      <c r="D279" s="82"/>
      <c r="E279" s="82"/>
      <c r="F279" s="83"/>
      <c r="G279" s="83"/>
      <c r="H279" s="83"/>
    </row>
    <row r="280" spans="1:8">
      <c r="A280" s="83"/>
      <c r="B280" s="82"/>
      <c r="C280" s="82"/>
      <c r="D280" s="82"/>
      <c r="E280" s="82"/>
      <c r="F280" s="83"/>
      <c r="G280" s="83"/>
      <c r="H280" s="83"/>
    </row>
    <row r="281" spans="1:8">
      <c r="A281" s="83"/>
      <c r="B281" s="82"/>
      <c r="C281" s="82"/>
      <c r="D281" s="82"/>
      <c r="E281" s="82"/>
      <c r="F281" s="83"/>
      <c r="G281" s="83"/>
      <c r="H281" s="83"/>
    </row>
    <row r="282" spans="1:8">
      <c r="A282" s="83"/>
      <c r="B282" s="82"/>
      <c r="C282" s="82"/>
      <c r="D282" s="82"/>
      <c r="E282" s="82"/>
      <c r="F282" s="83"/>
      <c r="G282" s="83"/>
      <c r="H282" s="83"/>
    </row>
    <row r="283" spans="1:8">
      <c r="A283" s="83"/>
      <c r="B283" s="82"/>
      <c r="C283" s="82"/>
      <c r="D283" s="82"/>
      <c r="E283" s="82"/>
      <c r="F283" s="83"/>
      <c r="G283" s="83"/>
      <c r="H283" s="83"/>
    </row>
    <row r="284" spans="1:8">
      <c r="A284" s="83"/>
      <c r="B284" s="82"/>
      <c r="C284" s="82"/>
      <c r="D284" s="82"/>
      <c r="E284" s="82"/>
      <c r="F284" s="83"/>
      <c r="G284" s="83"/>
      <c r="H284" s="83"/>
    </row>
    <row r="285" spans="1:8">
      <c r="A285" s="83"/>
      <c r="B285" s="82"/>
      <c r="C285" s="82"/>
      <c r="D285" s="82"/>
      <c r="E285" s="82"/>
      <c r="F285" s="83"/>
      <c r="G285" s="83"/>
      <c r="H285" s="83"/>
    </row>
    <row r="286" spans="1:8">
      <c r="A286" s="83"/>
      <c r="B286" s="82"/>
      <c r="C286" s="82"/>
      <c r="D286" s="82"/>
      <c r="E286" s="82"/>
      <c r="F286" s="83"/>
      <c r="G286" s="83"/>
      <c r="H286" s="83"/>
    </row>
    <row r="287" spans="1:8">
      <c r="A287" s="83"/>
      <c r="B287" s="82"/>
      <c r="C287" s="82"/>
      <c r="D287" s="82"/>
      <c r="E287" s="82"/>
      <c r="F287" s="83"/>
      <c r="G287" s="83"/>
      <c r="H287" s="83"/>
    </row>
    <row r="288" spans="1:8">
      <c r="A288" s="83"/>
      <c r="B288" s="82"/>
      <c r="C288" s="82"/>
      <c r="D288" s="82"/>
      <c r="E288" s="82"/>
      <c r="F288" s="83"/>
      <c r="G288" s="83"/>
      <c r="H288" s="83"/>
    </row>
    <row r="289" spans="1:8">
      <c r="A289" s="83"/>
      <c r="B289" s="82"/>
      <c r="C289" s="82"/>
      <c r="D289" s="82"/>
      <c r="E289" s="82"/>
      <c r="F289" s="83"/>
      <c r="G289" s="83"/>
      <c r="H289" s="83"/>
    </row>
    <row r="290" spans="1:8">
      <c r="A290" s="83"/>
      <c r="B290" s="82"/>
      <c r="C290" s="82"/>
      <c r="D290" s="82"/>
      <c r="E290" s="82"/>
      <c r="F290" s="83"/>
      <c r="G290" s="83"/>
      <c r="H290" s="83"/>
    </row>
    <row r="291" spans="1:8">
      <c r="A291" s="83"/>
      <c r="B291" s="82"/>
      <c r="C291" s="82"/>
      <c r="D291" s="82"/>
      <c r="E291" s="82"/>
      <c r="F291" s="83"/>
      <c r="G291" s="83"/>
      <c r="H291" s="83"/>
    </row>
    <row r="292" spans="1:8">
      <c r="A292" s="83"/>
      <c r="B292" s="82"/>
      <c r="C292" s="82"/>
      <c r="D292" s="82"/>
      <c r="E292" s="82"/>
      <c r="F292" s="83"/>
      <c r="G292" s="83"/>
      <c r="H292" s="83"/>
    </row>
    <row r="293" spans="1:8">
      <c r="A293" s="83"/>
      <c r="B293" s="82"/>
      <c r="C293" s="82"/>
      <c r="D293" s="82"/>
      <c r="E293" s="82"/>
      <c r="F293" s="83"/>
      <c r="G293" s="83"/>
      <c r="H293" s="83"/>
    </row>
    <row r="294" spans="1:8">
      <c r="A294" s="83"/>
      <c r="B294" s="82"/>
      <c r="C294" s="82"/>
      <c r="D294" s="82"/>
      <c r="E294" s="82"/>
      <c r="F294" s="83"/>
      <c r="G294" s="83"/>
      <c r="H294" s="83"/>
    </row>
    <row r="295" spans="1:8">
      <c r="A295" s="83"/>
      <c r="B295" s="82"/>
      <c r="C295" s="82"/>
      <c r="D295" s="82"/>
      <c r="E295" s="82"/>
      <c r="F295" s="83"/>
      <c r="G295" s="83"/>
      <c r="H295" s="83"/>
    </row>
    <row r="296" spans="1:8">
      <c r="A296" s="83"/>
      <c r="B296" s="82"/>
      <c r="C296" s="82"/>
      <c r="D296" s="82"/>
      <c r="E296" s="82"/>
      <c r="F296" s="83"/>
      <c r="G296" s="83"/>
      <c r="H296" s="83"/>
    </row>
    <row r="297" spans="1:8">
      <c r="A297" s="83"/>
      <c r="B297" s="82"/>
      <c r="C297" s="82"/>
      <c r="D297" s="82"/>
      <c r="E297" s="82"/>
      <c r="F297" s="83"/>
      <c r="G297" s="83"/>
      <c r="H297" s="83"/>
    </row>
    <row r="298" spans="1:8">
      <c r="A298" s="83"/>
      <c r="B298" s="82"/>
      <c r="C298" s="82"/>
      <c r="D298" s="82"/>
      <c r="E298" s="82"/>
      <c r="F298" s="83"/>
      <c r="G298" s="83"/>
      <c r="H298" s="83"/>
    </row>
    <row r="299" spans="1:8">
      <c r="A299" s="83"/>
      <c r="B299" s="82"/>
      <c r="C299" s="82"/>
      <c r="D299" s="82"/>
      <c r="E299" s="82"/>
      <c r="F299" s="83"/>
      <c r="G299" s="83"/>
      <c r="H299" s="83"/>
    </row>
    <row r="300" spans="1:8">
      <c r="A300" s="83"/>
      <c r="B300" s="82"/>
      <c r="C300" s="82"/>
      <c r="D300" s="82"/>
      <c r="E300" s="82"/>
      <c r="F300" s="83"/>
      <c r="G300" s="83"/>
      <c r="H300" s="83"/>
    </row>
    <row r="301" spans="1:8">
      <c r="A301" s="83"/>
      <c r="B301" s="82"/>
      <c r="C301" s="82"/>
      <c r="D301" s="82"/>
      <c r="E301" s="82"/>
      <c r="F301" s="83"/>
      <c r="G301" s="83"/>
      <c r="H301" s="83"/>
    </row>
    <row r="302" spans="1:8">
      <c r="A302" s="83"/>
      <c r="B302" s="82"/>
      <c r="C302" s="82"/>
      <c r="D302" s="82"/>
      <c r="E302" s="82"/>
      <c r="F302" s="83"/>
      <c r="G302" s="83"/>
      <c r="H302" s="83"/>
    </row>
    <row r="303" spans="1:8">
      <c r="A303" s="83"/>
      <c r="B303" s="82"/>
      <c r="C303" s="82"/>
      <c r="D303" s="82"/>
      <c r="E303" s="82"/>
      <c r="F303" s="83"/>
      <c r="G303" s="83"/>
      <c r="H303" s="83"/>
    </row>
    <row r="304" spans="1:8">
      <c r="A304" s="83"/>
      <c r="B304" s="82"/>
      <c r="C304" s="82"/>
      <c r="D304" s="82"/>
      <c r="E304" s="82"/>
      <c r="F304" s="83"/>
      <c r="G304" s="83"/>
      <c r="H304" s="83"/>
    </row>
    <row r="305" spans="1:8">
      <c r="A305" s="83"/>
      <c r="B305" s="82"/>
      <c r="C305" s="82"/>
      <c r="D305" s="82"/>
      <c r="E305" s="82"/>
      <c r="F305" s="83"/>
      <c r="G305" s="83"/>
      <c r="H305" s="83"/>
    </row>
    <row r="306" spans="1:8">
      <c r="A306" s="83"/>
      <c r="B306" s="82"/>
      <c r="C306" s="82"/>
      <c r="D306" s="82"/>
      <c r="E306" s="82"/>
      <c r="F306" s="83"/>
      <c r="G306" s="83"/>
      <c r="H306" s="83"/>
    </row>
    <row r="307" spans="1:8">
      <c r="A307" s="83"/>
      <c r="B307" s="82"/>
      <c r="C307" s="82"/>
      <c r="D307" s="82"/>
      <c r="E307" s="82"/>
      <c r="F307" s="83"/>
      <c r="G307" s="83"/>
      <c r="H307" s="83"/>
    </row>
    <row r="308" spans="1:8">
      <c r="A308" s="83"/>
      <c r="B308" s="82"/>
      <c r="C308" s="82"/>
      <c r="D308" s="82"/>
      <c r="E308" s="82"/>
      <c r="F308" s="83"/>
      <c r="G308" s="83"/>
      <c r="H308" s="83"/>
    </row>
    <row r="309" spans="1:8">
      <c r="A309" s="83"/>
      <c r="B309" s="82"/>
      <c r="C309" s="82"/>
      <c r="D309" s="82"/>
      <c r="E309" s="82"/>
      <c r="F309" s="83"/>
      <c r="G309" s="83"/>
      <c r="H309" s="83"/>
    </row>
    <row r="310" spans="1:8">
      <c r="A310" s="83"/>
      <c r="B310" s="82"/>
      <c r="C310" s="82"/>
      <c r="D310" s="82"/>
      <c r="E310" s="82"/>
      <c r="F310" s="83"/>
      <c r="G310" s="83"/>
      <c r="H310" s="83"/>
    </row>
    <row r="311" spans="1:8">
      <c r="A311" s="83"/>
      <c r="B311" s="82"/>
      <c r="C311" s="82"/>
      <c r="D311" s="82"/>
      <c r="E311" s="82"/>
      <c r="F311" s="83"/>
      <c r="G311" s="83"/>
      <c r="H311" s="83"/>
    </row>
    <row r="312" spans="1:8">
      <c r="A312" s="83"/>
      <c r="B312" s="82"/>
      <c r="C312" s="82"/>
      <c r="D312" s="82"/>
      <c r="E312" s="82"/>
      <c r="F312" s="83"/>
      <c r="G312" s="83"/>
      <c r="H312" s="83"/>
    </row>
    <row r="313" spans="1:8">
      <c r="A313" s="83"/>
      <c r="B313" s="82"/>
      <c r="C313" s="82"/>
      <c r="D313" s="82"/>
      <c r="E313" s="82"/>
      <c r="F313" s="83"/>
      <c r="G313" s="83"/>
      <c r="H313" s="83"/>
    </row>
    <row r="314" spans="1:8">
      <c r="A314" s="83"/>
      <c r="B314" s="82"/>
      <c r="C314" s="82"/>
      <c r="D314" s="82"/>
      <c r="E314" s="82"/>
      <c r="F314" s="83"/>
      <c r="G314" s="83"/>
      <c r="H314" s="83"/>
    </row>
    <row r="315" spans="1:8">
      <c r="A315" s="83"/>
      <c r="B315" s="82"/>
      <c r="C315" s="82"/>
      <c r="D315" s="82"/>
      <c r="E315" s="82"/>
      <c r="F315" s="83"/>
      <c r="G315" s="83"/>
      <c r="H315" s="83"/>
    </row>
    <row r="316" spans="1:8">
      <c r="A316" s="83"/>
      <c r="B316" s="82"/>
      <c r="C316" s="82"/>
      <c r="D316" s="82"/>
      <c r="E316" s="82"/>
      <c r="F316" s="83"/>
      <c r="G316" s="83"/>
      <c r="H316" s="83"/>
    </row>
    <row r="317" spans="1:8">
      <c r="A317" s="83"/>
      <c r="B317" s="82"/>
      <c r="C317" s="82"/>
      <c r="D317" s="82"/>
      <c r="E317" s="82"/>
      <c r="F317" s="83"/>
      <c r="G317" s="83"/>
      <c r="H317" s="83"/>
    </row>
    <row r="318" spans="1:8">
      <c r="A318" s="83"/>
      <c r="B318" s="82"/>
      <c r="C318" s="82"/>
      <c r="D318" s="82"/>
      <c r="E318" s="82"/>
      <c r="F318" s="83"/>
      <c r="G318" s="83"/>
      <c r="H318" s="83"/>
    </row>
    <row r="319" spans="1:8">
      <c r="A319" s="83"/>
      <c r="B319" s="82"/>
      <c r="C319" s="82"/>
      <c r="D319" s="82"/>
      <c r="E319" s="82"/>
      <c r="F319" s="83"/>
      <c r="G319" s="83"/>
      <c r="H319" s="83"/>
    </row>
    <row r="320" spans="1:8">
      <c r="A320" s="83"/>
      <c r="B320" s="82"/>
      <c r="C320" s="82"/>
      <c r="D320" s="82"/>
      <c r="E320" s="82"/>
      <c r="F320" s="83"/>
      <c r="G320" s="83"/>
      <c r="H320" s="83"/>
    </row>
    <row r="321" spans="1:8">
      <c r="A321" s="83"/>
      <c r="B321" s="82"/>
      <c r="C321" s="82"/>
      <c r="D321" s="82"/>
      <c r="E321" s="82"/>
      <c r="F321" s="83"/>
      <c r="G321" s="83"/>
      <c r="H321" s="83"/>
    </row>
    <row r="322" spans="1:8">
      <c r="A322" s="83"/>
      <c r="B322" s="82"/>
      <c r="C322" s="82"/>
      <c r="D322" s="82"/>
      <c r="E322" s="82"/>
      <c r="F322" s="83"/>
      <c r="G322" s="83"/>
      <c r="H322" s="83"/>
    </row>
    <row r="323" spans="1:8">
      <c r="A323" s="83"/>
      <c r="B323" s="82"/>
      <c r="C323" s="82"/>
      <c r="D323" s="82"/>
      <c r="E323" s="82"/>
      <c r="F323" s="83"/>
      <c r="G323" s="83"/>
      <c r="H323" s="83"/>
    </row>
    <row r="324" spans="1:8">
      <c r="A324" s="83"/>
      <c r="B324" s="82"/>
      <c r="C324" s="82"/>
      <c r="D324" s="82"/>
      <c r="E324" s="82"/>
      <c r="F324" s="83"/>
      <c r="G324" s="83"/>
      <c r="H324" s="83"/>
    </row>
    <row r="325" spans="1:8">
      <c r="A325" s="83"/>
      <c r="B325" s="82"/>
      <c r="C325" s="82"/>
      <c r="D325" s="82"/>
      <c r="E325" s="82"/>
      <c r="F325" s="83"/>
      <c r="G325" s="83"/>
      <c r="H325" s="83"/>
    </row>
    <row r="326" spans="1:8">
      <c r="A326" s="83"/>
      <c r="B326" s="82"/>
      <c r="C326" s="82"/>
      <c r="D326" s="82"/>
      <c r="E326" s="82"/>
      <c r="F326" s="83"/>
      <c r="G326" s="83"/>
      <c r="H326" s="83"/>
    </row>
    <row r="327" spans="1:8">
      <c r="A327" s="83"/>
      <c r="B327" s="82"/>
      <c r="C327" s="82"/>
      <c r="D327" s="82"/>
      <c r="E327" s="82"/>
      <c r="F327" s="83"/>
      <c r="G327" s="83"/>
      <c r="H327" s="83"/>
    </row>
    <row r="328" spans="1:8">
      <c r="A328" s="83"/>
      <c r="B328" s="82"/>
      <c r="C328" s="82"/>
      <c r="D328" s="82"/>
      <c r="E328" s="82"/>
      <c r="F328" s="83"/>
      <c r="G328" s="83"/>
      <c r="H328" s="83"/>
    </row>
    <row r="329" spans="1:8">
      <c r="A329" s="83"/>
      <c r="B329" s="82"/>
      <c r="C329" s="82"/>
      <c r="D329" s="82"/>
      <c r="E329" s="82"/>
      <c r="F329" s="83"/>
      <c r="G329" s="83"/>
      <c r="H329" s="83"/>
    </row>
    <row r="330" spans="1:8">
      <c r="A330" s="83"/>
      <c r="B330" s="82"/>
      <c r="C330" s="82"/>
      <c r="D330" s="82"/>
      <c r="E330" s="82"/>
      <c r="F330" s="83"/>
      <c r="G330" s="83"/>
      <c r="H330" s="83"/>
    </row>
    <row r="331" spans="1:8">
      <c r="A331" s="83"/>
      <c r="B331" s="82"/>
      <c r="C331" s="82"/>
      <c r="D331" s="82"/>
      <c r="E331" s="82"/>
      <c r="F331" s="83"/>
      <c r="G331" s="83"/>
      <c r="H331" s="83"/>
    </row>
    <row r="332" spans="1:8">
      <c r="A332" s="83"/>
      <c r="B332" s="82"/>
      <c r="C332" s="82"/>
      <c r="D332" s="82"/>
      <c r="E332" s="82"/>
      <c r="F332" s="83"/>
      <c r="G332" s="83"/>
      <c r="H332" s="83"/>
    </row>
    <row r="333" spans="1:8">
      <c r="A333" s="83"/>
      <c r="B333" s="82"/>
      <c r="C333" s="82"/>
      <c r="D333" s="82"/>
      <c r="E333" s="82"/>
      <c r="F333" s="83"/>
      <c r="G333" s="83"/>
      <c r="H333" s="83"/>
    </row>
    <row r="334" spans="1:8">
      <c r="A334" s="83"/>
      <c r="B334" s="82"/>
      <c r="C334" s="82"/>
      <c r="D334" s="82"/>
      <c r="E334" s="82"/>
      <c r="F334" s="83"/>
      <c r="G334" s="83"/>
      <c r="H334" s="83"/>
    </row>
    <row r="335" spans="1:8">
      <c r="A335" s="83"/>
      <c r="B335" s="82"/>
      <c r="C335" s="82"/>
      <c r="D335" s="82"/>
      <c r="E335" s="82"/>
      <c r="F335" s="83"/>
      <c r="G335" s="83"/>
      <c r="H335" s="83"/>
    </row>
    <row r="336" spans="1:8">
      <c r="A336" s="83"/>
      <c r="B336" s="82"/>
      <c r="C336" s="82"/>
      <c r="D336" s="82"/>
      <c r="E336" s="82"/>
      <c r="F336" s="83"/>
      <c r="G336" s="83"/>
      <c r="H336" s="83"/>
    </row>
    <row r="337" spans="1:8">
      <c r="A337" s="83"/>
      <c r="B337" s="82"/>
      <c r="C337" s="82"/>
      <c r="D337" s="82"/>
      <c r="E337" s="82"/>
      <c r="F337" s="83"/>
      <c r="G337" s="83"/>
      <c r="H337" s="83"/>
    </row>
    <row r="338" spans="1:8">
      <c r="A338" s="83"/>
      <c r="B338" s="82"/>
      <c r="C338" s="82"/>
      <c r="D338" s="82"/>
      <c r="E338" s="82"/>
      <c r="F338" s="83"/>
      <c r="G338" s="83"/>
      <c r="H338" s="83"/>
    </row>
    <row r="339" spans="1:8">
      <c r="A339" s="83"/>
      <c r="B339" s="82"/>
      <c r="C339" s="82"/>
      <c r="D339" s="82"/>
      <c r="E339" s="82"/>
      <c r="F339" s="83"/>
      <c r="G339" s="83"/>
      <c r="H339" s="83"/>
    </row>
    <row r="340" spans="1:8">
      <c r="A340" s="83"/>
      <c r="B340" s="82"/>
      <c r="C340" s="82"/>
      <c r="D340" s="82"/>
      <c r="E340" s="82"/>
      <c r="F340" s="83"/>
      <c r="G340" s="83"/>
      <c r="H340" s="83"/>
    </row>
    <row r="341" spans="1:8">
      <c r="A341" s="83"/>
      <c r="B341" s="82"/>
      <c r="C341" s="82"/>
      <c r="D341" s="82"/>
      <c r="E341" s="82"/>
      <c r="F341" s="83"/>
      <c r="G341" s="83"/>
      <c r="H341" s="83"/>
    </row>
    <row r="342" spans="1:8">
      <c r="A342" s="83"/>
      <c r="B342" s="82"/>
      <c r="C342" s="82"/>
      <c r="D342" s="82"/>
      <c r="E342" s="82"/>
      <c r="F342" s="83"/>
      <c r="G342" s="83"/>
      <c r="H342" s="83"/>
    </row>
    <row r="343" spans="1:8">
      <c r="A343" s="83"/>
      <c r="B343" s="82"/>
      <c r="C343" s="82"/>
      <c r="D343" s="82"/>
      <c r="E343" s="82"/>
      <c r="F343" s="83"/>
      <c r="G343" s="83"/>
      <c r="H343" s="83"/>
    </row>
    <row r="344" spans="1:8">
      <c r="A344" s="83"/>
      <c r="B344" s="82"/>
      <c r="C344" s="82"/>
      <c r="D344" s="82"/>
      <c r="E344" s="82"/>
      <c r="F344" s="83"/>
      <c r="G344" s="83"/>
      <c r="H344" s="83"/>
    </row>
    <row r="345" spans="1:8">
      <c r="A345" s="83"/>
      <c r="B345" s="82"/>
      <c r="C345" s="82"/>
      <c r="D345" s="82"/>
      <c r="E345" s="82"/>
      <c r="F345" s="83"/>
      <c r="G345" s="83"/>
      <c r="H345" s="83"/>
    </row>
    <row r="346" spans="1:8">
      <c r="A346" s="83"/>
      <c r="B346" s="82"/>
      <c r="C346" s="82"/>
      <c r="D346" s="82"/>
      <c r="E346" s="82"/>
      <c r="F346" s="83"/>
      <c r="G346" s="83"/>
      <c r="H346" s="83"/>
    </row>
    <row r="347" spans="1:8">
      <c r="A347" s="83"/>
      <c r="B347" s="82"/>
      <c r="C347" s="82"/>
      <c r="D347" s="82"/>
      <c r="E347" s="82"/>
      <c r="F347" s="83"/>
      <c r="G347" s="83"/>
      <c r="H347" s="83"/>
    </row>
    <row r="348" spans="1:8">
      <c r="A348" s="83"/>
      <c r="B348" s="82"/>
      <c r="C348" s="82"/>
      <c r="D348" s="82"/>
      <c r="E348" s="82"/>
      <c r="F348" s="83"/>
      <c r="G348" s="83"/>
      <c r="H348" s="83"/>
    </row>
    <row r="349" spans="1:8">
      <c r="A349" s="83"/>
      <c r="B349" s="82"/>
      <c r="C349" s="82"/>
      <c r="D349" s="82"/>
      <c r="E349" s="82"/>
      <c r="F349" s="83"/>
      <c r="G349" s="83"/>
      <c r="H349" s="83"/>
    </row>
    <row r="350" spans="1:8">
      <c r="A350" s="83"/>
      <c r="B350" s="82"/>
      <c r="C350" s="82"/>
      <c r="D350" s="82"/>
      <c r="E350" s="82"/>
      <c r="F350" s="83"/>
      <c r="G350" s="83"/>
      <c r="H350" s="83"/>
    </row>
    <row r="351" spans="1:8">
      <c r="A351" s="83"/>
      <c r="B351" s="82"/>
      <c r="C351" s="82"/>
      <c r="D351" s="82"/>
      <c r="E351" s="82"/>
      <c r="F351" s="83"/>
      <c r="G351" s="83"/>
      <c r="H351" s="83"/>
    </row>
    <row r="352" spans="1:8">
      <c r="A352" s="83"/>
      <c r="B352" s="82"/>
      <c r="C352" s="82"/>
      <c r="D352" s="82"/>
      <c r="E352" s="82"/>
      <c r="F352" s="83"/>
      <c r="G352" s="83"/>
      <c r="H352" s="83"/>
    </row>
    <row r="353" spans="1:8">
      <c r="A353" s="83"/>
      <c r="B353" s="82"/>
      <c r="C353" s="82"/>
      <c r="D353" s="82"/>
      <c r="E353" s="82"/>
      <c r="F353" s="83"/>
      <c r="G353" s="83"/>
      <c r="H353" s="83"/>
    </row>
    <row r="354" spans="1:8">
      <c r="A354" s="83"/>
      <c r="B354" s="82"/>
      <c r="C354" s="82"/>
      <c r="D354" s="82"/>
      <c r="E354" s="82"/>
      <c r="F354" s="83"/>
      <c r="G354" s="83"/>
      <c r="H354" s="83"/>
    </row>
    <row r="355" spans="1:8">
      <c r="A355" s="83"/>
      <c r="B355" s="82"/>
      <c r="C355" s="82"/>
      <c r="D355" s="82"/>
      <c r="E355" s="82"/>
      <c r="F355" s="83"/>
      <c r="G355" s="83"/>
      <c r="H355" s="83"/>
    </row>
    <row r="356" spans="1:8">
      <c r="A356" s="83"/>
      <c r="B356" s="82"/>
      <c r="C356" s="82"/>
      <c r="D356" s="82"/>
      <c r="E356" s="82"/>
      <c r="F356" s="83"/>
      <c r="G356" s="83"/>
      <c r="H356" s="83"/>
    </row>
    <row r="357" spans="1:8">
      <c r="A357" s="83"/>
      <c r="B357" s="82"/>
      <c r="C357" s="82"/>
      <c r="D357" s="82"/>
      <c r="E357" s="82"/>
      <c r="F357" s="83"/>
      <c r="G357" s="83"/>
      <c r="H357" s="83"/>
    </row>
    <row r="358" spans="1:8">
      <c r="A358" s="83"/>
      <c r="B358" s="82"/>
      <c r="C358" s="82"/>
      <c r="D358" s="82"/>
      <c r="E358" s="82"/>
      <c r="F358" s="83"/>
      <c r="G358" s="83"/>
      <c r="H358" s="83"/>
    </row>
    <row r="359" spans="1:8">
      <c r="A359" s="83"/>
      <c r="B359" s="82"/>
      <c r="C359" s="82"/>
      <c r="D359" s="82"/>
      <c r="E359" s="82"/>
      <c r="F359" s="83"/>
      <c r="G359" s="83"/>
      <c r="H359" s="83"/>
    </row>
    <row r="360" spans="1:8">
      <c r="A360" s="83"/>
      <c r="B360" s="82"/>
      <c r="C360" s="82"/>
      <c r="D360" s="82"/>
      <c r="E360" s="82"/>
      <c r="F360" s="83"/>
      <c r="G360" s="83"/>
      <c r="H360" s="83"/>
    </row>
    <row r="361" spans="1:8">
      <c r="A361" s="83"/>
      <c r="B361" s="82"/>
      <c r="C361" s="82"/>
      <c r="D361" s="82"/>
      <c r="E361" s="82"/>
      <c r="F361" s="83"/>
      <c r="G361" s="83"/>
      <c r="H361" s="83"/>
    </row>
    <row r="362" spans="1:8">
      <c r="A362" s="83"/>
      <c r="B362" s="82"/>
      <c r="C362" s="82"/>
      <c r="D362" s="82"/>
      <c r="E362" s="82"/>
      <c r="F362" s="83"/>
      <c r="G362" s="83"/>
      <c r="H362" s="83"/>
    </row>
    <row r="363" spans="1:8">
      <c r="A363" s="83"/>
      <c r="B363" s="82"/>
      <c r="C363" s="82"/>
      <c r="D363" s="82"/>
      <c r="E363" s="82"/>
      <c r="F363" s="83"/>
      <c r="G363" s="83"/>
      <c r="H363" s="83"/>
    </row>
    <row r="364" spans="1:8">
      <c r="A364" s="83"/>
      <c r="B364" s="82"/>
      <c r="C364" s="82"/>
      <c r="D364" s="82"/>
      <c r="E364" s="82"/>
      <c r="F364" s="83"/>
      <c r="G364" s="83"/>
      <c r="H364" s="83"/>
    </row>
    <row r="365" spans="1:8">
      <c r="A365" s="83"/>
      <c r="B365" s="82"/>
      <c r="C365" s="82"/>
      <c r="D365" s="82"/>
      <c r="E365" s="82"/>
      <c r="F365" s="83"/>
      <c r="G365" s="83"/>
      <c r="H365" s="83"/>
    </row>
    <row r="366" spans="1:8">
      <c r="A366" s="83"/>
      <c r="B366" s="82"/>
      <c r="C366" s="82"/>
      <c r="D366" s="82"/>
      <c r="E366" s="82"/>
      <c r="F366" s="83"/>
      <c r="G366" s="83"/>
      <c r="H366" s="83"/>
    </row>
    <row r="367" spans="1:8">
      <c r="A367" s="83"/>
      <c r="B367" s="82"/>
      <c r="C367" s="82"/>
      <c r="D367" s="82"/>
      <c r="E367" s="82"/>
      <c r="F367" s="83"/>
      <c r="G367" s="83"/>
      <c r="H367" s="83"/>
    </row>
    <row r="368" spans="1:8">
      <c r="A368" s="83"/>
      <c r="B368" s="82"/>
      <c r="C368" s="82"/>
      <c r="D368" s="82"/>
      <c r="E368" s="82"/>
      <c r="F368" s="83"/>
      <c r="G368" s="83"/>
      <c r="H368" s="83"/>
    </row>
    <row r="369" spans="1:8">
      <c r="A369" s="83"/>
      <c r="B369" s="82"/>
      <c r="C369" s="82"/>
      <c r="D369" s="82"/>
      <c r="E369" s="82"/>
      <c r="F369" s="83"/>
      <c r="G369" s="83"/>
      <c r="H369" s="83"/>
    </row>
    <row r="370" spans="1:8">
      <c r="A370" s="83"/>
      <c r="B370" s="82"/>
      <c r="C370" s="82"/>
      <c r="D370" s="82"/>
      <c r="E370" s="82"/>
      <c r="F370" s="83"/>
      <c r="G370" s="83"/>
      <c r="H370" s="83"/>
    </row>
    <row r="371" spans="1:8">
      <c r="A371" s="83"/>
      <c r="B371" s="82"/>
      <c r="C371" s="82"/>
      <c r="D371" s="82"/>
      <c r="E371" s="82"/>
      <c r="F371" s="83"/>
      <c r="G371" s="83"/>
      <c r="H371" s="83"/>
    </row>
    <row r="372" spans="1:8">
      <c r="A372" s="83"/>
      <c r="B372" s="82"/>
      <c r="C372" s="82"/>
      <c r="D372" s="82"/>
      <c r="E372" s="82"/>
      <c r="F372" s="83"/>
      <c r="G372" s="83"/>
      <c r="H372" s="83"/>
    </row>
    <row r="373" spans="1:8">
      <c r="A373" s="83"/>
      <c r="B373" s="82"/>
      <c r="C373" s="82"/>
      <c r="D373" s="82"/>
      <c r="E373" s="82"/>
      <c r="F373" s="83"/>
      <c r="G373" s="83"/>
      <c r="H373" s="83"/>
    </row>
    <row r="374" spans="1:8">
      <c r="A374" s="83"/>
      <c r="B374" s="82"/>
      <c r="C374" s="82"/>
      <c r="D374" s="82"/>
      <c r="E374" s="82"/>
      <c r="F374" s="83"/>
      <c r="G374" s="83"/>
      <c r="H374" s="83"/>
    </row>
    <row r="375" spans="1:8">
      <c r="A375" s="83"/>
      <c r="B375" s="82"/>
      <c r="C375" s="82"/>
      <c r="D375" s="82"/>
      <c r="E375" s="82"/>
      <c r="F375" s="83"/>
      <c r="G375" s="83"/>
      <c r="H375" s="83"/>
    </row>
    <row r="376" spans="1:8">
      <c r="A376" s="83"/>
      <c r="B376" s="82"/>
      <c r="C376" s="82"/>
      <c r="D376" s="82"/>
      <c r="E376" s="82"/>
      <c r="F376" s="83"/>
      <c r="G376" s="83"/>
      <c r="H376" s="83"/>
    </row>
    <row r="377" spans="1:8">
      <c r="A377" s="83"/>
      <c r="B377" s="82"/>
      <c r="C377" s="82"/>
      <c r="D377" s="82"/>
      <c r="E377" s="82"/>
      <c r="F377" s="83"/>
      <c r="G377" s="83"/>
      <c r="H377" s="83"/>
    </row>
    <row r="378" spans="1:8">
      <c r="A378" s="83"/>
      <c r="B378" s="82"/>
      <c r="C378" s="82"/>
      <c r="D378" s="82"/>
      <c r="E378" s="82"/>
      <c r="F378" s="83"/>
      <c r="G378" s="83"/>
      <c r="H378" s="83"/>
    </row>
    <row r="379" spans="1:8">
      <c r="A379" s="83"/>
      <c r="B379" s="82"/>
      <c r="C379" s="82"/>
      <c r="D379" s="82"/>
      <c r="E379" s="82"/>
      <c r="F379" s="83"/>
      <c r="G379" s="83"/>
      <c r="H379" s="83"/>
    </row>
    <row r="380" spans="1:8">
      <c r="A380" s="83"/>
      <c r="B380" s="82"/>
      <c r="C380" s="82"/>
      <c r="D380" s="82"/>
      <c r="E380" s="82"/>
      <c r="F380" s="83"/>
      <c r="G380" s="83"/>
      <c r="H380" s="83"/>
    </row>
    <row r="381" spans="1:8">
      <c r="A381" s="83"/>
      <c r="B381" s="82"/>
      <c r="C381" s="82"/>
      <c r="D381" s="82"/>
      <c r="E381" s="82"/>
      <c r="F381" s="83"/>
      <c r="G381" s="83"/>
      <c r="H381" s="83"/>
    </row>
    <row r="382" spans="1:8">
      <c r="A382" s="83"/>
      <c r="B382" s="82"/>
      <c r="C382" s="82"/>
      <c r="D382" s="82"/>
      <c r="E382" s="82"/>
      <c r="F382" s="83"/>
      <c r="G382" s="83"/>
      <c r="H382" s="83"/>
    </row>
    <row r="383" spans="1:8">
      <c r="A383" s="83"/>
      <c r="B383" s="82"/>
      <c r="C383" s="82"/>
      <c r="D383" s="82"/>
      <c r="E383" s="82"/>
      <c r="F383" s="83"/>
      <c r="G383" s="83"/>
      <c r="H383" s="83"/>
    </row>
    <row r="384" spans="1:8">
      <c r="A384" s="83"/>
      <c r="B384" s="82"/>
      <c r="C384" s="82"/>
      <c r="D384" s="82"/>
      <c r="E384" s="82"/>
      <c r="F384" s="83"/>
      <c r="G384" s="83"/>
      <c r="H384" s="83"/>
    </row>
    <row r="385" spans="1:8">
      <c r="A385" s="83"/>
      <c r="B385" s="82"/>
      <c r="C385" s="82"/>
      <c r="D385" s="82"/>
      <c r="E385" s="82"/>
      <c r="F385" s="83"/>
      <c r="G385" s="83"/>
      <c r="H385" s="83"/>
    </row>
    <row r="386" spans="1:8">
      <c r="A386" s="83"/>
      <c r="B386" s="82"/>
      <c r="C386" s="82"/>
      <c r="D386" s="82"/>
      <c r="E386" s="82"/>
      <c r="F386" s="83"/>
      <c r="G386" s="83"/>
      <c r="H386" s="83"/>
    </row>
    <row r="387" spans="1:8">
      <c r="A387" s="83"/>
      <c r="B387" s="82"/>
      <c r="C387" s="82"/>
      <c r="D387" s="82"/>
      <c r="E387" s="82"/>
      <c r="F387" s="83"/>
      <c r="G387" s="83"/>
      <c r="H387" s="83"/>
    </row>
    <row r="388" spans="1:8">
      <c r="A388" s="83"/>
      <c r="B388" s="82"/>
      <c r="C388" s="82"/>
      <c r="D388" s="82"/>
      <c r="E388" s="82"/>
      <c r="F388" s="83"/>
      <c r="G388" s="83"/>
      <c r="H388" s="83"/>
    </row>
    <row r="389" spans="1:8">
      <c r="A389" s="83"/>
      <c r="B389" s="82"/>
      <c r="C389" s="82"/>
      <c r="D389" s="82"/>
      <c r="E389" s="82"/>
      <c r="F389" s="83"/>
      <c r="G389" s="83"/>
      <c r="H389" s="83"/>
    </row>
    <row r="390" spans="1:8">
      <c r="A390" s="83"/>
      <c r="B390" s="82"/>
      <c r="C390" s="82"/>
      <c r="D390" s="82"/>
      <c r="E390" s="82"/>
      <c r="F390" s="83"/>
      <c r="G390" s="83"/>
      <c r="H390" s="83"/>
    </row>
    <row r="391" spans="1:8">
      <c r="A391" s="83"/>
      <c r="B391" s="82"/>
      <c r="C391" s="82"/>
      <c r="D391" s="82"/>
      <c r="E391" s="82"/>
      <c r="F391" s="83"/>
      <c r="G391" s="83"/>
      <c r="H391" s="83"/>
    </row>
    <row r="392" spans="1:8">
      <c r="A392" s="83"/>
      <c r="B392" s="82"/>
      <c r="C392" s="82"/>
      <c r="D392" s="82"/>
      <c r="E392" s="82"/>
      <c r="F392" s="83"/>
      <c r="G392" s="83"/>
      <c r="H392" s="83"/>
    </row>
    <row r="393" spans="1:8">
      <c r="A393" s="83"/>
      <c r="B393" s="82"/>
      <c r="C393" s="82"/>
      <c r="D393" s="82"/>
      <c r="E393" s="82"/>
      <c r="F393" s="83"/>
      <c r="G393" s="83"/>
      <c r="H393" s="83"/>
    </row>
    <row r="394" spans="1:8">
      <c r="A394" s="83"/>
      <c r="B394" s="82"/>
      <c r="C394" s="82"/>
      <c r="D394" s="82"/>
      <c r="E394" s="82"/>
      <c r="F394" s="83"/>
      <c r="G394" s="83"/>
      <c r="H394" s="83"/>
    </row>
    <row r="395" spans="1:8">
      <c r="A395" s="83"/>
      <c r="B395" s="82"/>
      <c r="C395" s="82"/>
      <c r="D395" s="82"/>
      <c r="E395" s="82"/>
      <c r="F395" s="83"/>
      <c r="G395" s="83"/>
      <c r="H395" s="83"/>
    </row>
    <row r="396" spans="1:8">
      <c r="A396" s="83"/>
      <c r="B396" s="82"/>
      <c r="C396" s="82"/>
      <c r="D396" s="82"/>
      <c r="E396" s="82"/>
      <c r="F396" s="83"/>
      <c r="G396" s="83"/>
      <c r="H396" s="83"/>
    </row>
    <row r="397" spans="1:8">
      <c r="A397" s="83"/>
      <c r="B397" s="82"/>
      <c r="C397" s="82"/>
      <c r="D397" s="82"/>
      <c r="E397" s="82"/>
      <c r="F397" s="83"/>
      <c r="G397" s="83"/>
      <c r="H397" s="83"/>
    </row>
    <row r="398" spans="1:8">
      <c r="A398" s="83"/>
      <c r="B398" s="82"/>
      <c r="C398" s="82"/>
      <c r="D398" s="82"/>
      <c r="E398" s="82"/>
      <c r="F398" s="83"/>
      <c r="G398" s="83"/>
      <c r="H398" s="83"/>
    </row>
    <row r="399" spans="1:8">
      <c r="A399" s="83"/>
      <c r="B399" s="82"/>
      <c r="C399" s="82"/>
      <c r="D399" s="82"/>
      <c r="E399" s="82"/>
      <c r="F399" s="83"/>
      <c r="G399" s="83"/>
      <c r="H399" s="83"/>
    </row>
    <row r="400" spans="1:8">
      <c r="A400" s="83"/>
      <c r="B400" s="82"/>
      <c r="C400" s="82"/>
      <c r="D400" s="82"/>
      <c r="E400" s="82"/>
      <c r="F400" s="83"/>
      <c r="G400" s="83"/>
      <c r="H400" s="83"/>
    </row>
    <row r="401" spans="1:8">
      <c r="A401" s="83"/>
      <c r="B401" s="82"/>
      <c r="C401" s="82"/>
      <c r="D401" s="82"/>
      <c r="E401" s="82"/>
      <c r="F401" s="83"/>
      <c r="G401" s="83"/>
      <c r="H401" s="83"/>
    </row>
    <row r="402" spans="1:8">
      <c r="A402" s="83"/>
      <c r="B402" s="82"/>
      <c r="C402" s="82"/>
      <c r="D402" s="82"/>
      <c r="E402" s="82"/>
      <c r="F402" s="83"/>
      <c r="G402" s="83"/>
      <c r="H402" s="83"/>
    </row>
    <row r="403" spans="1:8">
      <c r="A403" s="83"/>
      <c r="B403" s="82"/>
      <c r="C403" s="82"/>
      <c r="D403" s="82"/>
      <c r="E403" s="82"/>
      <c r="F403" s="83"/>
      <c r="G403" s="83"/>
      <c r="H403" s="83"/>
    </row>
    <row r="404" spans="1:8">
      <c r="A404" s="83"/>
      <c r="B404" s="82"/>
      <c r="C404" s="82"/>
      <c r="D404" s="82"/>
      <c r="E404" s="82"/>
      <c r="F404" s="83"/>
      <c r="G404" s="83"/>
      <c r="H404" s="83"/>
    </row>
    <row r="405" spans="1:8">
      <c r="A405" s="83"/>
      <c r="B405" s="82"/>
      <c r="C405" s="82"/>
      <c r="D405" s="82"/>
      <c r="E405" s="82"/>
      <c r="F405" s="83"/>
      <c r="G405" s="83"/>
      <c r="H405" s="83"/>
    </row>
    <row r="406" spans="1:8">
      <c r="A406" s="83"/>
      <c r="B406" s="82"/>
      <c r="C406" s="82"/>
      <c r="D406" s="82"/>
      <c r="E406" s="82"/>
      <c r="F406" s="83"/>
      <c r="G406" s="83"/>
      <c r="H406" s="83"/>
    </row>
    <row r="407" spans="1:8">
      <c r="A407" s="83"/>
      <c r="B407" s="82"/>
      <c r="C407" s="82"/>
      <c r="D407" s="82"/>
      <c r="E407" s="82"/>
      <c r="F407" s="83"/>
      <c r="G407" s="83"/>
      <c r="H407" s="83"/>
    </row>
    <row r="408" spans="1:8">
      <c r="A408" s="83"/>
      <c r="B408" s="82"/>
      <c r="C408" s="82"/>
      <c r="D408" s="82"/>
      <c r="E408" s="82"/>
      <c r="F408" s="83"/>
      <c r="G408" s="83"/>
      <c r="H408" s="83"/>
    </row>
    <row r="409" spans="1:8">
      <c r="A409" s="83"/>
      <c r="B409" s="82"/>
      <c r="C409" s="82"/>
      <c r="D409" s="82"/>
      <c r="E409" s="82"/>
      <c r="F409" s="83"/>
      <c r="G409" s="83"/>
      <c r="H409" s="83"/>
    </row>
    <row r="410" spans="1:8">
      <c r="A410" s="83"/>
      <c r="B410" s="82"/>
      <c r="C410" s="82"/>
      <c r="D410" s="82"/>
      <c r="E410" s="82"/>
      <c r="F410" s="83"/>
      <c r="G410" s="83"/>
      <c r="H410" s="83"/>
    </row>
    <row r="411" spans="1:8">
      <c r="A411" s="83"/>
      <c r="B411" s="82"/>
      <c r="C411" s="82"/>
      <c r="D411" s="82"/>
      <c r="E411" s="82"/>
      <c r="F411" s="83"/>
      <c r="G411" s="83"/>
      <c r="H411" s="83"/>
    </row>
    <row r="412" spans="1:8">
      <c r="A412" s="83"/>
      <c r="B412" s="82"/>
      <c r="C412" s="82"/>
      <c r="D412" s="82"/>
      <c r="E412" s="82"/>
      <c r="F412" s="83"/>
      <c r="G412" s="83"/>
      <c r="H412" s="83"/>
    </row>
    <row r="413" spans="1:8">
      <c r="A413" s="83"/>
      <c r="B413" s="82"/>
      <c r="C413" s="82"/>
      <c r="D413" s="82"/>
      <c r="E413" s="82"/>
      <c r="F413" s="83"/>
      <c r="G413" s="83"/>
      <c r="H413" s="83"/>
    </row>
    <row r="414" spans="1:8">
      <c r="A414" s="83"/>
      <c r="B414" s="82"/>
      <c r="C414" s="82"/>
      <c r="D414" s="82"/>
      <c r="E414" s="82"/>
      <c r="F414" s="83"/>
      <c r="G414" s="83"/>
      <c r="H414" s="83"/>
    </row>
    <row r="415" spans="1:8">
      <c r="A415" s="83"/>
      <c r="B415" s="82"/>
      <c r="C415" s="82"/>
      <c r="D415" s="82"/>
      <c r="E415" s="82"/>
      <c r="F415" s="83"/>
      <c r="G415" s="83"/>
      <c r="H415" s="83"/>
    </row>
    <row r="416" spans="1:8">
      <c r="A416" s="83"/>
      <c r="B416" s="82"/>
      <c r="C416" s="82"/>
      <c r="D416" s="82"/>
      <c r="E416" s="82"/>
      <c r="F416" s="83"/>
      <c r="G416" s="83"/>
      <c r="H416" s="83"/>
    </row>
    <row r="417" spans="1:8">
      <c r="A417" s="83"/>
      <c r="B417" s="82"/>
      <c r="C417" s="82"/>
      <c r="D417" s="82"/>
      <c r="E417" s="82"/>
      <c r="F417" s="83"/>
      <c r="G417" s="83"/>
      <c r="H417" s="83"/>
    </row>
    <row r="418" spans="1:8">
      <c r="A418" s="83"/>
      <c r="B418" s="82"/>
      <c r="C418" s="82"/>
      <c r="D418" s="82"/>
      <c r="E418" s="82"/>
      <c r="F418" s="83"/>
      <c r="G418" s="83"/>
      <c r="H418" s="83"/>
    </row>
    <row r="419" spans="1:8">
      <c r="A419" s="83"/>
      <c r="B419" s="82"/>
      <c r="C419" s="82"/>
      <c r="D419" s="82"/>
      <c r="E419" s="82"/>
      <c r="F419" s="83"/>
      <c r="G419" s="83"/>
      <c r="H419" s="83"/>
    </row>
    <row r="420" spans="1:8">
      <c r="A420" s="83"/>
      <c r="B420" s="82"/>
      <c r="C420" s="82"/>
      <c r="D420" s="82"/>
      <c r="E420" s="82"/>
      <c r="F420" s="83"/>
      <c r="G420" s="83"/>
      <c r="H420" s="83"/>
    </row>
    <row r="421" spans="1:8">
      <c r="A421" s="83"/>
      <c r="B421" s="82"/>
      <c r="C421" s="82"/>
      <c r="D421" s="82"/>
      <c r="E421" s="82"/>
      <c r="F421" s="83"/>
      <c r="G421" s="83"/>
      <c r="H421" s="83"/>
    </row>
    <row r="422" spans="1:8">
      <c r="A422" s="83"/>
      <c r="B422" s="82"/>
      <c r="C422" s="82"/>
      <c r="D422" s="82"/>
      <c r="E422" s="82"/>
      <c r="F422" s="83"/>
      <c r="G422" s="83"/>
      <c r="H422" s="83"/>
    </row>
    <row r="423" spans="1:8">
      <c r="A423" s="83"/>
      <c r="B423" s="82"/>
      <c r="C423" s="82"/>
      <c r="D423" s="82"/>
      <c r="E423" s="82"/>
      <c r="F423" s="83"/>
      <c r="G423" s="83"/>
      <c r="H423" s="83"/>
    </row>
    <row r="424" spans="1:8">
      <c r="A424" s="83"/>
      <c r="B424" s="82"/>
      <c r="C424" s="82"/>
      <c r="D424" s="82"/>
      <c r="E424" s="82"/>
      <c r="F424" s="83"/>
      <c r="G424" s="83"/>
      <c r="H424" s="83"/>
    </row>
    <row r="425" spans="1:8">
      <c r="A425" s="83"/>
      <c r="B425" s="82"/>
      <c r="C425" s="82"/>
      <c r="D425" s="82"/>
      <c r="E425" s="82"/>
      <c r="F425" s="83"/>
      <c r="G425" s="83"/>
      <c r="H425" s="83"/>
    </row>
    <row r="426" spans="1:8">
      <c r="A426" s="83"/>
      <c r="B426" s="82"/>
      <c r="C426" s="82"/>
      <c r="D426" s="82"/>
      <c r="E426" s="82"/>
      <c r="F426" s="83"/>
      <c r="G426" s="83"/>
      <c r="H426" s="83"/>
    </row>
    <row r="427" spans="1:8">
      <c r="A427" s="83"/>
      <c r="B427" s="82"/>
      <c r="C427" s="82"/>
      <c r="D427" s="82"/>
      <c r="E427" s="82"/>
      <c r="F427" s="83"/>
      <c r="G427" s="83"/>
      <c r="H427" s="83"/>
    </row>
    <row r="428" spans="1:8">
      <c r="A428" s="83"/>
      <c r="B428" s="82"/>
      <c r="C428" s="82"/>
      <c r="D428" s="82"/>
      <c r="E428" s="82"/>
      <c r="F428" s="83"/>
      <c r="G428" s="83"/>
      <c r="H428" s="83"/>
    </row>
    <row r="429" spans="1:8">
      <c r="A429" s="83"/>
      <c r="B429" s="82"/>
      <c r="C429" s="82"/>
      <c r="D429" s="82"/>
      <c r="E429" s="82"/>
      <c r="F429" s="83"/>
      <c r="G429" s="83"/>
      <c r="H429" s="83"/>
    </row>
    <row r="430" spans="1:8">
      <c r="A430" s="83"/>
      <c r="B430" s="82"/>
      <c r="C430" s="82"/>
      <c r="D430" s="82"/>
      <c r="E430" s="82"/>
      <c r="F430" s="83"/>
      <c r="G430" s="83"/>
      <c r="H430" s="83"/>
    </row>
    <row r="431" spans="1:8">
      <c r="A431" s="83"/>
      <c r="B431" s="82"/>
      <c r="C431" s="82"/>
      <c r="D431" s="82"/>
      <c r="E431" s="82"/>
      <c r="F431" s="83"/>
      <c r="G431" s="83"/>
      <c r="H431" s="83"/>
    </row>
    <row r="432" spans="1:8">
      <c r="A432" s="83"/>
      <c r="B432" s="82"/>
      <c r="C432" s="82"/>
      <c r="D432" s="82"/>
      <c r="E432" s="82"/>
      <c r="F432" s="83"/>
      <c r="G432" s="83"/>
      <c r="H432" s="83"/>
    </row>
    <row r="433" spans="1:8">
      <c r="A433" s="83"/>
      <c r="B433" s="82"/>
      <c r="C433" s="82"/>
      <c r="D433" s="82"/>
      <c r="E433" s="82"/>
      <c r="F433" s="83"/>
      <c r="G433" s="83"/>
      <c r="H433" s="83"/>
    </row>
    <row r="434" spans="1:8">
      <c r="A434" s="83"/>
      <c r="B434" s="82"/>
      <c r="C434" s="82"/>
      <c r="D434" s="82"/>
      <c r="E434" s="82"/>
      <c r="F434" s="83"/>
      <c r="G434" s="83"/>
      <c r="H434" s="83"/>
    </row>
    <row r="435" spans="1:8">
      <c r="A435" s="83"/>
      <c r="B435" s="82"/>
      <c r="C435" s="82"/>
      <c r="D435" s="82"/>
      <c r="E435" s="82"/>
      <c r="F435" s="83"/>
      <c r="G435" s="83"/>
      <c r="H435" s="83"/>
    </row>
    <row r="436" spans="1:8">
      <c r="A436" s="83"/>
      <c r="B436" s="82"/>
      <c r="C436" s="82"/>
      <c r="D436" s="82"/>
      <c r="E436" s="82"/>
      <c r="F436" s="83"/>
      <c r="G436" s="83"/>
      <c r="H436" s="83"/>
    </row>
    <row r="437" spans="1:8">
      <c r="A437" s="83"/>
      <c r="B437" s="82"/>
      <c r="C437" s="82"/>
      <c r="D437" s="82"/>
      <c r="E437" s="82"/>
      <c r="F437" s="83"/>
      <c r="G437" s="83"/>
      <c r="H437" s="83"/>
    </row>
    <row r="438" spans="1:8">
      <c r="A438" s="83"/>
      <c r="B438" s="82"/>
      <c r="C438" s="82"/>
      <c r="D438" s="82"/>
      <c r="E438" s="82"/>
      <c r="F438" s="83"/>
      <c r="G438" s="83"/>
      <c r="H438" s="83"/>
    </row>
    <row r="439" spans="1:8">
      <c r="A439" s="83"/>
      <c r="B439" s="82"/>
      <c r="C439" s="82"/>
      <c r="D439" s="82"/>
      <c r="E439" s="82"/>
      <c r="F439" s="83"/>
      <c r="G439" s="83"/>
      <c r="H439" s="83"/>
    </row>
    <row r="440" spans="1:8">
      <c r="A440" s="83"/>
      <c r="B440" s="82"/>
      <c r="C440" s="82"/>
      <c r="D440" s="82"/>
      <c r="E440" s="82"/>
      <c r="F440" s="83"/>
      <c r="G440" s="83"/>
      <c r="H440" s="83"/>
    </row>
    <row r="441" spans="1:8">
      <c r="A441" s="83"/>
      <c r="B441" s="82"/>
      <c r="C441" s="82"/>
      <c r="D441" s="82"/>
      <c r="E441" s="82"/>
      <c r="F441" s="83"/>
      <c r="G441" s="83"/>
      <c r="H441" s="83"/>
    </row>
    <row r="442" spans="1:8">
      <c r="A442" s="83"/>
      <c r="B442" s="82"/>
      <c r="C442" s="82"/>
      <c r="D442" s="82"/>
      <c r="E442" s="82"/>
      <c r="F442" s="83"/>
      <c r="G442" s="83"/>
      <c r="H442" s="83"/>
    </row>
    <row r="443" spans="1:8">
      <c r="A443" s="83"/>
      <c r="B443" s="82"/>
      <c r="C443" s="82"/>
      <c r="D443" s="82"/>
      <c r="E443" s="82"/>
      <c r="F443" s="83"/>
      <c r="G443" s="83"/>
      <c r="H443" s="83"/>
    </row>
    <row r="444" spans="1:8">
      <c r="A444" s="83"/>
      <c r="B444" s="82"/>
      <c r="C444" s="82"/>
      <c r="D444" s="82"/>
      <c r="E444" s="82"/>
      <c r="F444" s="83"/>
      <c r="G444" s="83"/>
      <c r="H444" s="83"/>
    </row>
    <row r="445" spans="1:8">
      <c r="A445" s="83"/>
      <c r="B445" s="82"/>
      <c r="C445" s="82"/>
      <c r="D445" s="82"/>
      <c r="E445" s="82"/>
      <c r="F445" s="83"/>
      <c r="G445" s="83"/>
      <c r="H445" s="83"/>
    </row>
    <row r="446" spans="1:8">
      <c r="A446" s="83"/>
      <c r="B446" s="82"/>
      <c r="C446" s="82"/>
      <c r="D446" s="82"/>
      <c r="E446" s="82"/>
      <c r="F446" s="83"/>
      <c r="G446" s="83"/>
      <c r="H446" s="83"/>
    </row>
    <row r="447" spans="1:8">
      <c r="A447" s="83"/>
      <c r="B447" s="82"/>
      <c r="C447" s="82"/>
      <c r="D447" s="82"/>
      <c r="E447" s="82"/>
      <c r="F447" s="83"/>
      <c r="G447" s="83"/>
      <c r="H447" s="83"/>
    </row>
    <row r="448" spans="1:8">
      <c r="A448" s="83"/>
      <c r="B448" s="82"/>
      <c r="C448" s="82"/>
      <c r="D448" s="82"/>
      <c r="E448" s="82"/>
      <c r="F448" s="83"/>
      <c r="G448" s="83"/>
      <c r="H448" s="83"/>
    </row>
    <row r="449" spans="1:8">
      <c r="A449" s="83"/>
      <c r="B449" s="82"/>
      <c r="C449" s="82"/>
      <c r="D449" s="82"/>
      <c r="E449" s="82"/>
      <c r="F449" s="83"/>
      <c r="G449" s="83"/>
      <c r="H449" s="83"/>
    </row>
    <row r="450" spans="1:8">
      <c r="A450" s="83"/>
      <c r="B450" s="82"/>
      <c r="C450" s="82"/>
      <c r="D450" s="82"/>
      <c r="E450" s="82"/>
      <c r="F450" s="83"/>
      <c r="G450" s="83"/>
      <c r="H450" s="83"/>
    </row>
    <row r="451" spans="1:8">
      <c r="A451" s="83"/>
      <c r="B451" s="82"/>
      <c r="C451" s="82"/>
      <c r="D451" s="82"/>
      <c r="E451" s="82"/>
      <c r="F451" s="83"/>
      <c r="G451" s="83"/>
      <c r="H451" s="83"/>
    </row>
    <row r="452" spans="1:8">
      <c r="A452" s="83"/>
      <c r="B452" s="82"/>
      <c r="C452" s="82"/>
      <c r="D452" s="82"/>
      <c r="E452" s="82"/>
      <c r="F452" s="83"/>
      <c r="G452" s="83"/>
      <c r="H452" s="83"/>
    </row>
    <row r="453" spans="1:8">
      <c r="A453" s="83"/>
      <c r="B453" s="82"/>
      <c r="C453" s="82"/>
      <c r="D453" s="82"/>
      <c r="E453" s="82"/>
      <c r="F453" s="83"/>
      <c r="G453" s="83"/>
      <c r="H453" s="83"/>
    </row>
    <row r="454" spans="1:8">
      <c r="A454" s="83"/>
      <c r="B454" s="82"/>
      <c r="C454" s="82"/>
      <c r="D454" s="82"/>
      <c r="E454" s="82"/>
      <c r="F454" s="83"/>
      <c r="G454" s="83"/>
      <c r="H454" s="83"/>
    </row>
    <row r="455" spans="1:8">
      <c r="A455" s="83"/>
      <c r="B455" s="82"/>
      <c r="C455" s="82"/>
      <c r="D455" s="82"/>
      <c r="E455" s="82"/>
      <c r="F455" s="83"/>
      <c r="G455" s="83"/>
      <c r="H455" s="83"/>
    </row>
    <row r="456" spans="1:8">
      <c r="A456" s="83"/>
      <c r="B456" s="82"/>
      <c r="C456" s="82"/>
      <c r="D456" s="82"/>
      <c r="E456" s="82"/>
      <c r="F456" s="83"/>
      <c r="G456" s="83"/>
      <c r="H456" s="83"/>
    </row>
    <row r="457" spans="1:8">
      <c r="A457" s="83"/>
      <c r="B457" s="82"/>
      <c r="C457" s="82"/>
      <c r="D457" s="82"/>
      <c r="E457" s="82"/>
      <c r="F457" s="83"/>
      <c r="G457" s="83"/>
      <c r="H457" s="83"/>
    </row>
    <row r="458" spans="1:8">
      <c r="A458" s="83"/>
      <c r="B458" s="82"/>
      <c r="C458" s="82"/>
      <c r="D458" s="82"/>
      <c r="E458" s="82"/>
      <c r="F458" s="83"/>
      <c r="G458" s="83"/>
      <c r="H458" s="83"/>
    </row>
    <row r="459" spans="1:8">
      <c r="A459" s="83"/>
      <c r="B459" s="82"/>
      <c r="C459" s="82"/>
      <c r="D459" s="82"/>
      <c r="E459" s="82"/>
      <c r="F459" s="83"/>
      <c r="G459" s="83"/>
      <c r="H459" s="83"/>
    </row>
    <row r="460" spans="1:8">
      <c r="A460" s="83"/>
      <c r="B460" s="82"/>
      <c r="C460" s="82"/>
      <c r="D460" s="82"/>
      <c r="E460" s="82"/>
      <c r="F460" s="83"/>
      <c r="G460" s="83"/>
      <c r="H460" s="83"/>
    </row>
    <row r="461" spans="1:8">
      <c r="A461" s="83"/>
      <c r="B461" s="82"/>
      <c r="C461" s="82"/>
      <c r="D461" s="82"/>
      <c r="E461" s="82"/>
      <c r="F461" s="83"/>
      <c r="G461" s="83"/>
      <c r="H461" s="83"/>
    </row>
    <row r="462" spans="1:8">
      <c r="A462" s="83"/>
      <c r="B462" s="82"/>
      <c r="C462" s="82"/>
      <c r="D462" s="82"/>
      <c r="E462" s="82"/>
      <c r="F462" s="83"/>
      <c r="G462" s="83"/>
      <c r="H462" s="83"/>
    </row>
    <row r="463" spans="1:8">
      <c r="A463" s="83"/>
      <c r="B463" s="82"/>
      <c r="C463" s="82"/>
      <c r="D463" s="82"/>
      <c r="E463" s="82"/>
      <c r="F463" s="83"/>
      <c r="G463" s="83"/>
      <c r="H463" s="83"/>
    </row>
    <row r="464" spans="1:8">
      <c r="A464" s="83"/>
      <c r="B464" s="82"/>
      <c r="C464" s="82"/>
      <c r="D464" s="82"/>
      <c r="E464" s="82"/>
      <c r="F464" s="83"/>
      <c r="G464" s="83"/>
      <c r="H464" s="83"/>
    </row>
    <row r="465" spans="1:8">
      <c r="A465" s="83"/>
      <c r="B465" s="82"/>
      <c r="C465" s="82"/>
      <c r="D465" s="82"/>
      <c r="E465" s="82"/>
      <c r="F465" s="83"/>
      <c r="G465" s="83"/>
      <c r="H465" s="83"/>
    </row>
    <row r="466" spans="1:8">
      <c r="A466" s="83"/>
      <c r="B466" s="82"/>
      <c r="C466" s="82"/>
      <c r="D466" s="82"/>
      <c r="E466" s="82"/>
      <c r="F466" s="83"/>
      <c r="G466" s="83"/>
      <c r="H466" s="83"/>
    </row>
    <row r="467" spans="1:8">
      <c r="A467" s="83"/>
      <c r="B467" s="82"/>
      <c r="C467" s="82"/>
      <c r="D467" s="82"/>
      <c r="E467" s="82"/>
      <c r="F467" s="83"/>
      <c r="G467" s="83"/>
      <c r="H467" s="83"/>
    </row>
    <row r="468" spans="1:8">
      <c r="A468" s="83"/>
      <c r="B468" s="82"/>
      <c r="C468" s="82"/>
      <c r="D468" s="82"/>
      <c r="E468" s="82"/>
      <c r="F468" s="83"/>
      <c r="G468" s="83"/>
      <c r="H468" s="83"/>
    </row>
    <row r="469" spans="1:8">
      <c r="A469" s="83"/>
      <c r="B469" s="82"/>
      <c r="C469" s="82"/>
      <c r="D469" s="82"/>
      <c r="E469" s="82"/>
      <c r="F469" s="83"/>
      <c r="G469" s="83"/>
      <c r="H469" s="83"/>
    </row>
    <row r="470" spans="1:8">
      <c r="A470" s="83"/>
      <c r="B470" s="82"/>
      <c r="C470" s="82"/>
      <c r="D470" s="82"/>
      <c r="E470" s="82"/>
      <c r="F470" s="83"/>
      <c r="G470" s="83"/>
      <c r="H470" s="83"/>
    </row>
    <row r="471" spans="1:8">
      <c r="A471" s="83"/>
      <c r="B471" s="82"/>
      <c r="C471" s="82"/>
      <c r="D471" s="82"/>
      <c r="E471" s="82"/>
      <c r="F471" s="83"/>
      <c r="G471" s="83"/>
      <c r="H471" s="83"/>
    </row>
    <row r="472" spans="1:8">
      <c r="A472" s="83"/>
      <c r="B472" s="82"/>
      <c r="C472" s="82"/>
      <c r="D472" s="82"/>
      <c r="E472" s="82"/>
      <c r="F472" s="83"/>
      <c r="G472" s="83"/>
      <c r="H472" s="83"/>
    </row>
    <row r="473" spans="1:8">
      <c r="A473" s="83"/>
      <c r="B473" s="82"/>
      <c r="C473" s="82"/>
      <c r="D473" s="82"/>
      <c r="E473" s="82"/>
      <c r="F473" s="83"/>
      <c r="G473" s="83"/>
      <c r="H473" s="83"/>
    </row>
    <row r="474" spans="1:8">
      <c r="A474" s="83"/>
      <c r="B474" s="82"/>
      <c r="C474" s="82"/>
      <c r="D474" s="82"/>
      <c r="E474" s="82"/>
      <c r="F474" s="83"/>
      <c r="G474" s="83"/>
      <c r="H474" s="83"/>
    </row>
    <row r="475" spans="1:8">
      <c r="A475" s="83"/>
      <c r="B475" s="82"/>
      <c r="C475" s="82"/>
      <c r="D475" s="82"/>
      <c r="E475" s="82"/>
      <c r="F475" s="83"/>
      <c r="G475" s="83"/>
      <c r="H475" s="83"/>
    </row>
    <row r="476" spans="1:8">
      <c r="A476" s="83"/>
      <c r="B476" s="82"/>
      <c r="C476" s="82"/>
      <c r="D476" s="82"/>
      <c r="E476" s="82"/>
      <c r="F476" s="83"/>
      <c r="G476" s="83"/>
      <c r="H476" s="83"/>
    </row>
    <row r="477" spans="1:8">
      <c r="A477" s="83"/>
      <c r="B477" s="82"/>
      <c r="C477" s="82"/>
      <c r="D477" s="82"/>
      <c r="E477" s="82"/>
      <c r="F477" s="83"/>
      <c r="G477" s="83"/>
      <c r="H477" s="83"/>
    </row>
    <row r="478" spans="1:8">
      <c r="A478" s="83"/>
      <c r="B478" s="82"/>
      <c r="C478" s="82"/>
      <c r="D478" s="82"/>
      <c r="E478" s="82"/>
      <c r="F478" s="83"/>
      <c r="G478" s="83"/>
      <c r="H478" s="83"/>
    </row>
    <row r="479" spans="1:8">
      <c r="A479" s="83"/>
      <c r="B479" s="82"/>
      <c r="C479" s="82"/>
      <c r="D479" s="82"/>
      <c r="E479" s="82"/>
      <c r="F479" s="83"/>
      <c r="G479" s="83"/>
      <c r="H479" s="83"/>
    </row>
    <row r="480" spans="1:8">
      <c r="A480" s="83"/>
      <c r="B480" s="82"/>
      <c r="C480" s="82"/>
      <c r="D480" s="82"/>
      <c r="E480" s="82"/>
      <c r="F480" s="83"/>
      <c r="G480" s="83"/>
      <c r="H480" s="83"/>
    </row>
    <row r="481" spans="1:8">
      <c r="A481" s="83"/>
      <c r="B481" s="82"/>
      <c r="C481" s="82"/>
      <c r="D481" s="82"/>
      <c r="E481" s="82"/>
      <c r="F481" s="83"/>
      <c r="G481" s="83"/>
      <c r="H481" s="83"/>
    </row>
    <row r="482" spans="1:8">
      <c r="A482" s="83"/>
      <c r="B482" s="82"/>
      <c r="C482" s="82"/>
      <c r="D482" s="82"/>
      <c r="E482" s="82"/>
      <c r="F482" s="83"/>
      <c r="G482" s="83"/>
      <c r="H482" s="83"/>
    </row>
    <row r="483" spans="1:8">
      <c r="A483" s="83"/>
      <c r="B483" s="82"/>
      <c r="C483" s="82"/>
      <c r="D483" s="82"/>
      <c r="E483" s="82"/>
      <c r="F483" s="83"/>
      <c r="G483" s="83"/>
      <c r="H483" s="83"/>
    </row>
    <row r="484" spans="1:8">
      <c r="A484" s="83"/>
      <c r="B484" s="82"/>
      <c r="C484" s="82"/>
      <c r="D484" s="82"/>
      <c r="E484" s="82"/>
      <c r="F484" s="83"/>
      <c r="G484" s="83"/>
      <c r="H484" s="83"/>
    </row>
    <row r="485" spans="1:8">
      <c r="A485" s="83"/>
      <c r="B485" s="82"/>
      <c r="C485" s="82"/>
      <c r="D485" s="82"/>
      <c r="E485" s="82"/>
      <c r="F485" s="83"/>
      <c r="G485" s="83"/>
      <c r="H485" s="83"/>
    </row>
    <row r="486" spans="1:8">
      <c r="A486" s="83"/>
      <c r="B486" s="82"/>
      <c r="C486" s="82"/>
      <c r="D486" s="82"/>
      <c r="E486" s="82"/>
      <c r="F486" s="83"/>
      <c r="G486" s="83"/>
      <c r="H486" s="83"/>
    </row>
    <row r="487" spans="1:8">
      <c r="A487" s="83"/>
      <c r="B487" s="82"/>
      <c r="C487" s="82"/>
      <c r="D487" s="82"/>
      <c r="E487" s="82"/>
      <c r="F487" s="83"/>
      <c r="G487" s="83"/>
      <c r="H487" s="83"/>
    </row>
    <row r="488" spans="1:8">
      <c r="A488" s="83"/>
      <c r="B488" s="82"/>
      <c r="C488" s="82"/>
      <c r="D488" s="82"/>
      <c r="E488" s="82"/>
      <c r="F488" s="83"/>
      <c r="G488" s="83"/>
      <c r="H488" s="83"/>
    </row>
    <row r="489" spans="1:8">
      <c r="A489" s="83"/>
      <c r="B489" s="82"/>
      <c r="C489" s="82"/>
      <c r="D489" s="82"/>
      <c r="E489" s="82"/>
      <c r="F489" s="83"/>
      <c r="G489" s="83"/>
      <c r="H489" s="83"/>
    </row>
    <row r="490" spans="1:8">
      <c r="A490" s="83"/>
      <c r="B490" s="82"/>
      <c r="C490" s="82"/>
      <c r="D490" s="82"/>
      <c r="E490" s="82"/>
      <c r="F490" s="83"/>
      <c r="G490" s="83"/>
      <c r="H490" s="83"/>
    </row>
    <row r="491" spans="1:8">
      <c r="A491" s="83"/>
      <c r="B491" s="82"/>
      <c r="C491" s="82"/>
      <c r="D491" s="82"/>
      <c r="E491" s="82"/>
      <c r="F491" s="83"/>
      <c r="G491" s="83"/>
      <c r="H491" s="83"/>
    </row>
    <row r="492" spans="1:8">
      <c r="A492" s="83"/>
      <c r="B492" s="82"/>
      <c r="C492" s="82"/>
      <c r="D492" s="82"/>
      <c r="E492" s="82"/>
      <c r="F492" s="83"/>
      <c r="G492" s="83"/>
      <c r="H492" s="83"/>
    </row>
    <row r="493" spans="1:8">
      <c r="A493" s="83"/>
      <c r="B493" s="82"/>
      <c r="C493" s="82"/>
      <c r="D493" s="82"/>
      <c r="E493" s="82"/>
      <c r="F493" s="83"/>
      <c r="G493" s="83"/>
      <c r="H493" s="83"/>
    </row>
    <row r="494" spans="1:8">
      <c r="A494" s="83"/>
      <c r="B494" s="82"/>
      <c r="C494" s="82"/>
      <c r="D494" s="82"/>
      <c r="E494" s="82"/>
      <c r="F494" s="83"/>
      <c r="G494" s="83"/>
      <c r="H494" s="83"/>
    </row>
    <row r="495" spans="1:8">
      <c r="A495" s="83"/>
      <c r="B495" s="82"/>
      <c r="C495" s="82"/>
      <c r="D495" s="82"/>
      <c r="E495" s="82"/>
      <c r="F495" s="83"/>
      <c r="G495" s="83"/>
      <c r="H495" s="83"/>
    </row>
    <row r="496" spans="1:8">
      <c r="A496" s="83"/>
      <c r="B496" s="82"/>
      <c r="C496" s="82"/>
      <c r="D496" s="82"/>
      <c r="E496" s="82"/>
      <c r="F496" s="83"/>
      <c r="G496" s="83"/>
      <c r="H496" s="83"/>
    </row>
    <row r="497" spans="1:8">
      <c r="A497" s="83"/>
      <c r="B497" s="82"/>
      <c r="C497" s="82"/>
      <c r="D497" s="82"/>
      <c r="E497" s="82"/>
      <c r="F497" s="83"/>
      <c r="G497" s="83"/>
      <c r="H497" s="83"/>
    </row>
    <row r="498" spans="1:8">
      <c r="A498" s="83"/>
      <c r="B498" s="82"/>
      <c r="C498" s="82"/>
      <c r="D498" s="82"/>
      <c r="E498" s="82"/>
      <c r="F498" s="83"/>
      <c r="G498" s="83"/>
      <c r="H498" s="83"/>
    </row>
    <row r="499" spans="1:8">
      <c r="A499" s="83"/>
      <c r="B499" s="82"/>
      <c r="C499" s="82"/>
      <c r="D499" s="82"/>
      <c r="E499" s="82"/>
      <c r="F499" s="83"/>
      <c r="G499" s="83"/>
      <c r="H499" s="83"/>
    </row>
    <row r="500" spans="1:8">
      <c r="A500" s="83"/>
      <c r="B500" s="82"/>
      <c r="C500" s="82"/>
      <c r="D500" s="82"/>
      <c r="E500" s="82"/>
      <c r="F500" s="83"/>
      <c r="G500" s="83"/>
      <c r="H500" s="83"/>
    </row>
    <row r="501" spans="1:8">
      <c r="A501" s="83"/>
      <c r="B501" s="82"/>
      <c r="C501" s="82"/>
      <c r="D501" s="82"/>
      <c r="E501" s="82"/>
      <c r="F501" s="83"/>
      <c r="G501" s="83"/>
      <c r="H501" s="83"/>
    </row>
    <row r="502" spans="1:8">
      <c r="A502" s="83"/>
      <c r="B502" s="82"/>
      <c r="C502" s="82"/>
      <c r="D502" s="82"/>
      <c r="E502" s="82"/>
      <c r="F502" s="83"/>
      <c r="G502" s="83"/>
      <c r="H502" s="83"/>
    </row>
    <row r="503" spans="1:8">
      <c r="A503" s="83"/>
      <c r="B503" s="82"/>
      <c r="C503" s="82"/>
      <c r="D503" s="82"/>
      <c r="E503" s="82"/>
      <c r="F503" s="83"/>
      <c r="G503" s="83"/>
      <c r="H503" s="83"/>
    </row>
    <row r="504" spans="1:8">
      <c r="A504" s="83"/>
      <c r="B504" s="82"/>
      <c r="C504" s="82"/>
      <c r="D504" s="82"/>
      <c r="E504" s="82"/>
      <c r="F504" s="83"/>
      <c r="G504" s="83"/>
      <c r="H504" s="83"/>
    </row>
    <row r="505" spans="1:8">
      <c r="A505" s="83"/>
      <c r="B505" s="82"/>
      <c r="C505" s="82"/>
      <c r="D505" s="82"/>
      <c r="E505" s="82"/>
      <c r="F505" s="83"/>
      <c r="G505" s="83"/>
      <c r="H505" s="83"/>
    </row>
    <row r="506" spans="1:8">
      <c r="A506" s="83"/>
      <c r="B506" s="82"/>
      <c r="C506" s="82"/>
      <c r="D506" s="82"/>
      <c r="E506" s="82"/>
      <c r="F506" s="83"/>
      <c r="G506" s="83"/>
      <c r="H506" s="83"/>
    </row>
    <row r="507" spans="1:8">
      <c r="A507" s="83"/>
      <c r="B507" s="82"/>
      <c r="C507" s="82"/>
      <c r="D507" s="82"/>
      <c r="E507" s="82"/>
      <c r="F507" s="83"/>
      <c r="G507" s="83"/>
      <c r="H507" s="83"/>
    </row>
    <row r="508" spans="1:8">
      <c r="A508" s="83"/>
      <c r="B508" s="82"/>
      <c r="C508" s="82"/>
      <c r="D508" s="82"/>
      <c r="E508" s="82"/>
      <c r="F508" s="83"/>
      <c r="G508" s="83"/>
      <c r="H508" s="83"/>
    </row>
    <row r="509" spans="1:8">
      <c r="A509" s="83"/>
      <c r="B509" s="82"/>
      <c r="C509" s="82"/>
      <c r="D509" s="82"/>
      <c r="E509" s="82"/>
      <c r="F509" s="83"/>
      <c r="G509" s="83"/>
      <c r="H509" s="83"/>
    </row>
    <row r="510" spans="1:8">
      <c r="A510" s="83"/>
      <c r="B510" s="82"/>
      <c r="C510" s="82"/>
      <c r="D510" s="82"/>
      <c r="E510" s="82"/>
      <c r="F510" s="83"/>
      <c r="G510" s="83"/>
      <c r="H510" s="83"/>
    </row>
    <row r="511" spans="1:8">
      <c r="A511" s="83"/>
      <c r="B511" s="82"/>
      <c r="C511" s="82"/>
      <c r="D511" s="82"/>
      <c r="E511" s="82"/>
      <c r="F511" s="83"/>
      <c r="G511" s="83"/>
      <c r="H511" s="83"/>
    </row>
    <row r="512" spans="1:8">
      <c r="A512" s="83"/>
      <c r="B512" s="82"/>
      <c r="C512" s="82"/>
      <c r="D512" s="82"/>
      <c r="E512" s="82"/>
      <c r="F512" s="83"/>
      <c r="G512" s="83"/>
      <c r="H512" s="83"/>
    </row>
    <row r="513" spans="1:8">
      <c r="A513" s="83"/>
      <c r="B513" s="82"/>
      <c r="C513" s="82"/>
      <c r="D513" s="82"/>
      <c r="E513" s="82"/>
      <c r="F513" s="83"/>
      <c r="G513" s="83"/>
      <c r="H513" s="83"/>
    </row>
    <row r="514" spans="1:8">
      <c r="A514" s="83"/>
      <c r="B514" s="82"/>
      <c r="C514" s="82"/>
      <c r="D514" s="82"/>
      <c r="E514" s="82"/>
      <c r="F514" s="83"/>
      <c r="G514" s="83"/>
      <c r="H514" s="83"/>
    </row>
    <row r="515" spans="1:8">
      <c r="A515" s="83"/>
      <c r="B515" s="82"/>
      <c r="C515" s="82"/>
      <c r="D515" s="82"/>
      <c r="E515" s="82"/>
      <c r="F515" s="83"/>
      <c r="G515" s="83"/>
      <c r="H515" s="83"/>
    </row>
    <row r="516" spans="1:8">
      <c r="A516" s="83"/>
      <c r="B516" s="82"/>
      <c r="C516" s="82"/>
      <c r="D516" s="82"/>
      <c r="E516" s="82"/>
      <c r="F516" s="83"/>
      <c r="G516" s="83"/>
      <c r="H516" s="83"/>
    </row>
    <row r="517" spans="1:8">
      <c r="A517" s="83"/>
      <c r="B517" s="82"/>
      <c r="C517" s="82"/>
      <c r="D517" s="82"/>
      <c r="E517" s="82"/>
      <c r="F517" s="83"/>
      <c r="G517" s="83"/>
      <c r="H517" s="83"/>
    </row>
    <row r="518" spans="1:8">
      <c r="A518" s="83"/>
      <c r="B518" s="82"/>
      <c r="C518" s="82"/>
      <c r="D518" s="82"/>
      <c r="E518" s="82"/>
      <c r="F518" s="83"/>
      <c r="G518" s="83"/>
      <c r="H518" s="83"/>
    </row>
    <row r="519" spans="1:8">
      <c r="A519" s="83"/>
      <c r="B519" s="82"/>
      <c r="C519" s="82"/>
      <c r="D519" s="82"/>
      <c r="E519" s="82"/>
      <c r="F519" s="83"/>
      <c r="G519" s="83"/>
      <c r="H519" s="83"/>
    </row>
    <row r="520" spans="1:8">
      <c r="A520" s="83"/>
      <c r="B520" s="82"/>
      <c r="C520" s="82"/>
      <c r="D520" s="82"/>
      <c r="E520" s="82"/>
      <c r="F520" s="83"/>
      <c r="G520" s="83"/>
      <c r="H520" s="83"/>
    </row>
    <row r="521" spans="1:8">
      <c r="A521" s="83"/>
      <c r="B521" s="82"/>
      <c r="C521" s="82"/>
      <c r="D521" s="82"/>
      <c r="E521" s="82"/>
      <c r="F521" s="83"/>
      <c r="G521" s="83"/>
      <c r="H521" s="83"/>
    </row>
    <row r="522" spans="1:8">
      <c r="A522" s="83"/>
      <c r="B522" s="82"/>
      <c r="C522" s="82"/>
      <c r="D522" s="82"/>
      <c r="E522" s="82"/>
      <c r="F522" s="83"/>
      <c r="G522" s="83"/>
      <c r="H522" s="83"/>
    </row>
    <row r="523" spans="1:8">
      <c r="A523" s="83"/>
      <c r="B523" s="82"/>
      <c r="C523" s="82"/>
      <c r="D523" s="82"/>
      <c r="E523" s="82"/>
      <c r="F523" s="83"/>
      <c r="G523" s="83"/>
      <c r="H523" s="83"/>
    </row>
    <row r="524" spans="1:8">
      <c r="A524" s="83"/>
      <c r="B524" s="82"/>
      <c r="C524" s="82"/>
      <c r="D524" s="82"/>
      <c r="E524" s="82"/>
      <c r="F524" s="83"/>
      <c r="G524" s="83"/>
      <c r="H524" s="83"/>
    </row>
    <row r="525" spans="1:8">
      <c r="A525" s="83"/>
      <c r="B525" s="82"/>
      <c r="C525" s="82"/>
      <c r="D525" s="82"/>
      <c r="E525" s="82"/>
      <c r="F525" s="83"/>
      <c r="G525" s="83"/>
      <c r="H525" s="83"/>
    </row>
    <row r="526" spans="1:8">
      <c r="A526" s="83"/>
      <c r="B526" s="82"/>
      <c r="C526" s="82"/>
      <c r="D526" s="82"/>
      <c r="E526" s="82"/>
      <c r="F526" s="83"/>
      <c r="G526" s="83"/>
      <c r="H526" s="83"/>
    </row>
    <row r="527" spans="1:8">
      <c r="A527" s="83"/>
      <c r="B527" s="82"/>
      <c r="C527" s="82"/>
      <c r="D527" s="82"/>
      <c r="E527" s="82"/>
      <c r="F527" s="83"/>
      <c r="G527" s="83"/>
      <c r="H527" s="83"/>
    </row>
    <row r="528" spans="1:8">
      <c r="A528" s="83"/>
      <c r="B528" s="82"/>
      <c r="C528" s="82"/>
      <c r="D528" s="82"/>
      <c r="E528" s="82"/>
      <c r="F528" s="83"/>
      <c r="G528" s="83"/>
      <c r="H528" s="83"/>
    </row>
    <row r="529" spans="1:8">
      <c r="A529" s="83"/>
      <c r="B529" s="82"/>
      <c r="C529" s="82"/>
      <c r="D529" s="82"/>
      <c r="E529" s="82"/>
      <c r="F529" s="83"/>
      <c r="G529" s="83"/>
      <c r="H529" s="83"/>
    </row>
    <row r="530" spans="1:8">
      <c r="A530" s="83"/>
      <c r="B530" s="82"/>
      <c r="C530" s="82"/>
      <c r="D530" s="82"/>
      <c r="E530" s="82"/>
      <c r="F530" s="83"/>
      <c r="G530" s="83"/>
      <c r="H530" s="83"/>
    </row>
    <row r="531" spans="1:8">
      <c r="A531" s="83"/>
      <c r="B531" s="82"/>
      <c r="C531" s="82"/>
      <c r="D531" s="82"/>
      <c r="E531" s="82"/>
      <c r="F531" s="83"/>
      <c r="G531" s="83"/>
      <c r="H531" s="83"/>
    </row>
    <row r="532" spans="1:8">
      <c r="A532" s="83"/>
      <c r="B532" s="82"/>
      <c r="C532" s="82"/>
      <c r="D532" s="82"/>
      <c r="E532" s="82"/>
      <c r="F532" s="83"/>
      <c r="G532" s="83"/>
      <c r="H532" s="83"/>
    </row>
    <row r="533" spans="1:8">
      <c r="A533" s="83"/>
      <c r="B533" s="82"/>
      <c r="C533" s="82"/>
      <c r="D533" s="82"/>
      <c r="E533" s="82"/>
      <c r="F533" s="83"/>
      <c r="G533" s="83"/>
      <c r="H533" s="83"/>
    </row>
    <row r="534" spans="1:8">
      <c r="A534" s="83"/>
      <c r="B534" s="82"/>
      <c r="C534" s="82"/>
      <c r="D534" s="82"/>
      <c r="E534" s="82"/>
      <c r="F534" s="83"/>
      <c r="G534" s="83"/>
      <c r="H534" s="83"/>
    </row>
    <row r="535" spans="1:8">
      <c r="A535" s="83"/>
      <c r="B535" s="82"/>
      <c r="C535" s="82"/>
      <c r="D535" s="82"/>
      <c r="E535" s="82"/>
      <c r="F535" s="83"/>
      <c r="G535" s="83"/>
      <c r="H535" s="83"/>
    </row>
    <row r="536" spans="1:8">
      <c r="A536" s="83"/>
      <c r="B536" s="82"/>
      <c r="C536" s="82"/>
      <c r="D536" s="82"/>
      <c r="E536" s="82"/>
      <c r="F536" s="83"/>
      <c r="G536" s="83"/>
      <c r="H536" s="83"/>
    </row>
    <row r="537" spans="1:8">
      <c r="A537" s="83"/>
      <c r="B537" s="82"/>
      <c r="C537" s="82"/>
      <c r="D537" s="82"/>
      <c r="E537" s="82"/>
      <c r="F537" s="83"/>
      <c r="G537" s="83"/>
      <c r="H537" s="83"/>
    </row>
    <row r="538" spans="1:8">
      <c r="A538" s="83"/>
      <c r="B538" s="82"/>
      <c r="C538" s="82"/>
      <c r="D538" s="82"/>
      <c r="E538" s="82"/>
      <c r="F538" s="83"/>
      <c r="G538" s="83"/>
      <c r="H538" s="83"/>
    </row>
    <row r="539" spans="1:8">
      <c r="A539" s="83"/>
      <c r="B539" s="82"/>
      <c r="C539" s="82"/>
      <c r="D539" s="82"/>
      <c r="E539" s="82"/>
      <c r="F539" s="83"/>
      <c r="G539" s="83"/>
      <c r="H539" s="83"/>
    </row>
    <row r="540" spans="1:8">
      <c r="A540" s="83"/>
      <c r="B540" s="82"/>
      <c r="C540" s="82"/>
      <c r="D540" s="82"/>
      <c r="E540" s="82"/>
      <c r="F540" s="83"/>
      <c r="G540" s="83"/>
      <c r="H540" s="83"/>
    </row>
    <row r="541" spans="1:8">
      <c r="A541" s="83"/>
      <c r="B541" s="82"/>
      <c r="C541" s="82"/>
      <c r="D541" s="82"/>
      <c r="E541" s="82"/>
      <c r="F541" s="83"/>
      <c r="G541" s="83"/>
      <c r="H541" s="83"/>
    </row>
    <row r="542" spans="1:8">
      <c r="A542" s="83"/>
      <c r="B542" s="82"/>
      <c r="C542" s="82"/>
      <c r="D542" s="82"/>
      <c r="E542" s="82"/>
      <c r="F542" s="83"/>
      <c r="G542" s="83"/>
      <c r="H542" s="83"/>
    </row>
    <row r="543" spans="1:8">
      <c r="A543" s="83"/>
      <c r="B543" s="82"/>
      <c r="C543" s="82"/>
      <c r="D543" s="82"/>
      <c r="E543" s="82"/>
      <c r="F543" s="83"/>
      <c r="G543" s="83"/>
      <c r="H543" s="83"/>
    </row>
    <row r="544" spans="1:8">
      <c r="A544" s="83"/>
      <c r="B544" s="82"/>
      <c r="C544" s="82"/>
      <c r="D544" s="82"/>
      <c r="E544" s="82"/>
      <c r="F544" s="83"/>
      <c r="G544" s="83"/>
      <c r="H544" s="83"/>
    </row>
    <row r="545" spans="1:8">
      <c r="A545" s="83"/>
      <c r="B545" s="82"/>
      <c r="C545" s="82"/>
      <c r="D545" s="82"/>
      <c r="E545" s="82"/>
      <c r="F545" s="83"/>
      <c r="G545" s="83"/>
      <c r="H545" s="83"/>
    </row>
    <row r="546" spans="1:8">
      <c r="A546" s="83"/>
      <c r="B546" s="82"/>
      <c r="C546" s="82"/>
      <c r="D546" s="82"/>
      <c r="E546" s="82"/>
      <c r="F546" s="83"/>
      <c r="G546" s="83"/>
      <c r="H546" s="83"/>
    </row>
    <row r="547" spans="1:8">
      <c r="A547" s="83"/>
      <c r="B547" s="82"/>
      <c r="C547" s="82"/>
      <c r="D547" s="82"/>
      <c r="E547" s="82"/>
      <c r="F547" s="83"/>
      <c r="G547" s="83"/>
      <c r="H547" s="83"/>
    </row>
    <row r="548" spans="1:8">
      <c r="A548" s="83"/>
      <c r="B548" s="82"/>
      <c r="C548" s="82"/>
      <c r="D548" s="82"/>
      <c r="E548" s="82"/>
      <c r="F548" s="83"/>
      <c r="G548" s="83"/>
      <c r="H548" s="83"/>
    </row>
    <row r="549" spans="1:8">
      <c r="A549" s="83"/>
      <c r="B549" s="82"/>
      <c r="C549" s="82"/>
      <c r="D549" s="82"/>
      <c r="E549" s="82"/>
      <c r="F549" s="83"/>
      <c r="G549" s="83"/>
      <c r="H549" s="83"/>
    </row>
    <row r="550" spans="1:8">
      <c r="A550" s="83"/>
      <c r="B550" s="82"/>
      <c r="C550" s="82"/>
      <c r="D550" s="82"/>
      <c r="E550" s="82"/>
      <c r="F550" s="83"/>
      <c r="G550" s="83"/>
      <c r="H550" s="83"/>
    </row>
    <row r="551" spans="1:8">
      <c r="A551" s="83"/>
      <c r="B551" s="82"/>
      <c r="C551" s="82"/>
      <c r="D551" s="82"/>
      <c r="E551" s="82"/>
      <c r="F551" s="83"/>
      <c r="G551" s="83"/>
      <c r="H551" s="83"/>
    </row>
    <row r="552" spans="1:8">
      <c r="A552" s="83"/>
      <c r="B552" s="82"/>
      <c r="C552" s="82"/>
      <c r="D552" s="82"/>
      <c r="E552" s="82"/>
      <c r="F552" s="83"/>
      <c r="G552" s="83"/>
      <c r="H552" s="83"/>
    </row>
    <row r="553" spans="1:8">
      <c r="A553" s="83"/>
      <c r="B553" s="82"/>
      <c r="C553" s="82"/>
      <c r="D553" s="82"/>
      <c r="E553" s="82"/>
      <c r="F553" s="83"/>
      <c r="G553" s="83"/>
      <c r="H553" s="83"/>
    </row>
    <row r="554" spans="1:8">
      <c r="A554" s="83"/>
      <c r="B554" s="82"/>
      <c r="C554" s="82"/>
      <c r="D554" s="82"/>
      <c r="E554" s="82"/>
      <c r="F554" s="83"/>
      <c r="G554" s="83"/>
      <c r="H554" s="83"/>
    </row>
    <row r="555" spans="1:8">
      <c r="A555" s="83"/>
      <c r="B555" s="82"/>
      <c r="C555" s="82"/>
      <c r="D555" s="82"/>
      <c r="E555" s="82"/>
      <c r="F555" s="83"/>
      <c r="G555" s="83"/>
      <c r="H555" s="83"/>
    </row>
    <row r="556" spans="1:8">
      <c r="A556" s="83"/>
      <c r="B556" s="82"/>
      <c r="C556" s="82"/>
      <c r="D556" s="82"/>
      <c r="E556" s="82"/>
      <c r="F556" s="83"/>
      <c r="G556" s="83"/>
      <c r="H556" s="83"/>
    </row>
    <row r="557" spans="1:8">
      <c r="A557" s="83"/>
      <c r="B557" s="82"/>
      <c r="C557" s="82"/>
      <c r="D557" s="82"/>
      <c r="E557" s="82"/>
      <c r="F557" s="83"/>
      <c r="G557" s="83"/>
      <c r="H557" s="83"/>
    </row>
    <row r="558" spans="1:8">
      <c r="A558" s="83"/>
      <c r="B558" s="82"/>
      <c r="C558" s="82"/>
      <c r="D558" s="82"/>
      <c r="E558" s="82"/>
      <c r="F558" s="83"/>
      <c r="G558" s="83"/>
      <c r="H558" s="83"/>
    </row>
    <row r="559" spans="1:8">
      <c r="A559" s="83"/>
      <c r="B559" s="82"/>
      <c r="C559" s="82"/>
      <c r="D559" s="82"/>
      <c r="E559" s="82"/>
      <c r="F559" s="83"/>
      <c r="G559" s="83"/>
      <c r="H559" s="83"/>
    </row>
    <row r="560" spans="1:8">
      <c r="A560" s="83"/>
      <c r="B560" s="82"/>
      <c r="C560" s="82"/>
      <c r="D560" s="82"/>
      <c r="E560" s="82"/>
      <c r="F560" s="83"/>
      <c r="G560" s="83"/>
      <c r="H560" s="83"/>
    </row>
    <row r="561" spans="1:8">
      <c r="A561" s="83"/>
      <c r="B561" s="82"/>
      <c r="C561" s="82"/>
      <c r="D561" s="82"/>
      <c r="E561" s="82"/>
      <c r="F561" s="83"/>
      <c r="G561" s="83"/>
      <c r="H561" s="83"/>
    </row>
    <row r="562" spans="1:8">
      <c r="A562" s="83"/>
      <c r="B562" s="82"/>
      <c r="C562" s="82"/>
      <c r="D562" s="82"/>
      <c r="E562" s="82"/>
      <c r="F562" s="83"/>
      <c r="G562" s="83"/>
      <c r="H562" s="83"/>
    </row>
    <row r="563" spans="1:8">
      <c r="A563" s="83"/>
      <c r="B563" s="82"/>
      <c r="C563" s="82"/>
      <c r="D563" s="82"/>
      <c r="E563" s="82"/>
      <c r="F563" s="83"/>
      <c r="G563" s="83"/>
      <c r="H563" s="83"/>
    </row>
    <row r="564" spans="1:8">
      <c r="A564" s="83"/>
      <c r="B564" s="82"/>
      <c r="C564" s="82"/>
      <c r="D564" s="82"/>
      <c r="E564" s="82"/>
      <c r="F564" s="83"/>
      <c r="G564" s="83"/>
      <c r="H564" s="83"/>
    </row>
    <row r="565" spans="1:8">
      <c r="A565" s="83"/>
      <c r="B565" s="82"/>
      <c r="C565" s="82"/>
      <c r="D565" s="82"/>
      <c r="E565" s="82"/>
      <c r="F565" s="83"/>
      <c r="G565" s="83"/>
      <c r="H565" s="83"/>
    </row>
    <row r="566" spans="1:8">
      <c r="A566" s="83"/>
      <c r="B566" s="82"/>
      <c r="C566" s="82"/>
      <c r="D566" s="82"/>
      <c r="E566" s="82"/>
      <c r="F566" s="83"/>
      <c r="G566" s="83"/>
      <c r="H566" s="83"/>
    </row>
    <row r="567" spans="1:8">
      <c r="A567" s="83"/>
      <c r="B567" s="82"/>
      <c r="C567" s="82"/>
      <c r="D567" s="82"/>
      <c r="E567" s="82"/>
      <c r="F567" s="83"/>
      <c r="G567" s="83"/>
      <c r="H567" s="83"/>
    </row>
    <row r="568" spans="1:8">
      <c r="A568" s="83"/>
      <c r="B568" s="82"/>
      <c r="C568" s="82"/>
      <c r="D568" s="82"/>
      <c r="E568" s="82"/>
      <c r="F568" s="83"/>
      <c r="G568" s="83"/>
      <c r="H568" s="83"/>
    </row>
    <row r="569" spans="1:8">
      <c r="A569" s="83"/>
      <c r="B569" s="82"/>
      <c r="C569" s="82"/>
      <c r="D569" s="82"/>
      <c r="E569" s="82"/>
      <c r="F569" s="83"/>
      <c r="G569" s="83"/>
      <c r="H569" s="83"/>
    </row>
    <row r="570" spans="1:8">
      <c r="A570" s="83"/>
      <c r="B570" s="82"/>
      <c r="C570" s="82"/>
      <c r="D570" s="82"/>
      <c r="E570" s="82"/>
      <c r="F570" s="83"/>
      <c r="G570" s="83"/>
      <c r="H570" s="83"/>
    </row>
    <row r="571" spans="1:8">
      <c r="A571" s="83"/>
      <c r="B571" s="82"/>
      <c r="C571" s="82"/>
      <c r="D571" s="82"/>
      <c r="E571" s="82"/>
      <c r="F571" s="83"/>
      <c r="G571" s="83"/>
      <c r="H571" s="83"/>
    </row>
    <row r="572" spans="1:8">
      <c r="A572" s="83"/>
      <c r="B572" s="82"/>
      <c r="C572" s="82"/>
      <c r="D572" s="82"/>
      <c r="E572" s="82"/>
      <c r="F572" s="83"/>
      <c r="G572" s="83"/>
      <c r="H572" s="83"/>
    </row>
    <row r="573" spans="1:8">
      <c r="A573" s="83"/>
      <c r="B573" s="82"/>
      <c r="C573" s="82"/>
      <c r="D573" s="82"/>
      <c r="E573" s="82"/>
      <c r="F573" s="83"/>
      <c r="G573" s="83"/>
      <c r="H573" s="83"/>
    </row>
    <row r="574" spans="1:8">
      <c r="A574" s="83"/>
      <c r="B574" s="82"/>
      <c r="C574" s="82"/>
      <c r="D574" s="82"/>
      <c r="E574" s="82"/>
      <c r="F574" s="83"/>
      <c r="G574" s="83"/>
      <c r="H574" s="83"/>
    </row>
    <row r="575" spans="1:8">
      <c r="A575" s="83"/>
      <c r="B575" s="82"/>
      <c r="C575" s="82"/>
      <c r="D575" s="82"/>
      <c r="E575" s="82"/>
      <c r="F575" s="83"/>
      <c r="G575" s="83"/>
      <c r="H575" s="83"/>
    </row>
    <row r="576" spans="1:8">
      <c r="A576" s="83"/>
      <c r="B576" s="82"/>
      <c r="C576" s="82"/>
      <c r="D576" s="82"/>
      <c r="E576" s="82"/>
      <c r="F576" s="83"/>
      <c r="G576" s="83"/>
      <c r="H576" s="83"/>
    </row>
    <row r="577" spans="1:8">
      <c r="A577" s="83"/>
      <c r="B577" s="82"/>
      <c r="C577" s="82"/>
      <c r="D577" s="82"/>
      <c r="E577" s="82"/>
      <c r="F577" s="83"/>
      <c r="G577" s="83"/>
      <c r="H577" s="83"/>
    </row>
    <row r="578" spans="1:8">
      <c r="A578" s="83"/>
      <c r="B578" s="82"/>
      <c r="C578" s="82"/>
      <c r="D578" s="82"/>
      <c r="E578" s="82"/>
      <c r="F578" s="83"/>
      <c r="G578" s="83"/>
      <c r="H578" s="83"/>
    </row>
    <row r="579" spans="1:8">
      <c r="A579" s="83"/>
      <c r="B579" s="82"/>
      <c r="C579" s="82"/>
      <c r="D579" s="82"/>
      <c r="E579" s="82"/>
      <c r="F579" s="83"/>
      <c r="G579" s="83"/>
      <c r="H579" s="83"/>
    </row>
    <row r="580" spans="1:8">
      <c r="A580" s="83"/>
      <c r="B580" s="82"/>
      <c r="C580" s="82"/>
      <c r="D580" s="82"/>
      <c r="E580" s="82"/>
      <c r="F580" s="83"/>
      <c r="G580" s="83"/>
      <c r="H580" s="83"/>
    </row>
    <row r="581" spans="1:8">
      <c r="A581" s="83"/>
      <c r="B581" s="82"/>
      <c r="C581" s="82"/>
      <c r="D581" s="82"/>
      <c r="E581" s="82"/>
      <c r="F581" s="83"/>
      <c r="G581" s="83"/>
      <c r="H581" s="83"/>
    </row>
    <row r="582" spans="1:8">
      <c r="A582" s="83"/>
      <c r="B582" s="82"/>
      <c r="C582" s="82"/>
      <c r="D582" s="82"/>
      <c r="E582" s="82"/>
      <c r="F582" s="83"/>
      <c r="G582" s="83"/>
      <c r="H582" s="83"/>
    </row>
    <row r="583" spans="1:8">
      <c r="A583" s="83"/>
      <c r="B583" s="82"/>
      <c r="C583" s="82"/>
      <c r="D583" s="82"/>
      <c r="E583" s="82"/>
      <c r="F583" s="83"/>
      <c r="G583" s="83"/>
      <c r="H583" s="83"/>
    </row>
    <row r="584" spans="1:8">
      <c r="A584" s="83"/>
      <c r="B584" s="82"/>
      <c r="C584" s="82"/>
      <c r="D584" s="82"/>
      <c r="E584" s="82"/>
      <c r="F584" s="83"/>
      <c r="G584" s="83"/>
      <c r="H584" s="83"/>
    </row>
    <row r="585" spans="1:8">
      <c r="A585" s="83"/>
      <c r="B585" s="82"/>
      <c r="C585" s="82"/>
      <c r="D585" s="82"/>
      <c r="E585" s="82"/>
      <c r="F585" s="83"/>
      <c r="G585" s="83"/>
      <c r="H585" s="83"/>
    </row>
    <row r="586" spans="1:8">
      <c r="A586" s="83"/>
      <c r="B586" s="82"/>
      <c r="C586" s="82"/>
      <c r="D586" s="82"/>
      <c r="E586" s="82"/>
      <c r="F586" s="83"/>
      <c r="G586" s="83"/>
      <c r="H586" s="83"/>
    </row>
    <row r="587" spans="1:8">
      <c r="A587" s="83"/>
      <c r="B587" s="82"/>
      <c r="C587" s="82"/>
      <c r="D587" s="82"/>
      <c r="E587" s="82"/>
      <c r="F587" s="83"/>
      <c r="G587" s="83"/>
      <c r="H587" s="83"/>
    </row>
    <row r="588" spans="1:8">
      <c r="A588" s="83"/>
      <c r="B588" s="82"/>
      <c r="C588" s="82"/>
      <c r="D588" s="82"/>
      <c r="E588" s="82"/>
      <c r="F588" s="83"/>
      <c r="G588" s="83"/>
      <c r="H588" s="83"/>
    </row>
    <row r="589" spans="1:8">
      <c r="A589" s="83"/>
      <c r="B589" s="82"/>
      <c r="C589" s="82"/>
      <c r="D589" s="82"/>
      <c r="E589" s="82"/>
      <c r="F589" s="83"/>
      <c r="G589" s="83"/>
      <c r="H589" s="83"/>
    </row>
    <row r="590" spans="1:8">
      <c r="A590" s="83"/>
      <c r="B590" s="82"/>
      <c r="C590" s="82"/>
      <c r="D590" s="82"/>
      <c r="E590" s="82"/>
      <c r="F590" s="83"/>
      <c r="G590" s="83"/>
      <c r="H590" s="83"/>
    </row>
    <row r="591" spans="1:8">
      <c r="A591" s="83"/>
      <c r="B591" s="82"/>
      <c r="C591" s="82"/>
      <c r="D591" s="82"/>
      <c r="E591" s="82"/>
      <c r="F591" s="83"/>
      <c r="G591" s="83"/>
      <c r="H591" s="83"/>
    </row>
    <row r="592" spans="1:8">
      <c r="A592" s="83"/>
      <c r="B592" s="82"/>
      <c r="C592" s="82"/>
      <c r="D592" s="82"/>
      <c r="E592" s="82"/>
      <c r="F592" s="83"/>
      <c r="G592" s="83"/>
      <c r="H592" s="83"/>
    </row>
    <row r="593" spans="1:8">
      <c r="A593" s="83"/>
      <c r="B593" s="82"/>
      <c r="C593" s="82"/>
      <c r="D593" s="82"/>
      <c r="E593" s="82"/>
      <c r="F593" s="83"/>
      <c r="G593" s="83"/>
      <c r="H593" s="83"/>
    </row>
    <row r="594" spans="1:8">
      <c r="A594" s="83"/>
      <c r="B594" s="82"/>
      <c r="C594" s="82"/>
      <c r="D594" s="82"/>
      <c r="E594" s="82"/>
      <c r="F594" s="83"/>
      <c r="G594" s="83"/>
      <c r="H594" s="83"/>
    </row>
    <row r="595" spans="1:8">
      <c r="A595" s="83"/>
      <c r="B595" s="82"/>
      <c r="C595" s="82"/>
      <c r="D595" s="82"/>
      <c r="E595" s="82"/>
      <c r="F595" s="83"/>
      <c r="G595" s="83"/>
      <c r="H595" s="83"/>
    </row>
    <row r="596" spans="1:8">
      <c r="A596" s="83"/>
      <c r="B596" s="82"/>
      <c r="C596" s="82"/>
      <c r="D596" s="82"/>
      <c r="E596" s="82"/>
      <c r="F596" s="83"/>
      <c r="G596" s="83"/>
      <c r="H596" s="83"/>
    </row>
    <row r="597" spans="1:8">
      <c r="A597" s="83"/>
      <c r="B597" s="82"/>
      <c r="C597" s="82"/>
      <c r="D597" s="82"/>
      <c r="E597" s="82"/>
      <c r="F597" s="83"/>
      <c r="G597" s="83"/>
      <c r="H597" s="83"/>
    </row>
    <row r="598" spans="1:8">
      <c r="A598" s="83"/>
      <c r="B598" s="82"/>
      <c r="C598" s="82"/>
      <c r="D598" s="82"/>
      <c r="E598" s="82"/>
      <c r="F598" s="83"/>
      <c r="G598" s="83"/>
      <c r="H598" s="83"/>
    </row>
    <row r="599" spans="1:8">
      <c r="A599" s="83"/>
      <c r="B599" s="82"/>
      <c r="C599" s="82"/>
      <c r="D599" s="82"/>
      <c r="E599" s="82"/>
      <c r="F599" s="83"/>
      <c r="G599" s="83"/>
      <c r="H599" s="83"/>
    </row>
    <row r="600" spans="1:8">
      <c r="A600" s="83"/>
      <c r="B600" s="82"/>
      <c r="C600" s="82"/>
      <c r="D600" s="82"/>
      <c r="E600" s="82"/>
      <c r="F600" s="83"/>
      <c r="G600" s="83"/>
      <c r="H600" s="83"/>
    </row>
    <row r="601" spans="1:8">
      <c r="A601" s="83"/>
      <c r="B601" s="82"/>
      <c r="C601" s="82"/>
      <c r="D601" s="82"/>
      <c r="E601" s="82"/>
      <c r="F601" s="83"/>
      <c r="G601" s="83"/>
      <c r="H601" s="83"/>
    </row>
    <row r="602" spans="1:8">
      <c r="A602" s="83"/>
      <c r="B602" s="82"/>
      <c r="C602" s="82"/>
      <c r="D602" s="82"/>
      <c r="E602" s="82"/>
      <c r="F602" s="83"/>
      <c r="G602" s="83"/>
      <c r="H602" s="83"/>
    </row>
    <row r="603" spans="1:8">
      <c r="A603" s="83"/>
      <c r="B603" s="82"/>
      <c r="C603" s="82"/>
      <c r="D603" s="82"/>
      <c r="E603" s="82"/>
      <c r="F603" s="83"/>
      <c r="G603" s="83"/>
      <c r="H603" s="83"/>
    </row>
    <row r="604" spans="1:8">
      <c r="A604" s="83"/>
      <c r="B604" s="82"/>
      <c r="C604" s="82"/>
      <c r="D604" s="82"/>
      <c r="E604" s="82"/>
      <c r="F604" s="83"/>
      <c r="G604" s="83"/>
      <c r="H604" s="83"/>
    </row>
    <row r="605" spans="1:8">
      <c r="A605" s="83"/>
      <c r="B605" s="82"/>
      <c r="C605" s="82"/>
      <c r="D605" s="82"/>
      <c r="E605" s="82"/>
      <c r="F605" s="83"/>
      <c r="G605" s="83"/>
      <c r="H605" s="83"/>
    </row>
    <row r="606" spans="1:8">
      <c r="A606" s="83"/>
      <c r="B606" s="82"/>
      <c r="C606" s="82"/>
      <c r="D606" s="82"/>
      <c r="E606" s="82"/>
      <c r="F606" s="83"/>
      <c r="G606" s="83"/>
      <c r="H606" s="83"/>
    </row>
    <row r="607" spans="1:8">
      <c r="A607" s="83"/>
      <c r="B607" s="82"/>
      <c r="C607" s="82"/>
      <c r="D607" s="82"/>
      <c r="E607" s="82"/>
      <c r="F607" s="83"/>
      <c r="G607" s="83"/>
      <c r="H607" s="83"/>
    </row>
    <row r="608" spans="1:8">
      <c r="A608" s="83"/>
      <c r="B608" s="82"/>
      <c r="C608" s="82"/>
      <c r="D608" s="82"/>
      <c r="E608" s="82"/>
      <c r="F608" s="83"/>
      <c r="G608" s="83"/>
      <c r="H608" s="83"/>
    </row>
    <row r="609" spans="1:8">
      <c r="A609" s="83"/>
      <c r="B609" s="82"/>
      <c r="C609" s="82"/>
      <c r="D609" s="82"/>
      <c r="E609" s="82"/>
      <c r="F609" s="83"/>
      <c r="G609" s="83"/>
      <c r="H609" s="83"/>
    </row>
    <row r="610" spans="1:8">
      <c r="A610" s="83"/>
      <c r="B610" s="82"/>
      <c r="C610" s="82"/>
      <c r="D610" s="82"/>
      <c r="E610" s="82"/>
      <c r="F610" s="83"/>
      <c r="G610" s="83"/>
      <c r="H610" s="83"/>
    </row>
    <row r="611" spans="1:8">
      <c r="A611" s="83"/>
      <c r="B611" s="82"/>
      <c r="C611" s="82"/>
      <c r="D611" s="82"/>
      <c r="E611" s="82"/>
      <c r="F611" s="83"/>
      <c r="G611" s="83"/>
      <c r="H611" s="83"/>
    </row>
    <row r="612" spans="1:8">
      <c r="A612" s="83"/>
      <c r="B612" s="82"/>
      <c r="C612" s="82"/>
      <c r="D612" s="82"/>
      <c r="E612" s="82"/>
      <c r="F612" s="83"/>
      <c r="G612" s="83"/>
      <c r="H612" s="83"/>
    </row>
    <row r="613" spans="1:8">
      <c r="A613" s="83"/>
      <c r="B613" s="82"/>
      <c r="C613" s="82"/>
      <c r="D613" s="82"/>
      <c r="E613" s="82"/>
      <c r="F613" s="83"/>
      <c r="G613" s="83"/>
      <c r="H613" s="83"/>
    </row>
    <row r="614" spans="1:8">
      <c r="A614" s="83"/>
      <c r="B614" s="82"/>
      <c r="C614" s="82"/>
      <c r="D614" s="82"/>
      <c r="E614" s="82"/>
      <c r="F614" s="83"/>
      <c r="G614" s="83"/>
      <c r="H614" s="83"/>
    </row>
    <row r="615" spans="1:8">
      <c r="A615" s="83"/>
      <c r="B615" s="82"/>
      <c r="C615" s="82"/>
      <c r="D615" s="82"/>
      <c r="E615" s="82"/>
      <c r="F615" s="83"/>
      <c r="G615" s="83"/>
      <c r="H615" s="83"/>
    </row>
    <row r="616" spans="1:8">
      <c r="A616" s="83"/>
      <c r="B616" s="82"/>
      <c r="C616" s="82"/>
      <c r="D616" s="82"/>
      <c r="E616" s="82"/>
      <c r="F616" s="83"/>
      <c r="G616" s="83"/>
      <c r="H616" s="83"/>
    </row>
    <row r="617" spans="1:8">
      <c r="A617" s="83"/>
      <c r="B617" s="82"/>
      <c r="C617" s="82"/>
      <c r="D617" s="82"/>
      <c r="E617" s="82"/>
      <c r="F617" s="83"/>
      <c r="G617" s="83"/>
      <c r="H617" s="83"/>
    </row>
    <row r="618" spans="1:8">
      <c r="A618" s="83"/>
      <c r="B618" s="82"/>
      <c r="C618" s="82"/>
      <c r="D618" s="82"/>
      <c r="E618" s="82"/>
      <c r="F618" s="83"/>
      <c r="G618" s="83"/>
      <c r="H618" s="83"/>
    </row>
    <row r="619" spans="1:8">
      <c r="A619" s="83"/>
      <c r="B619" s="82"/>
      <c r="C619" s="82"/>
      <c r="D619" s="82"/>
      <c r="E619" s="82"/>
      <c r="F619" s="83"/>
      <c r="G619" s="83"/>
      <c r="H619" s="83"/>
    </row>
    <row r="620" spans="1:8">
      <c r="A620" s="83"/>
      <c r="B620" s="82"/>
      <c r="C620" s="82"/>
      <c r="D620" s="82"/>
      <c r="E620" s="82"/>
      <c r="F620" s="83"/>
      <c r="G620" s="83"/>
      <c r="H620" s="83"/>
    </row>
    <row r="621" spans="1:8">
      <c r="A621" s="83"/>
      <c r="B621" s="82"/>
      <c r="C621" s="82"/>
      <c r="D621" s="82"/>
      <c r="E621" s="82"/>
      <c r="F621" s="83"/>
      <c r="G621" s="83"/>
      <c r="H621" s="83"/>
    </row>
    <row r="622" spans="1:8">
      <c r="A622" s="83"/>
      <c r="B622" s="82"/>
      <c r="C622" s="82"/>
      <c r="D622" s="82"/>
      <c r="E622" s="82"/>
      <c r="F622" s="83"/>
      <c r="G622" s="83"/>
      <c r="H622" s="83"/>
    </row>
    <row r="623" spans="1:8">
      <c r="A623" s="83"/>
      <c r="B623" s="82"/>
      <c r="C623" s="82"/>
      <c r="D623" s="82"/>
      <c r="E623" s="82"/>
      <c r="F623" s="83"/>
      <c r="G623" s="83"/>
      <c r="H623" s="83"/>
    </row>
    <row r="624" spans="1:8">
      <c r="A624" s="83"/>
      <c r="B624" s="82"/>
      <c r="C624" s="82"/>
      <c r="D624" s="82"/>
      <c r="E624" s="82"/>
      <c r="F624" s="83"/>
      <c r="G624" s="83"/>
      <c r="H624" s="83"/>
    </row>
    <row r="625" spans="1:8">
      <c r="A625" s="83"/>
      <c r="B625" s="82"/>
      <c r="C625" s="82"/>
      <c r="D625" s="82"/>
      <c r="E625" s="82"/>
      <c r="F625" s="83"/>
      <c r="G625" s="83"/>
      <c r="H625" s="83"/>
    </row>
    <row r="626" spans="1:8">
      <c r="A626" s="83"/>
      <c r="B626" s="82"/>
      <c r="C626" s="82"/>
      <c r="D626" s="82"/>
      <c r="E626" s="82"/>
      <c r="F626" s="83"/>
      <c r="G626" s="83"/>
      <c r="H626" s="83"/>
    </row>
    <row r="627" spans="1:8">
      <c r="A627" s="83"/>
      <c r="B627" s="82"/>
      <c r="C627" s="82"/>
      <c r="D627" s="82"/>
      <c r="E627" s="82"/>
      <c r="F627" s="83"/>
      <c r="G627" s="83"/>
      <c r="H627" s="83"/>
    </row>
    <row r="628" spans="1:8">
      <c r="A628" s="83"/>
      <c r="B628" s="82"/>
      <c r="C628" s="82"/>
      <c r="D628" s="82"/>
      <c r="E628" s="82"/>
      <c r="F628" s="83"/>
      <c r="G628" s="83"/>
      <c r="H628" s="83"/>
    </row>
    <row r="629" spans="1:8">
      <c r="A629" s="83"/>
      <c r="B629" s="82"/>
      <c r="C629" s="82"/>
      <c r="D629" s="82"/>
      <c r="E629" s="82"/>
      <c r="F629" s="83"/>
      <c r="G629" s="83"/>
      <c r="H629" s="83"/>
    </row>
    <row r="630" spans="1:8">
      <c r="A630" s="83"/>
      <c r="B630" s="82"/>
      <c r="C630" s="82"/>
      <c r="D630" s="82"/>
      <c r="E630" s="82"/>
      <c r="F630" s="83"/>
      <c r="G630" s="83"/>
      <c r="H630" s="83"/>
    </row>
    <row r="631" spans="1:8">
      <c r="A631" s="83"/>
      <c r="B631" s="82"/>
      <c r="C631" s="82"/>
      <c r="D631" s="82"/>
      <c r="E631" s="82"/>
      <c r="F631" s="83"/>
      <c r="G631" s="83"/>
      <c r="H631" s="83"/>
    </row>
    <row r="632" spans="1:8">
      <c r="A632" s="83"/>
      <c r="B632" s="82"/>
      <c r="C632" s="82"/>
      <c r="D632" s="82"/>
      <c r="E632" s="82"/>
      <c r="F632" s="83"/>
      <c r="G632" s="83"/>
      <c r="H632" s="83"/>
    </row>
    <row r="633" spans="1:8">
      <c r="A633" s="83"/>
      <c r="B633" s="82"/>
      <c r="C633" s="82"/>
      <c r="D633" s="82"/>
      <c r="E633" s="82"/>
      <c r="F633" s="83"/>
      <c r="G633" s="83"/>
      <c r="H633" s="83"/>
    </row>
    <row r="634" spans="1:8">
      <c r="A634" s="83"/>
      <c r="B634" s="82"/>
      <c r="C634" s="82"/>
      <c r="D634" s="82"/>
      <c r="E634" s="82"/>
      <c r="F634" s="83"/>
      <c r="G634" s="83"/>
      <c r="H634" s="83"/>
    </row>
    <row r="635" spans="1:8">
      <c r="A635" s="83"/>
      <c r="B635" s="82"/>
      <c r="C635" s="82"/>
      <c r="D635" s="82"/>
      <c r="E635" s="82"/>
      <c r="F635" s="83"/>
      <c r="G635" s="83"/>
      <c r="H635" s="83"/>
    </row>
    <row r="636" spans="1:8">
      <c r="A636" s="83"/>
      <c r="B636" s="82"/>
      <c r="C636" s="82"/>
      <c r="D636" s="82"/>
      <c r="E636" s="82"/>
      <c r="F636" s="83"/>
      <c r="G636" s="83"/>
      <c r="H636" s="83"/>
    </row>
    <row r="637" spans="1:8">
      <c r="A637" s="83"/>
      <c r="B637" s="82"/>
      <c r="C637" s="82"/>
      <c r="D637" s="82"/>
      <c r="E637" s="82"/>
      <c r="F637" s="83"/>
      <c r="G637" s="83"/>
      <c r="H637" s="83"/>
    </row>
    <row r="638" spans="1:8">
      <c r="A638" s="83"/>
      <c r="B638" s="82"/>
      <c r="C638" s="82"/>
      <c r="D638" s="82"/>
      <c r="E638" s="82"/>
      <c r="F638" s="83"/>
      <c r="G638" s="83"/>
      <c r="H638" s="83"/>
    </row>
    <row r="639" spans="1:8">
      <c r="A639" s="83"/>
      <c r="B639" s="82"/>
      <c r="C639" s="82"/>
      <c r="D639" s="82"/>
      <c r="E639" s="82"/>
      <c r="F639" s="83"/>
      <c r="G639" s="83"/>
      <c r="H639" s="83"/>
    </row>
    <row r="640" spans="1:8">
      <c r="A640" s="83"/>
      <c r="B640" s="82"/>
      <c r="C640" s="82"/>
      <c r="D640" s="82"/>
      <c r="E640" s="82"/>
      <c r="F640" s="83"/>
      <c r="G640" s="83"/>
      <c r="H640" s="83"/>
    </row>
    <row r="641" spans="1:8">
      <c r="A641" s="83"/>
      <c r="B641" s="82"/>
      <c r="C641" s="82"/>
      <c r="D641" s="82"/>
      <c r="E641" s="82"/>
      <c r="F641" s="83"/>
      <c r="G641" s="83"/>
      <c r="H641" s="83"/>
    </row>
    <row r="642" spans="1:8">
      <c r="A642" s="83"/>
      <c r="B642" s="82"/>
      <c r="C642" s="82"/>
      <c r="D642" s="82"/>
      <c r="E642" s="82"/>
      <c r="F642" s="83"/>
      <c r="G642" s="83"/>
      <c r="H642" s="83"/>
    </row>
    <row r="643" spans="1:8">
      <c r="A643" s="83"/>
      <c r="B643" s="82"/>
      <c r="C643" s="82"/>
      <c r="D643" s="82"/>
      <c r="E643" s="82"/>
      <c r="F643" s="83"/>
      <c r="G643" s="83"/>
      <c r="H643" s="83"/>
    </row>
    <row r="644" spans="1:8">
      <c r="A644" s="83"/>
      <c r="B644" s="82"/>
      <c r="C644" s="82"/>
      <c r="D644" s="82"/>
      <c r="E644" s="82"/>
      <c r="F644" s="83"/>
      <c r="G644" s="83"/>
      <c r="H644" s="83"/>
    </row>
    <row r="645" spans="1:8">
      <c r="A645" s="83"/>
      <c r="B645" s="82"/>
      <c r="C645" s="82"/>
      <c r="D645" s="82"/>
      <c r="E645" s="82"/>
      <c r="F645" s="83"/>
      <c r="G645" s="83"/>
      <c r="H645" s="83"/>
    </row>
    <row r="646" spans="1:8">
      <c r="A646" s="83"/>
      <c r="B646" s="82"/>
      <c r="C646" s="82"/>
      <c r="D646" s="82"/>
      <c r="E646" s="82"/>
      <c r="F646" s="83"/>
      <c r="G646" s="83"/>
      <c r="H646" s="83"/>
    </row>
    <row r="647" spans="1:8">
      <c r="A647" s="83"/>
      <c r="B647" s="82"/>
      <c r="C647" s="82"/>
      <c r="D647" s="82"/>
      <c r="E647" s="82"/>
      <c r="F647" s="83"/>
      <c r="G647" s="83"/>
      <c r="H647" s="83"/>
    </row>
    <row r="648" spans="1:8">
      <c r="A648" s="83"/>
      <c r="B648" s="82"/>
      <c r="C648" s="82"/>
      <c r="D648" s="82"/>
      <c r="E648" s="82"/>
      <c r="F648" s="83"/>
      <c r="G648" s="83"/>
      <c r="H648" s="83"/>
    </row>
    <row r="649" spans="1:8">
      <c r="A649" s="83"/>
      <c r="B649" s="82"/>
      <c r="C649" s="82"/>
      <c r="D649" s="82"/>
      <c r="E649" s="82"/>
      <c r="F649" s="83"/>
      <c r="G649" s="83"/>
      <c r="H649" s="83"/>
    </row>
    <row r="650" spans="1:8">
      <c r="A650" s="83"/>
      <c r="B650" s="82"/>
      <c r="C650" s="82"/>
      <c r="D650" s="82"/>
      <c r="E650" s="82"/>
      <c r="F650" s="83"/>
      <c r="G650" s="83"/>
      <c r="H650" s="83"/>
    </row>
    <row r="651" spans="1:8">
      <c r="A651" s="83"/>
      <c r="B651" s="82"/>
      <c r="C651" s="82"/>
      <c r="D651" s="82"/>
      <c r="E651" s="82"/>
      <c r="F651" s="83"/>
      <c r="G651" s="83"/>
      <c r="H651" s="83"/>
    </row>
    <row r="652" spans="1:8">
      <c r="A652" s="83"/>
      <c r="B652" s="82"/>
      <c r="C652" s="82"/>
      <c r="D652" s="82"/>
      <c r="E652" s="82"/>
      <c r="F652" s="83"/>
      <c r="G652" s="83"/>
      <c r="H652" s="83"/>
    </row>
    <row r="653" spans="1:8">
      <c r="A653" s="83"/>
      <c r="B653" s="82"/>
      <c r="C653" s="82"/>
      <c r="D653" s="82"/>
      <c r="E653" s="82"/>
      <c r="F653" s="83"/>
      <c r="G653" s="83"/>
      <c r="H653" s="83"/>
    </row>
    <row r="654" spans="1:8">
      <c r="A654" s="83"/>
      <c r="B654" s="82"/>
      <c r="C654" s="82"/>
      <c r="D654" s="82"/>
      <c r="E654" s="82"/>
      <c r="F654" s="83"/>
      <c r="G654" s="83"/>
      <c r="H654" s="83"/>
    </row>
    <row r="655" spans="1:8">
      <c r="A655" s="83"/>
      <c r="B655" s="82"/>
      <c r="C655" s="82"/>
      <c r="D655" s="82"/>
      <c r="E655" s="82"/>
      <c r="F655" s="83"/>
      <c r="G655" s="83"/>
      <c r="H655" s="83"/>
    </row>
    <row r="656" spans="1:8">
      <c r="A656" s="83"/>
      <c r="B656" s="82"/>
      <c r="C656" s="82"/>
      <c r="D656" s="82"/>
      <c r="E656" s="82"/>
      <c r="F656" s="83"/>
      <c r="G656" s="83"/>
      <c r="H656" s="83"/>
    </row>
    <row r="657" spans="1:8">
      <c r="A657" s="83"/>
      <c r="B657" s="82"/>
      <c r="C657" s="82"/>
      <c r="D657" s="82"/>
      <c r="E657" s="82"/>
      <c r="F657" s="83"/>
      <c r="G657" s="83"/>
      <c r="H657" s="83"/>
    </row>
    <row r="658" spans="1:8">
      <c r="A658" s="83"/>
      <c r="B658" s="82"/>
      <c r="C658" s="82"/>
      <c r="D658" s="82"/>
      <c r="E658" s="82"/>
      <c r="F658" s="83"/>
      <c r="G658" s="83"/>
      <c r="H658" s="83"/>
    </row>
    <row r="659" spans="1:8">
      <c r="A659" s="83"/>
      <c r="B659" s="82"/>
      <c r="C659" s="82"/>
      <c r="D659" s="82"/>
      <c r="E659" s="82"/>
      <c r="F659" s="83"/>
      <c r="G659" s="83"/>
      <c r="H659" s="83"/>
    </row>
    <row r="660" spans="1:8">
      <c r="A660" s="83"/>
      <c r="B660" s="82"/>
      <c r="C660" s="82"/>
      <c r="D660" s="82"/>
      <c r="E660" s="82"/>
      <c r="F660" s="83"/>
      <c r="G660" s="83"/>
      <c r="H660" s="83"/>
    </row>
    <row r="661" spans="1:8">
      <c r="A661" s="83"/>
      <c r="B661" s="82"/>
      <c r="C661" s="82"/>
      <c r="D661" s="82"/>
      <c r="E661" s="82"/>
      <c r="F661" s="83"/>
      <c r="G661" s="83"/>
      <c r="H661" s="83"/>
    </row>
    <row r="662" spans="1:8">
      <c r="A662" s="83"/>
      <c r="B662" s="82"/>
      <c r="C662" s="82"/>
      <c r="D662" s="82"/>
      <c r="E662" s="82"/>
      <c r="F662" s="83"/>
      <c r="G662" s="83"/>
      <c r="H662" s="83"/>
    </row>
    <row r="663" spans="1:8">
      <c r="A663" s="83"/>
      <c r="B663" s="82"/>
      <c r="C663" s="82"/>
      <c r="D663" s="82"/>
      <c r="E663" s="82"/>
      <c r="F663" s="83"/>
      <c r="G663" s="83"/>
      <c r="H663" s="83"/>
    </row>
    <row r="664" spans="1:8">
      <c r="A664" s="83"/>
      <c r="B664" s="82"/>
      <c r="C664" s="82"/>
      <c r="D664" s="82"/>
      <c r="E664" s="82"/>
      <c r="F664" s="83"/>
      <c r="G664" s="83"/>
      <c r="H664" s="83"/>
    </row>
    <row r="665" spans="1:8">
      <c r="A665" s="83"/>
      <c r="B665" s="82"/>
      <c r="C665" s="82"/>
      <c r="D665" s="82"/>
      <c r="E665" s="82"/>
      <c r="F665" s="83"/>
      <c r="G665" s="83"/>
      <c r="H665" s="83"/>
    </row>
    <row r="666" spans="1:8">
      <c r="A666" s="83"/>
      <c r="B666" s="82"/>
      <c r="C666" s="82"/>
      <c r="D666" s="82"/>
      <c r="E666" s="82"/>
      <c r="F666" s="83"/>
      <c r="G666" s="83"/>
      <c r="H666" s="83"/>
    </row>
    <row r="667" spans="1:8">
      <c r="A667" s="83"/>
      <c r="B667" s="82"/>
      <c r="C667" s="82"/>
      <c r="D667" s="82"/>
      <c r="E667" s="82"/>
      <c r="F667" s="83"/>
      <c r="G667" s="83"/>
      <c r="H667" s="83"/>
    </row>
    <row r="668" spans="1:8">
      <c r="A668" s="83"/>
      <c r="B668" s="82"/>
      <c r="C668" s="82"/>
      <c r="D668" s="82"/>
      <c r="E668" s="82"/>
      <c r="F668" s="83"/>
      <c r="G668" s="83"/>
      <c r="H668" s="83"/>
    </row>
    <row r="669" spans="1:8">
      <c r="A669" s="83"/>
      <c r="B669" s="82"/>
      <c r="C669" s="82"/>
      <c r="D669" s="82"/>
      <c r="E669" s="82"/>
      <c r="F669" s="83"/>
      <c r="G669" s="83"/>
      <c r="H669" s="83"/>
    </row>
    <row r="670" spans="1:8">
      <c r="A670" s="83"/>
      <c r="B670" s="82"/>
      <c r="C670" s="82"/>
      <c r="D670" s="82"/>
      <c r="E670" s="82"/>
      <c r="F670" s="83"/>
      <c r="G670" s="83"/>
      <c r="H670" s="83"/>
    </row>
    <row r="671" spans="1:8">
      <c r="A671" s="83"/>
      <c r="B671" s="82"/>
      <c r="C671" s="82"/>
      <c r="D671" s="82"/>
      <c r="E671" s="82"/>
      <c r="F671" s="83"/>
      <c r="G671" s="83"/>
      <c r="H671" s="83"/>
    </row>
    <row r="672" spans="1:8">
      <c r="A672" s="83"/>
      <c r="B672" s="82"/>
      <c r="C672" s="82"/>
      <c r="D672" s="82"/>
      <c r="E672" s="82"/>
      <c r="F672" s="83"/>
      <c r="G672" s="83"/>
      <c r="H672" s="83"/>
    </row>
    <row r="673" spans="1:8">
      <c r="A673" s="83"/>
      <c r="B673" s="82"/>
      <c r="C673" s="82"/>
      <c r="D673" s="82"/>
      <c r="E673" s="82"/>
      <c r="F673" s="83"/>
      <c r="G673" s="83"/>
      <c r="H673" s="83"/>
    </row>
    <row r="674" spans="1:8">
      <c r="A674" s="83"/>
      <c r="B674" s="82"/>
      <c r="C674" s="82"/>
      <c r="D674" s="82"/>
      <c r="E674" s="82"/>
      <c r="F674" s="83"/>
      <c r="G674" s="83"/>
      <c r="H674" s="83"/>
    </row>
    <row r="675" spans="1:8">
      <c r="A675" s="83"/>
      <c r="B675" s="82"/>
      <c r="C675" s="82"/>
      <c r="D675" s="82"/>
      <c r="E675" s="82"/>
      <c r="F675" s="83"/>
      <c r="G675" s="83"/>
      <c r="H675" s="83"/>
    </row>
    <row r="676" spans="1:8">
      <c r="A676" s="83"/>
      <c r="B676" s="82"/>
      <c r="C676" s="82"/>
      <c r="D676" s="82"/>
      <c r="E676" s="82"/>
      <c r="F676" s="83"/>
      <c r="G676" s="83"/>
      <c r="H676" s="83"/>
    </row>
    <row r="677" spans="1:8">
      <c r="A677" s="83"/>
      <c r="B677" s="82"/>
      <c r="C677" s="82"/>
      <c r="D677" s="82"/>
      <c r="E677" s="82"/>
      <c r="F677" s="83"/>
      <c r="G677" s="83"/>
      <c r="H677" s="83"/>
    </row>
    <row r="678" spans="1:8">
      <c r="A678" s="83"/>
      <c r="B678" s="82"/>
      <c r="C678" s="82"/>
      <c r="D678" s="82"/>
      <c r="E678" s="82"/>
      <c r="F678" s="83"/>
      <c r="G678" s="83"/>
      <c r="H678" s="83"/>
    </row>
    <row r="679" spans="1:8">
      <c r="A679" s="83"/>
      <c r="B679" s="82"/>
      <c r="C679" s="82"/>
      <c r="D679" s="82"/>
      <c r="E679" s="82"/>
      <c r="F679" s="83"/>
      <c r="G679" s="83"/>
      <c r="H679" s="83"/>
    </row>
    <row r="680" spans="1:8">
      <c r="A680" s="83"/>
      <c r="B680" s="82"/>
      <c r="C680" s="82"/>
      <c r="D680" s="82"/>
      <c r="E680" s="82"/>
      <c r="F680" s="83"/>
      <c r="G680" s="83"/>
      <c r="H680" s="83"/>
    </row>
    <row r="681" spans="1:8">
      <c r="A681" s="83"/>
      <c r="B681" s="82"/>
      <c r="C681" s="82"/>
      <c r="D681" s="82"/>
      <c r="E681" s="82"/>
      <c r="F681" s="83"/>
      <c r="G681" s="83"/>
      <c r="H681" s="83"/>
    </row>
    <row r="682" spans="1:8">
      <c r="A682" s="83"/>
      <c r="B682" s="82"/>
      <c r="C682" s="82"/>
      <c r="D682" s="82"/>
      <c r="E682" s="82"/>
      <c r="F682" s="83"/>
      <c r="G682" s="83"/>
      <c r="H682" s="83"/>
    </row>
    <row r="683" spans="1:8">
      <c r="A683" s="83"/>
      <c r="B683" s="82"/>
      <c r="C683" s="82"/>
      <c r="D683" s="82"/>
      <c r="E683" s="82"/>
      <c r="F683" s="83"/>
      <c r="G683" s="83"/>
      <c r="H683" s="83"/>
    </row>
    <row r="684" spans="1:8">
      <c r="A684" s="83"/>
      <c r="B684" s="82"/>
      <c r="C684" s="82"/>
      <c r="D684" s="82"/>
      <c r="E684" s="82"/>
      <c r="F684" s="83"/>
      <c r="G684" s="83"/>
      <c r="H684" s="83"/>
    </row>
    <row r="685" spans="1:8">
      <c r="A685" s="83"/>
      <c r="B685" s="82"/>
      <c r="C685" s="82"/>
      <c r="D685" s="82"/>
      <c r="E685" s="82"/>
      <c r="F685" s="83"/>
      <c r="G685" s="83"/>
      <c r="H685" s="83"/>
    </row>
    <row r="686" spans="1:8">
      <c r="A686" s="83"/>
      <c r="B686" s="82"/>
      <c r="C686" s="82"/>
      <c r="D686" s="82"/>
      <c r="E686" s="82"/>
      <c r="F686" s="83"/>
      <c r="G686" s="83"/>
      <c r="H686" s="83"/>
    </row>
    <row r="687" spans="1:8">
      <c r="A687" s="83"/>
      <c r="B687" s="82"/>
      <c r="C687" s="82"/>
      <c r="D687" s="82"/>
      <c r="E687" s="82"/>
      <c r="F687" s="83"/>
      <c r="G687" s="83"/>
      <c r="H687" s="83"/>
    </row>
    <row r="688" spans="1:8">
      <c r="A688" s="83"/>
      <c r="B688" s="82"/>
      <c r="C688" s="82"/>
      <c r="D688" s="82"/>
      <c r="E688" s="82"/>
      <c r="F688" s="83"/>
      <c r="G688" s="83"/>
      <c r="H688" s="83"/>
    </row>
    <row r="689" spans="1:8">
      <c r="A689" s="83"/>
      <c r="B689" s="82"/>
      <c r="C689" s="82"/>
      <c r="D689" s="82"/>
      <c r="E689" s="82"/>
      <c r="F689" s="83"/>
      <c r="G689" s="83"/>
      <c r="H689" s="83"/>
    </row>
    <row r="690" spans="1:8">
      <c r="A690" s="83"/>
      <c r="B690" s="82"/>
      <c r="C690" s="82"/>
      <c r="D690" s="82"/>
      <c r="E690" s="82"/>
      <c r="F690" s="83"/>
      <c r="G690" s="83"/>
      <c r="H690" s="83"/>
    </row>
    <row r="691" spans="1:8">
      <c r="A691" s="83"/>
      <c r="B691" s="82"/>
      <c r="C691" s="82"/>
      <c r="D691" s="82"/>
      <c r="E691" s="82"/>
      <c r="F691" s="83"/>
      <c r="G691" s="83"/>
      <c r="H691" s="83"/>
    </row>
    <row r="692" spans="1:8">
      <c r="A692" s="83"/>
      <c r="B692" s="82"/>
      <c r="C692" s="82"/>
      <c r="D692" s="82"/>
      <c r="E692" s="82"/>
      <c r="F692" s="83"/>
      <c r="G692" s="83"/>
      <c r="H692" s="83"/>
    </row>
    <row r="693" spans="1:8">
      <c r="A693" s="83"/>
      <c r="B693" s="82"/>
      <c r="C693" s="82"/>
      <c r="D693" s="82"/>
      <c r="E693" s="82"/>
      <c r="F693" s="83"/>
      <c r="G693" s="83"/>
      <c r="H693" s="83"/>
    </row>
    <row r="694" spans="1:8">
      <c r="A694" s="83"/>
      <c r="B694" s="82"/>
      <c r="C694" s="82"/>
      <c r="D694" s="82"/>
      <c r="E694" s="82"/>
      <c r="F694" s="83"/>
      <c r="G694" s="83"/>
      <c r="H694" s="83"/>
    </row>
    <row r="695" spans="1:8">
      <c r="A695" s="83"/>
      <c r="B695" s="82"/>
      <c r="C695" s="82"/>
      <c r="D695" s="82"/>
      <c r="E695" s="82"/>
      <c r="F695" s="83"/>
      <c r="G695" s="83"/>
      <c r="H695" s="83"/>
    </row>
    <row r="696" spans="1:8">
      <c r="A696" s="83"/>
      <c r="B696" s="82"/>
      <c r="C696" s="82"/>
      <c r="D696" s="82"/>
      <c r="E696" s="82"/>
      <c r="F696" s="83"/>
      <c r="G696" s="83"/>
      <c r="H696" s="83"/>
    </row>
    <row r="697" spans="1:8">
      <c r="A697" s="83"/>
      <c r="B697" s="82"/>
      <c r="C697" s="82"/>
      <c r="D697" s="82"/>
      <c r="E697" s="82"/>
      <c r="F697" s="83"/>
      <c r="G697" s="83"/>
      <c r="H697" s="83"/>
    </row>
    <row r="698" spans="1:8">
      <c r="A698" s="83"/>
      <c r="B698" s="82"/>
      <c r="C698" s="82"/>
      <c r="D698" s="82"/>
      <c r="E698" s="82"/>
      <c r="F698" s="83"/>
      <c r="G698" s="83"/>
      <c r="H698" s="83"/>
    </row>
    <row r="699" spans="1:8">
      <c r="A699" s="83"/>
      <c r="B699" s="82"/>
      <c r="C699" s="82"/>
      <c r="D699" s="82"/>
      <c r="E699" s="82"/>
      <c r="F699" s="83"/>
      <c r="G699" s="83"/>
      <c r="H699" s="83"/>
    </row>
    <row r="700" spans="1:8">
      <c r="A700" s="83"/>
      <c r="B700" s="82"/>
      <c r="C700" s="82"/>
      <c r="D700" s="82"/>
      <c r="E700" s="82"/>
      <c r="F700" s="83"/>
      <c r="G700" s="83"/>
      <c r="H700" s="83"/>
    </row>
    <row r="701" spans="1:8">
      <c r="A701" s="83"/>
      <c r="B701" s="82"/>
      <c r="C701" s="82"/>
      <c r="D701" s="82"/>
      <c r="E701" s="82"/>
      <c r="F701" s="83"/>
      <c r="G701" s="83"/>
      <c r="H701" s="83"/>
    </row>
    <row r="702" spans="1:8">
      <c r="A702" s="83"/>
      <c r="B702" s="82"/>
      <c r="C702" s="82"/>
      <c r="D702" s="82"/>
      <c r="E702" s="82"/>
      <c r="F702" s="83"/>
      <c r="G702" s="83"/>
      <c r="H702" s="83"/>
    </row>
    <row r="703" spans="1:8">
      <c r="A703" s="83"/>
      <c r="B703" s="82"/>
      <c r="C703" s="82"/>
      <c r="D703" s="82"/>
      <c r="E703" s="82"/>
      <c r="F703" s="83"/>
      <c r="G703" s="83"/>
      <c r="H703" s="83"/>
    </row>
    <row r="704" spans="1:8">
      <c r="A704" s="83"/>
      <c r="B704" s="82"/>
      <c r="C704" s="82"/>
      <c r="D704" s="82"/>
      <c r="E704" s="82"/>
      <c r="F704" s="83"/>
      <c r="G704" s="83"/>
      <c r="H704" s="83"/>
    </row>
    <row r="705" spans="1:8">
      <c r="A705" s="83"/>
      <c r="B705" s="82"/>
      <c r="C705" s="82"/>
      <c r="D705" s="82"/>
      <c r="E705" s="82"/>
      <c r="F705" s="83"/>
      <c r="G705" s="83"/>
      <c r="H705" s="83"/>
    </row>
    <row r="706" spans="1:8">
      <c r="A706" s="83"/>
      <c r="B706" s="82"/>
      <c r="C706" s="82"/>
      <c r="D706" s="82"/>
      <c r="E706" s="82"/>
      <c r="F706" s="83"/>
      <c r="G706" s="83"/>
      <c r="H706" s="83"/>
    </row>
    <row r="707" spans="1:8">
      <c r="A707" s="83"/>
      <c r="B707" s="82"/>
      <c r="C707" s="82"/>
      <c r="D707" s="82"/>
      <c r="E707" s="82"/>
      <c r="F707" s="83"/>
      <c r="G707" s="83"/>
      <c r="H707" s="83"/>
    </row>
    <row r="708" spans="1:8">
      <c r="A708" s="83"/>
      <c r="B708" s="82"/>
      <c r="C708" s="82"/>
      <c r="D708" s="82"/>
      <c r="E708" s="82"/>
      <c r="F708" s="83"/>
      <c r="G708" s="83"/>
      <c r="H708" s="83"/>
    </row>
    <row r="709" spans="1:8">
      <c r="A709" s="83"/>
      <c r="B709" s="82"/>
      <c r="C709" s="82"/>
      <c r="D709" s="82"/>
      <c r="E709" s="82"/>
      <c r="F709" s="83"/>
      <c r="G709" s="83"/>
      <c r="H709" s="83"/>
    </row>
    <row r="710" spans="1:8">
      <c r="A710" s="83"/>
      <c r="B710" s="82"/>
      <c r="C710" s="82"/>
      <c r="D710" s="82"/>
      <c r="E710" s="82"/>
      <c r="F710" s="83"/>
      <c r="G710" s="83"/>
      <c r="H710" s="83"/>
    </row>
    <row r="711" spans="1:8">
      <c r="A711" s="83"/>
      <c r="B711" s="82"/>
      <c r="C711" s="82"/>
      <c r="D711" s="82"/>
      <c r="E711" s="82"/>
      <c r="F711" s="83"/>
      <c r="G711" s="83"/>
      <c r="H711" s="83"/>
    </row>
    <row r="712" spans="1:8">
      <c r="A712" s="83"/>
      <c r="B712" s="82"/>
      <c r="C712" s="82"/>
      <c r="D712" s="82"/>
      <c r="E712" s="82"/>
      <c r="F712" s="83"/>
      <c r="G712" s="83"/>
      <c r="H712" s="83"/>
    </row>
    <row r="713" spans="1:8">
      <c r="A713" s="83"/>
      <c r="B713" s="82"/>
      <c r="C713" s="82"/>
      <c r="D713" s="82"/>
      <c r="E713" s="82"/>
      <c r="F713" s="83"/>
      <c r="G713" s="83"/>
      <c r="H713" s="83"/>
    </row>
    <row r="714" spans="1:8">
      <c r="A714" s="83"/>
      <c r="B714" s="82"/>
      <c r="C714" s="82"/>
      <c r="D714" s="82"/>
      <c r="E714" s="82"/>
      <c r="F714" s="83"/>
      <c r="G714" s="83"/>
      <c r="H714" s="83"/>
    </row>
    <row r="715" spans="1:8">
      <c r="A715" s="83"/>
      <c r="B715" s="82"/>
      <c r="C715" s="82"/>
      <c r="D715" s="82"/>
      <c r="E715" s="82"/>
      <c r="F715" s="83"/>
      <c r="G715" s="83"/>
      <c r="H715" s="83"/>
    </row>
    <row r="716" spans="1:8">
      <c r="A716" s="83"/>
      <c r="B716" s="82"/>
      <c r="C716" s="82"/>
      <c r="D716" s="82"/>
      <c r="E716" s="82"/>
      <c r="F716" s="83"/>
      <c r="G716" s="83"/>
      <c r="H716" s="83"/>
    </row>
    <row r="717" spans="1:8">
      <c r="A717" s="83"/>
      <c r="B717" s="82"/>
      <c r="C717" s="82"/>
      <c r="D717" s="82"/>
      <c r="E717" s="82"/>
      <c r="F717" s="83"/>
      <c r="G717" s="83"/>
      <c r="H717" s="83"/>
    </row>
    <row r="718" spans="1:8">
      <c r="A718" s="83"/>
      <c r="B718" s="82"/>
      <c r="C718" s="82"/>
      <c r="D718" s="82"/>
      <c r="E718" s="82"/>
      <c r="F718" s="83"/>
      <c r="G718" s="83"/>
      <c r="H718" s="83"/>
    </row>
    <row r="719" spans="1:8">
      <c r="A719" s="83"/>
      <c r="B719" s="82"/>
      <c r="C719" s="82"/>
      <c r="D719" s="82"/>
      <c r="E719" s="82"/>
      <c r="F719" s="83"/>
      <c r="G719" s="83"/>
      <c r="H719" s="83"/>
    </row>
    <row r="720" spans="1:8">
      <c r="A720" s="83"/>
      <c r="B720" s="82"/>
      <c r="C720" s="82"/>
      <c r="D720" s="82"/>
      <c r="E720" s="82"/>
      <c r="F720" s="83"/>
      <c r="G720" s="83"/>
      <c r="H720" s="83"/>
    </row>
    <row r="721" spans="1:8">
      <c r="A721" s="83"/>
      <c r="B721" s="82"/>
      <c r="C721" s="82"/>
      <c r="D721" s="82"/>
      <c r="E721" s="82"/>
      <c r="F721" s="83"/>
      <c r="G721" s="83"/>
      <c r="H721" s="83"/>
    </row>
    <row r="722" spans="1:8">
      <c r="A722" s="83"/>
      <c r="B722" s="82"/>
      <c r="C722" s="82"/>
      <c r="D722" s="82"/>
      <c r="E722" s="82"/>
      <c r="F722" s="83"/>
      <c r="G722" s="83"/>
      <c r="H722" s="83"/>
    </row>
    <row r="723" spans="1:8">
      <c r="A723" s="83"/>
      <c r="B723" s="82"/>
      <c r="C723" s="82"/>
      <c r="D723" s="82"/>
      <c r="E723" s="82"/>
      <c r="F723" s="83"/>
      <c r="G723" s="83"/>
      <c r="H723" s="83"/>
    </row>
    <row r="724" spans="1:8">
      <c r="A724" s="83"/>
      <c r="B724" s="82"/>
      <c r="C724" s="82"/>
      <c r="D724" s="82"/>
      <c r="E724" s="82"/>
      <c r="F724" s="83"/>
      <c r="G724" s="83"/>
      <c r="H724" s="83"/>
    </row>
    <row r="725" spans="1:8">
      <c r="A725" s="83"/>
      <c r="B725" s="82"/>
      <c r="C725" s="82"/>
      <c r="D725" s="82"/>
      <c r="E725" s="82"/>
      <c r="F725" s="83"/>
      <c r="G725" s="83"/>
      <c r="H725" s="83"/>
    </row>
    <row r="726" spans="1:8">
      <c r="A726" s="83"/>
      <c r="B726" s="82"/>
      <c r="C726" s="82"/>
      <c r="D726" s="82"/>
      <c r="E726" s="82"/>
      <c r="F726" s="83"/>
      <c r="G726" s="83"/>
      <c r="H726" s="83"/>
    </row>
    <row r="727" spans="1:8">
      <c r="A727" s="83"/>
      <c r="B727" s="82"/>
      <c r="C727" s="82"/>
      <c r="D727" s="82"/>
      <c r="E727" s="82"/>
      <c r="F727" s="83"/>
      <c r="G727" s="83"/>
      <c r="H727" s="83"/>
    </row>
    <row r="728" spans="1:8">
      <c r="A728" s="83"/>
      <c r="B728" s="82"/>
      <c r="C728" s="82"/>
      <c r="D728" s="82"/>
      <c r="E728" s="82"/>
      <c r="F728" s="83"/>
      <c r="G728" s="83"/>
      <c r="H728" s="83"/>
    </row>
    <row r="729" spans="1:8">
      <c r="A729" s="83"/>
      <c r="B729" s="82"/>
      <c r="C729" s="82"/>
      <c r="D729" s="82"/>
      <c r="E729" s="82"/>
      <c r="F729" s="83"/>
      <c r="G729" s="83"/>
      <c r="H729" s="83"/>
    </row>
    <row r="730" spans="1:8">
      <c r="A730" s="83"/>
      <c r="B730" s="82"/>
      <c r="C730" s="82"/>
      <c r="D730" s="82"/>
      <c r="E730" s="82"/>
      <c r="F730" s="83"/>
      <c r="G730" s="83"/>
      <c r="H730" s="83"/>
    </row>
    <row r="731" spans="1:8">
      <c r="A731" s="83"/>
      <c r="B731" s="82"/>
      <c r="C731" s="82"/>
      <c r="D731" s="82"/>
      <c r="E731" s="82"/>
      <c r="F731" s="83"/>
      <c r="G731" s="83"/>
      <c r="H731" s="83"/>
    </row>
    <row r="732" spans="1:8">
      <c r="A732" s="83"/>
      <c r="B732" s="82"/>
      <c r="C732" s="82"/>
      <c r="D732" s="82"/>
      <c r="E732" s="82"/>
      <c r="F732" s="83"/>
      <c r="G732" s="83"/>
      <c r="H732" s="83"/>
    </row>
    <row r="733" spans="1:8">
      <c r="A733" s="83"/>
      <c r="B733" s="82"/>
      <c r="C733" s="82"/>
      <c r="D733" s="82"/>
      <c r="E733" s="82"/>
      <c r="F733" s="83"/>
      <c r="G733" s="83"/>
      <c r="H733" s="83"/>
    </row>
    <row r="734" spans="1:8">
      <c r="A734" s="83"/>
      <c r="B734" s="82"/>
      <c r="C734" s="82"/>
      <c r="D734" s="82"/>
      <c r="E734" s="82"/>
      <c r="F734" s="83"/>
      <c r="G734" s="83"/>
      <c r="H734" s="83"/>
    </row>
    <row r="735" spans="1:8">
      <c r="A735" s="83"/>
      <c r="B735" s="82"/>
      <c r="C735" s="82"/>
      <c r="D735" s="82"/>
      <c r="E735" s="82"/>
      <c r="F735" s="83"/>
      <c r="G735" s="83"/>
      <c r="H735" s="83"/>
    </row>
    <row r="736" spans="1:8">
      <c r="A736" s="83"/>
      <c r="B736" s="82"/>
      <c r="C736" s="82"/>
      <c r="D736" s="82"/>
      <c r="E736" s="82"/>
      <c r="F736" s="83"/>
      <c r="G736" s="83"/>
      <c r="H736" s="83"/>
    </row>
    <row r="737" spans="1:8">
      <c r="A737" s="83"/>
      <c r="B737" s="82"/>
      <c r="C737" s="82"/>
      <c r="D737" s="82"/>
      <c r="E737" s="82"/>
      <c r="F737" s="83"/>
      <c r="G737" s="83"/>
      <c r="H737" s="83"/>
    </row>
    <row r="738" spans="1:8">
      <c r="A738" s="83"/>
      <c r="B738" s="82"/>
      <c r="C738" s="82"/>
      <c r="D738" s="82"/>
      <c r="E738" s="82"/>
      <c r="F738" s="83"/>
      <c r="G738" s="83"/>
      <c r="H738" s="83"/>
    </row>
    <row r="739" spans="1:8">
      <c r="A739" s="83"/>
      <c r="B739" s="82"/>
      <c r="C739" s="82"/>
      <c r="D739" s="82"/>
      <c r="E739" s="82"/>
      <c r="F739" s="83"/>
      <c r="G739" s="83"/>
      <c r="H739" s="83"/>
    </row>
    <row r="740" spans="1:8">
      <c r="A740" s="83"/>
      <c r="B740" s="82"/>
      <c r="C740" s="82"/>
      <c r="D740" s="82"/>
      <c r="E740" s="82"/>
      <c r="F740" s="83"/>
      <c r="G740" s="83"/>
      <c r="H740" s="83"/>
    </row>
    <row r="741" spans="1:8">
      <c r="A741" s="83"/>
      <c r="B741" s="82"/>
      <c r="C741" s="82"/>
      <c r="D741" s="82"/>
      <c r="E741" s="82"/>
      <c r="F741" s="83"/>
      <c r="G741" s="83"/>
      <c r="H741" s="83"/>
    </row>
    <row r="742" spans="1:8">
      <c r="A742" s="83"/>
      <c r="B742" s="82"/>
      <c r="C742" s="82"/>
      <c r="D742" s="82"/>
      <c r="E742" s="82"/>
      <c r="F742" s="83"/>
      <c r="G742" s="83"/>
      <c r="H742" s="83"/>
    </row>
    <row r="743" spans="1:8">
      <c r="A743" s="83"/>
      <c r="B743" s="82"/>
      <c r="C743" s="82"/>
      <c r="D743" s="82"/>
      <c r="E743" s="82"/>
      <c r="F743" s="83"/>
      <c r="G743" s="83"/>
      <c r="H743" s="83"/>
    </row>
    <row r="744" spans="1:8">
      <c r="A744" s="83"/>
      <c r="B744" s="82"/>
      <c r="C744" s="82"/>
      <c r="D744" s="82"/>
      <c r="E744" s="82"/>
      <c r="F744" s="83"/>
      <c r="G744" s="83"/>
      <c r="H744" s="83"/>
    </row>
    <row r="745" spans="1:8">
      <c r="A745" s="83"/>
      <c r="B745" s="82"/>
      <c r="C745" s="82"/>
      <c r="D745" s="82"/>
      <c r="E745" s="82"/>
      <c r="F745" s="83"/>
      <c r="G745" s="83"/>
      <c r="H745" s="83"/>
    </row>
    <row r="746" spans="1:8">
      <c r="A746" s="83"/>
      <c r="B746" s="82"/>
      <c r="C746" s="82"/>
      <c r="D746" s="82"/>
      <c r="E746" s="82"/>
      <c r="F746" s="83"/>
      <c r="G746" s="83"/>
      <c r="H746" s="83"/>
    </row>
    <row r="747" spans="1:8">
      <c r="A747" s="83"/>
      <c r="B747" s="82"/>
      <c r="C747" s="82"/>
      <c r="D747" s="82"/>
      <c r="E747" s="82"/>
      <c r="F747" s="83"/>
      <c r="G747" s="83"/>
      <c r="H747" s="83"/>
    </row>
    <row r="748" spans="1:8">
      <c r="A748" s="83"/>
      <c r="B748" s="82"/>
      <c r="C748" s="82"/>
      <c r="D748" s="82"/>
      <c r="E748" s="82"/>
      <c r="F748" s="83"/>
      <c r="G748" s="83"/>
      <c r="H748" s="83"/>
    </row>
    <row r="749" spans="1:8">
      <c r="A749" s="83"/>
      <c r="B749" s="82"/>
      <c r="C749" s="82"/>
      <c r="D749" s="82"/>
      <c r="E749" s="82"/>
      <c r="F749" s="83"/>
      <c r="G749" s="83"/>
      <c r="H749" s="83"/>
    </row>
    <row r="750" spans="1:8">
      <c r="A750" s="83"/>
      <c r="B750" s="82"/>
      <c r="C750" s="82"/>
      <c r="D750" s="82"/>
      <c r="E750" s="82"/>
      <c r="F750" s="83"/>
      <c r="G750" s="83"/>
      <c r="H750" s="83"/>
    </row>
    <row r="751" spans="1:8">
      <c r="A751" s="83"/>
      <c r="B751" s="82"/>
      <c r="C751" s="82"/>
      <c r="D751" s="82"/>
      <c r="E751" s="82"/>
      <c r="F751" s="83"/>
      <c r="G751" s="83"/>
      <c r="H751" s="83"/>
    </row>
    <row r="752" spans="1:8">
      <c r="A752" s="83"/>
      <c r="B752" s="82"/>
      <c r="C752" s="82"/>
      <c r="D752" s="82"/>
      <c r="E752" s="82"/>
      <c r="F752" s="83"/>
      <c r="G752" s="83"/>
      <c r="H752" s="83"/>
    </row>
    <row r="753" spans="1:8">
      <c r="A753" s="83"/>
      <c r="B753" s="82"/>
      <c r="C753" s="82"/>
      <c r="D753" s="82"/>
      <c r="E753" s="82"/>
      <c r="F753" s="83"/>
      <c r="G753" s="83"/>
      <c r="H753" s="83"/>
    </row>
    <row r="754" spans="1:8">
      <c r="A754" s="83"/>
      <c r="B754" s="82"/>
      <c r="C754" s="82"/>
      <c r="D754" s="82"/>
      <c r="E754" s="82"/>
      <c r="F754" s="83"/>
      <c r="G754" s="83"/>
      <c r="H754" s="83"/>
    </row>
    <row r="755" spans="1:8">
      <c r="A755" s="83"/>
      <c r="B755" s="82"/>
      <c r="C755" s="82"/>
      <c r="D755" s="82"/>
      <c r="E755" s="82"/>
      <c r="F755" s="83"/>
      <c r="G755" s="83"/>
      <c r="H755" s="83"/>
    </row>
    <row r="756" spans="1:8">
      <c r="A756" s="83"/>
      <c r="B756" s="82"/>
      <c r="C756" s="82"/>
      <c r="D756" s="82"/>
      <c r="E756" s="82"/>
      <c r="F756" s="83"/>
      <c r="G756" s="83"/>
      <c r="H756" s="83"/>
    </row>
    <row r="757" spans="1:8">
      <c r="A757" s="83"/>
      <c r="B757" s="82"/>
      <c r="C757" s="82"/>
      <c r="D757" s="82"/>
      <c r="E757" s="82"/>
      <c r="F757" s="83"/>
      <c r="G757" s="83"/>
      <c r="H757" s="83"/>
    </row>
    <row r="758" spans="1:8">
      <c r="A758" s="83"/>
      <c r="B758" s="82"/>
      <c r="C758" s="82"/>
      <c r="D758" s="82"/>
      <c r="E758" s="82"/>
      <c r="F758" s="83"/>
      <c r="G758" s="83"/>
      <c r="H758" s="83"/>
    </row>
    <row r="759" spans="1:8">
      <c r="A759" s="83"/>
      <c r="B759" s="82"/>
      <c r="C759" s="82"/>
      <c r="D759" s="82"/>
      <c r="E759" s="82"/>
      <c r="F759" s="83"/>
      <c r="G759" s="83"/>
      <c r="H759" s="83"/>
    </row>
    <row r="760" spans="1:8">
      <c r="A760" s="83"/>
      <c r="B760" s="82"/>
      <c r="C760" s="82"/>
      <c r="D760" s="82"/>
      <c r="E760" s="82"/>
      <c r="F760" s="83"/>
      <c r="G760" s="83"/>
      <c r="H760" s="83"/>
    </row>
    <row r="761" spans="1:8">
      <c r="A761" s="83"/>
      <c r="B761" s="82"/>
      <c r="C761" s="82"/>
      <c r="D761" s="82"/>
      <c r="E761" s="82"/>
      <c r="F761" s="83"/>
      <c r="G761" s="83"/>
      <c r="H761" s="83"/>
    </row>
    <row r="762" spans="1:8">
      <c r="A762" s="83"/>
      <c r="B762" s="82"/>
      <c r="C762" s="82"/>
      <c r="D762" s="82"/>
      <c r="E762" s="82"/>
      <c r="F762" s="83"/>
      <c r="G762" s="83"/>
      <c r="H762" s="83"/>
    </row>
    <row r="763" spans="1:8">
      <c r="A763" s="83"/>
      <c r="B763" s="82"/>
      <c r="C763" s="82"/>
      <c r="D763" s="82"/>
      <c r="E763" s="82"/>
      <c r="F763" s="83"/>
      <c r="G763" s="83"/>
      <c r="H763" s="83"/>
    </row>
    <row r="764" spans="1:8">
      <c r="A764" s="83"/>
      <c r="B764" s="82"/>
      <c r="C764" s="82"/>
      <c r="D764" s="82"/>
      <c r="E764" s="82"/>
      <c r="F764" s="83"/>
      <c r="G764" s="83"/>
      <c r="H764" s="83"/>
    </row>
    <row r="765" spans="1:8">
      <c r="A765" s="83"/>
      <c r="B765" s="82"/>
      <c r="C765" s="82"/>
      <c r="D765" s="82"/>
      <c r="E765" s="82"/>
      <c r="F765" s="83"/>
      <c r="G765" s="83"/>
      <c r="H765" s="83"/>
    </row>
    <row r="766" spans="1:8">
      <c r="A766" s="83"/>
      <c r="B766" s="82"/>
      <c r="C766" s="82"/>
      <c r="D766" s="82"/>
      <c r="E766" s="82"/>
      <c r="F766" s="83"/>
      <c r="G766" s="83"/>
      <c r="H766" s="83"/>
    </row>
    <row r="767" spans="1:8">
      <c r="A767" s="83"/>
      <c r="B767" s="82"/>
      <c r="C767" s="82"/>
      <c r="D767" s="82"/>
      <c r="E767" s="82"/>
      <c r="F767" s="83"/>
      <c r="G767" s="83"/>
      <c r="H767" s="83"/>
    </row>
    <row r="768" spans="1:8">
      <c r="A768" s="83"/>
      <c r="B768" s="82"/>
      <c r="C768" s="82"/>
      <c r="D768" s="82"/>
      <c r="E768" s="82"/>
      <c r="F768" s="83"/>
      <c r="G768" s="83"/>
      <c r="H768" s="83"/>
    </row>
    <row r="769" spans="1:8">
      <c r="A769" s="83"/>
      <c r="B769" s="82"/>
      <c r="C769" s="82"/>
      <c r="D769" s="82"/>
      <c r="E769" s="82"/>
      <c r="F769" s="83"/>
      <c r="G769" s="83"/>
      <c r="H769" s="83"/>
    </row>
    <row r="770" spans="1:8">
      <c r="A770" s="83"/>
      <c r="B770" s="82"/>
      <c r="C770" s="82"/>
      <c r="D770" s="82"/>
      <c r="E770" s="82"/>
      <c r="F770" s="83"/>
      <c r="G770" s="83"/>
      <c r="H770" s="83"/>
    </row>
    <row r="771" spans="1:8">
      <c r="A771" s="83"/>
      <c r="B771" s="82"/>
      <c r="C771" s="82"/>
      <c r="D771" s="82"/>
      <c r="E771" s="82"/>
      <c r="F771" s="83"/>
      <c r="G771" s="83"/>
      <c r="H771" s="83"/>
    </row>
    <row r="772" spans="1:8">
      <c r="A772" s="83"/>
      <c r="B772" s="82"/>
      <c r="C772" s="82"/>
      <c r="D772" s="82"/>
      <c r="E772" s="82"/>
      <c r="F772" s="83"/>
      <c r="G772" s="83"/>
      <c r="H772" s="83"/>
    </row>
    <row r="773" spans="1:8">
      <c r="A773" s="83"/>
      <c r="B773" s="82"/>
      <c r="C773" s="82"/>
      <c r="D773" s="82"/>
      <c r="E773" s="82"/>
      <c r="F773" s="83"/>
      <c r="G773" s="83"/>
      <c r="H773" s="83"/>
    </row>
    <row r="774" spans="1:8">
      <c r="A774" s="83"/>
      <c r="B774" s="82"/>
      <c r="C774" s="82"/>
      <c r="D774" s="82"/>
      <c r="E774" s="82"/>
      <c r="F774" s="83"/>
      <c r="G774" s="83"/>
      <c r="H774" s="83"/>
    </row>
    <row r="775" spans="1:8">
      <c r="A775" s="83"/>
      <c r="B775" s="82"/>
      <c r="C775" s="82"/>
      <c r="D775" s="82"/>
      <c r="E775" s="82"/>
      <c r="F775" s="83"/>
      <c r="G775" s="83"/>
      <c r="H775" s="83"/>
    </row>
    <row r="776" spans="1:8">
      <c r="A776" s="83"/>
      <c r="B776" s="82"/>
      <c r="C776" s="82"/>
      <c r="D776" s="82"/>
      <c r="E776" s="82"/>
      <c r="F776" s="83"/>
      <c r="G776" s="83"/>
      <c r="H776" s="83"/>
    </row>
    <row r="777" spans="1:8">
      <c r="A777" s="83"/>
      <c r="B777" s="82"/>
      <c r="C777" s="82"/>
      <c r="D777" s="82"/>
      <c r="E777" s="82"/>
      <c r="F777" s="83"/>
      <c r="G777" s="83"/>
      <c r="H777" s="83"/>
    </row>
    <row r="778" spans="1:8">
      <c r="A778" s="83"/>
      <c r="B778" s="82"/>
      <c r="C778" s="82"/>
      <c r="D778" s="82"/>
      <c r="E778" s="82"/>
      <c r="F778" s="83"/>
      <c r="G778" s="83"/>
      <c r="H778" s="83"/>
    </row>
    <row r="779" spans="1:8">
      <c r="A779" s="83"/>
      <c r="B779" s="82"/>
      <c r="C779" s="82"/>
      <c r="D779" s="82"/>
      <c r="E779" s="82"/>
      <c r="F779" s="83"/>
      <c r="G779" s="83"/>
      <c r="H779" s="83"/>
    </row>
    <row r="780" spans="1:8">
      <c r="A780" s="83"/>
      <c r="B780" s="82"/>
      <c r="C780" s="82"/>
      <c r="D780" s="82"/>
      <c r="E780" s="82"/>
      <c r="F780" s="83"/>
      <c r="G780" s="83"/>
      <c r="H780" s="83"/>
    </row>
    <row r="781" spans="1:8">
      <c r="A781" s="83"/>
      <c r="B781" s="82"/>
      <c r="C781" s="82"/>
      <c r="D781" s="82"/>
      <c r="E781" s="82"/>
      <c r="F781" s="83"/>
      <c r="G781" s="83"/>
      <c r="H781" s="83"/>
    </row>
    <row r="782" spans="1:8">
      <c r="A782" s="83"/>
      <c r="B782" s="82"/>
      <c r="C782" s="82"/>
      <c r="D782" s="82"/>
      <c r="E782" s="82"/>
      <c r="F782" s="83"/>
      <c r="G782" s="83"/>
      <c r="H782" s="83"/>
    </row>
    <row r="783" spans="1:8">
      <c r="A783" s="83"/>
      <c r="B783" s="82"/>
      <c r="C783" s="82"/>
      <c r="D783" s="82"/>
      <c r="E783" s="82"/>
      <c r="F783" s="83"/>
      <c r="G783" s="83"/>
      <c r="H783" s="83"/>
    </row>
    <row r="784" spans="1:8">
      <c r="A784" s="83"/>
      <c r="B784" s="82"/>
      <c r="C784" s="82"/>
      <c r="D784" s="82"/>
      <c r="E784" s="82"/>
      <c r="F784" s="83"/>
      <c r="G784" s="83"/>
      <c r="H784" s="83"/>
    </row>
    <row r="785" spans="1:8">
      <c r="A785" s="83"/>
      <c r="B785" s="82"/>
      <c r="C785" s="82"/>
      <c r="D785" s="82"/>
      <c r="E785" s="82"/>
      <c r="F785" s="83"/>
      <c r="G785" s="83"/>
      <c r="H785" s="83"/>
    </row>
    <row r="786" spans="1:8">
      <c r="A786" s="83"/>
      <c r="B786" s="82"/>
      <c r="C786" s="82"/>
      <c r="D786" s="82"/>
      <c r="E786" s="82"/>
      <c r="F786" s="83"/>
      <c r="G786" s="83"/>
      <c r="H786" s="83"/>
    </row>
    <row r="787" spans="1:8">
      <c r="A787" s="83"/>
      <c r="B787" s="82"/>
      <c r="C787" s="82"/>
      <c r="D787" s="82"/>
      <c r="E787" s="82"/>
      <c r="F787" s="83"/>
      <c r="G787" s="83"/>
      <c r="H787" s="83"/>
    </row>
    <row r="788" spans="1:8">
      <c r="A788" s="83"/>
      <c r="B788" s="82"/>
      <c r="C788" s="82"/>
      <c r="D788" s="82"/>
      <c r="E788" s="82"/>
      <c r="F788" s="83"/>
      <c r="G788" s="83"/>
      <c r="H788" s="83"/>
    </row>
    <row r="789" spans="1:8">
      <c r="A789" s="83"/>
      <c r="B789" s="82"/>
      <c r="C789" s="82"/>
      <c r="D789" s="82"/>
      <c r="E789" s="82"/>
      <c r="F789" s="83"/>
      <c r="G789" s="83"/>
      <c r="H789" s="83"/>
    </row>
    <row r="790" spans="1:8">
      <c r="A790" s="83"/>
      <c r="B790" s="82"/>
      <c r="C790" s="82"/>
      <c r="D790" s="82"/>
      <c r="E790" s="82"/>
      <c r="F790" s="83"/>
      <c r="G790" s="83"/>
      <c r="H790" s="83"/>
    </row>
    <row r="791" spans="1:8">
      <c r="A791" s="83"/>
      <c r="B791" s="82"/>
      <c r="C791" s="82"/>
      <c r="D791" s="82"/>
      <c r="E791" s="82"/>
      <c r="F791" s="83"/>
      <c r="G791" s="83"/>
      <c r="H791" s="83"/>
    </row>
    <row r="792" spans="1:8">
      <c r="A792" s="83"/>
      <c r="B792" s="82"/>
      <c r="C792" s="82"/>
      <c r="D792" s="82"/>
      <c r="E792" s="82"/>
      <c r="F792" s="83"/>
      <c r="G792" s="83"/>
      <c r="H792" s="83"/>
    </row>
    <row r="793" spans="1:8">
      <c r="A793" s="83"/>
      <c r="B793" s="82"/>
      <c r="C793" s="82"/>
      <c r="D793" s="82"/>
      <c r="E793" s="82"/>
      <c r="F793" s="83"/>
      <c r="G793" s="83"/>
      <c r="H793" s="83"/>
    </row>
    <row r="794" spans="1:8">
      <c r="A794" s="83"/>
      <c r="B794" s="82"/>
      <c r="C794" s="82"/>
      <c r="D794" s="82"/>
      <c r="E794" s="82"/>
      <c r="F794" s="83"/>
      <c r="G794" s="83"/>
      <c r="H794" s="83"/>
    </row>
    <row r="795" spans="1:8">
      <c r="A795" s="83"/>
      <c r="B795" s="82"/>
      <c r="C795" s="82"/>
      <c r="D795" s="82"/>
      <c r="E795" s="82"/>
      <c r="F795" s="83"/>
      <c r="G795" s="83"/>
      <c r="H795" s="83"/>
    </row>
    <row r="796" spans="1:8">
      <c r="A796" s="83"/>
      <c r="B796" s="82"/>
      <c r="C796" s="82"/>
      <c r="D796" s="82"/>
      <c r="E796" s="82"/>
      <c r="F796" s="83"/>
      <c r="G796" s="83"/>
      <c r="H796" s="83"/>
    </row>
    <row r="797" spans="1:8">
      <c r="A797" s="83"/>
      <c r="B797" s="82"/>
      <c r="C797" s="82"/>
      <c r="D797" s="82"/>
      <c r="E797" s="82"/>
      <c r="F797" s="83"/>
      <c r="G797" s="83"/>
      <c r="H797" s="83"/>
    </row>
    <row r="798" spans="1:8">
      <c r="A798" s="83"/>
      <c r="B798" s="82"/>
      <c r="C798" s="82"/>
      <c r="D798" s="82"/>
      <c r="E798" s="82"/>
      <c r="F798" s="83"/>
      <c r="G798" s="83"/>
      <c r="H798" s="83"/>
    </row>
    <row r="799" spans="1:8">
      <c r="A799" s="83"/>
      <c r="B799" s="82"/>
      <c r="C799" s="82"/>
      <c r="D799" s="82"/>
      <c r="E799" s="82"/>
      <c r="F799" s="83"/>
      <c r="G799" s="83"/>
      <c r="H799" s="83"/>
    </row>
    <row r="800" spans="1:8">
      <c r="A800" s="83"/>
      <c r="B800" s="82"/>
      <c r="C800" s="82"/>
      <c r="D800" s="82"/>
      <c r="E800" s="82"/>
      <c r="F800" s="83"/>
      <c r="G800" s="83"/>
      <c r="H800" s="83"/>
    </row>
    <row r="801" spans="1:8">
      <c r="A801" s="83"/>
      <c r="B801" s="82"/>
      <c r="C801" s="82"/>
      <c r="D801" s="82"/>
      <c r="E801" s="82"/>
      <c r="F801" s="83"/>
      <c r="G801" s="83"/>
      <c r="H801" s="83"/>
    </row>
    <row r="802" spans="1:8">
      <c r="A802" s="83"/>
      <c r="B802" s="82"/>
      <c r="C802" s="82"/>
      <c r="D802" s="82"/>
      <c r="E802" s="82"/>
      <c r="F802" s="83"/>
      <c r="G802" s="83"/>
      <c r="H802" s="83"/>
    </row>
    <row r="803" spans="1:8">
      <c r="A803" s="83"/>
      <c r="B803" s="82"/>
      <c r="C803" s="82"/>
      <c r="D803" s="82"/>
      <c r="E803" s="82"/>
      <c r="F803" s="83"/>
      <c r="G803" s="83"/>
      <c r="H803" s="83"/>
    </row>
    <row r="804" spans="1:8">
      <c r="A804" s="83"/>
      <c r="B804" s="82"/>
      <c r="C804" s="82"/>
      <c r="D804" s="82"/>
      <c r="E804" s="82"/>
      <c r="F804" s="83"/>
      <c r="G804" s="83"/>
      <c r="H804" s="83"/>
    </row>
    <row r="805" spans="1:8">
      <c r="A805" s="83"/>
      <c r="B805" s="82"/>
      <c r="C805" s="82"/>
      <c r="D805" s="82"/>
      <c r="E805" s="82"/>
      <c r="F805" s="83"/>
      <c r="G805" s="83"/>
      <c r="H805" s="83"/>
    </row>
    <row r="806" spans="1:8">
      <c r="A806" s="83"/>
      <c r="B806" s="82"/>
      <c r="C806" s="82"/>
      <c r="D806" s="82"/>
      <c r="E806" s="82"/>
      <c r="F806" s="83"/>
      <c r="G806" s="83"/>
      <c r="H806" s="83"/>
    </row>
    <row r="807" spans="1:8">
      <c r="A807" s="83"/>
      <c r="B807" s="82"/>
      <c r="C807" s="82"/>
      <c r="D807" s="82"/>
      <c r="E807" s="82"/>
      <c r="F807" s="83"/>
      <c r="G807" s="83"/>
      <c r="H807" s="83"/>
    </row>
    <row r="808" spans="1:8">
      <c r="A808" s="83"/>
      <c r="B808" s="82"/>
      <c r="C808" s="82"/>
      <c r="D808" s="82"/>
      <c r="E808" s="82"/>
      <c r="F808" s="83"/>
      <c r="G808" s="83"/>
      <c r="H808" s="83"/>
    </row>
    <row r="809" spans="1:8">
      <c r="A809" s="83"/>
      <c r="B809" s="82"/>
      <c r="C809" s="82"/>
      <c r="D809" s="82"/>
      <c r="E809" s="82"/>
      <c r="F809" s="83"/>
      <c r="G809" s="83"/>
      <c r="H809" s="83"/>
    </row>
    <row r="810" spans="1:8">
      <c r="A810" s="83"/>
      <c r="B810" s="82"/>
      <c r="C810" s="82"/>
      <c r="D810" s="82"/>
      <c r="E810" s="82"/>
      <c r="F810" s="83"/>
      <c r="G810" s="83"/>
      <c r="H810" s="83"/>
    </row>
    <row r="811" spans="1:8">
      <c r="A811" s="83"/>
      <c r="B811" s="82"/>
      <c r="C811" s="82"/>
      <c r="D811" s="82"/>
      <c r="E811" s="82"/>
      <c r="F811" s="83"/>
      <c r="G811" s="83"/>
      <c r="H811" s="83"/>
    </row>
    <row r="812" spans="1:8">
      <c r="A812" s="83"/>
      <c r="B812" s="82"/>
      <c r="C812" s="82"/>
      <c r="D812" s="82"/>
      <c r="E812" s="82"/>
      <c r="F812" s="83"/>
      <c r="G812" s="83"/>
      <c r="H812" s="83"/>
    </row>
    <row r="813" spans="1:8">
      <c r="A813" s="83"/>
      <c r="B813" s="82"/>
      <c r="C813" s="82"/>
      <c r="D813" s="82"/>
      <c r="E813" s="82"/>
      <c r="F813" s="83"/>
      <c r="G813" s="83"/>
      <c r="H813" s="83"/>
    </row>
    <row r="814" spans="1:8">
      <c r="A814" s="83"/>
      <c r="B814" s="82"/>
      <c r="C814" s="82"/>
      <c r="D814" s="82"/>
      <c r="E814" s="82"/>
      <c r="F814" s="83"/>
      <c r="G814" s="83"/>
      <c r="H814" s="83"/>
    </row>
    <row r="815" spans="1:8">
      <c r="A815" s="83"/>
      <c r="B815" s="82"/>
      <c r="C815" s="82"/>
      <c r="D815" s="82"/>
      <c r="E815" s="82"/>
      <c r="F815" s="83"/>
      <c r="G815" s="83"/>
      <c r="H815" s="83"/>
    </row>
    <row r="816" spans="1:8">
      <c r="A816" s="83"/>
      <c r="B816" s="82"/>
      <c r="C816" s="82"/>
      <c r="D816" s="82"/>
      <c r="E816" s="82"/>
      <c r="F816" s="83"/>
      <c r="G816" s="83"/>
      <c r="H816" s="83"/>
    </row>
    <row r="817" spans="1:8">
      <c r="A817" s="83"/>
      <c r="B817" s="82"/>
      <c r="C817" s="82"/>
      <c r="D817" s="82"/>
      <c r="E817" s="82"/>
      <c r="F817" s="83"/>
      <c r="G817" s="83"/>
      <c r="H817" s="83"/>
    </row>
    <row r="818" spans="1:8">
      <c r="A818" s="83"/>
      <c r="B818" s="82"/>
      <c r="C818" s="82"/>
      <c r="D818" s="82"/>
      <c r="E818" s="82"/>
      <c r="F818" s="83"/>
      <c r="G818" s="83"/>
      <c r="H818" s="83"/>
    </row>
    <row r="819" spans="1:8">
      <c r="A819" s="83"/>
      <c r="B819" s="82"/>
      <c r="C819" s="82"/>
      <c r="D819" s="82"/>
      <c r="E819" s="82"/>
      <c r="F819" s="83"/>
      <c r="G819" s="83"/>
      <c r="H819" s="83"/>
    </row>
    <row r="820" spans="1:8">
      <c r="A820" s="83"/>
      <c r="B820" s="82"/>
      <c r="C820" s="82"/>
      <c r="D820" s="82"/>
      <c r="E820" s="82"/>
      <c r="F820" s="83"/>
      <c r="G820" s="83"/>
      <c r="H820" s="83"/>
    </row>
    <row r="821" spans="1:8">
      <c r="A821" s="83"/>
      <c r="B821" s="82"/>
      <c r="C821" s="82"/>
      <c r="D821" s="82"/>
      <c r="E821" s="82"/>
      <c r="F821" s="83"/>
      <c r="G821" s="83"/>
      <c r="H821" s="83"/>
    </row>
    <row r="822" spans="1:8">
      <c r="A822" s="83"/>
      <c r="B822" s="82"/>
      <c r="C822" s="82"/>
      <c r="D822" s="82"/>
      <c r="E822" s="82"/>
      <c r="F822" s="83"/>
      <c r="G822" s="83"/>
      <c r="H822" s="83"/>
    </row>
    <row r="823" spans="1:8">
      <c r="A823" s="83"/>
      <c r="B823" s="82"/>
      <c r="C823" s="82"/>
      <c r="D823" s="82"/>
      <c r="E823" s="82"/>
      <c r="F823" s="83"/>
      <c r="G823" s="83"/>
      <c r="H823" s="83"/>
    </row>
    <row r="824" spans="1:8">
      <c r="A824" s="83"/>
      <c r="B824" s="82"/>
      <c r="C824" s="82"/>
      <c r="D824" s="82"/>
      <c r="E824" s="82"/>
      <c r="F824" s="83"/>
      <c r="G824" s="83"/>
      <c r="H824" s="83"/>
    </row>
    <row r="825" spans="1:8">
      <c r="A825" s="83"/>
      <c r="B825" s="82"/>
      <c r="C825" s="82"/>
      <c r="D825" s="82"/>
      <c r="E825" s="82"/>
      <c r="F825" s="83"/>
      <c r="G825" s="83"/>
      <c r="H825" s="83"/>
    </row>
    <row r="826" spans="1:8">
      <c r="A826" s="83"/>
      <c r="B826" s="82"/>
      <c r="C826" s="82"/>
      <c r="D826" s="82"/>
      <c r="E826" s="82"/>
      <c r="F826" s="83"/>
      <c r="G826" s="83"/>
      <c r="H826" s="83"/>
    </row>
    <row r="827" spans="1:8">
      <c r="A827" s="83"/>
      <c r="B827" s="82"/>
      <c r="C827" s="82"/>
      <c r="D827" s="82"/>
      <c r="E827" s="82"/>
      <c r="F827" s="83"/>
      <c r="G827" s="83"/>
      <c r="H827" s="83"/>
    </row>
    <row r="828" spans="1:8">
      <c r="A828" s="83"/>
      <c r="B828" s="82"/>
      <c r="C828" s="82"/>
      <c r="D828" s="82"/>
      <c r="E828" s="82"/>
      <c r="F828" s="83"/>
      <c r="G828" s="83"/>
      <c r="H828" s="83"/>
    </row>
    <row r="829" spans="1:8">
      <c r="A829" s="83"/>
      <c r="B829" s="82"/>
      <c r="C829" s="82"/>
      <c r="D829" s="82"/>
      <c r="E829" s="82"/>
      <c r="F829" s="83"/>
      <c r="G829" s="83"/>
      <c r="H829" s="83"/>
    </row>
    <row r="830" spans="1:8">
      <c r="A830" s="83"/>
      <c r="B830" s="82"/>
      <c r="C830" s="82"/>
      <c r="D830" s="82"/>
      <c r="E830" s="82"/>
      <c r="F830" s="83"/>
      <c r="G830" s="83"/>
      <c r="H830" s="83"/>
    </row>
    <row r="831" spans="1:8">
      <c r="A831" s="83"/>
      <c r="B831" s="82"/>
      <c r="C831" s="82"/>
      <c r="D831" s="82"/>
      <c r="E831" s="82"/>
      <c r="F831" s="83"/>
      <c r="G831" s="83"/>
      <c r="H831" s="83"/>
    </row>
    <row r="832" spans="1:8">
      <c r="A832" s="83"/>
      <c r="B832" s="82"/>
      <c r="C832" s="82"/>
      <c r="D832" s="82"/>
      <c r="E832" s="82"/>
      <c r="F832" s="83"/>
      <c r="G832" s="83"/>
      <c r="H832" s="83"/>
    </row>
    <row r="833" spans="1:8">
      <c r="A833" s="83"/>
      <c r="B833" s="82"/>
      <c r="C833" s="82"/>
      <c r="D833" s="82"/>
      <c r="E833" s="82"/>
      <c r="F833" s="83"/>
      <c r="G833" s="83"/>
      <c r="H833" s="83"/>
    </row>
    <row r="834" spans="1:8">
      <c r="A834" s="83"/>
      <c r="B834" s="82"/>
      <c r="C834" s="82"/>
      <c r="D834" s="82"/>
      <c r="E834" s="82"/>
      <c r="F834" s="83"/>
      <c r="G834" s="83"/>
      <c r="H834" s="83"/>
    </row>
    <row r="835" spans="1:8">
      <c r="A835" s="83"/>
      <c r="B835" s="82"/>
      <c r="C835" s="82"/>
      <c r="D835" s="82"/>
      <c r="E835" s="82"/>
      <c r="F835" s="83"/>
      <c r="G835" s="83"/>
      <c r="H835" s="83"/>
    </row>
    <row r="836" spans="1:8">
      <c r="A836" s="83"/>
      <c r="B836" s="82"/>
      <c r="C836" s="82"/>
      <c r="D836" s="82"/>
      <c r="E836" s="82"/>
      <c r="F836" s="83"/>
      <c r="G836" s="83"/>
      <c r="H836" s="83"/>
    </row>
    <row r="837" spans="1:8">
      <c r="A837" s="83"/>
      <c r="B837" s="82"/>
      <c r="C837" s="82"/>
      <c r="D837" s="82"/>
      <c r="E837" s="82"/>
      <c r="F837" s="83"/>
      <c r="G837" s="83"/>
      <c r="H837" s="83"/>
    </row>
    <row r="838" spans="1:8">
      <c r="A838" s="83"/>
      <c r="B838" s="82"/>
      <c r="C838" s="82"/>
      <c r="D838" s="82"/>
      <c r="E838" s="82"/>
      <c r="F838" s="83"/>
      <c r="G838" s="83"/>
      <c r="H838" s="83"/>
    </row>
    <row r="839" spans="1:8">
      <c r="A839" s="83"/>
      <c r="B839" s="82"/>
      <c r="C839" s="82"/>
      <c r="D839" s="82"/>
      <c r="E839" s="82"/>
      <c r="F839" s="83"/>
      <c r="G839" s="83"/>
      <c r="H839" s="83"/>
    </row>
    <row r="840" spans="1:8">
      <c r="A840" s="83"/>
      <c r="B840" s="82"/>
      <c r="C840" s="82"/>
      <c r="D840" s="82"/>
      <c r="E840" s="82"/>
      <c r="F840" s="83"/>
      <c r="G840" s="83"/>
      <c r="H840" s="83"/>
    </row>
    <row r="841" spans="1:8">
      <c r="A841" s="83"/>
      <c r="B841" s="82"/>
      <c r="C841" s="82"/>
      <c r="D841" s="82"/>
      <c r="E841" s="82"/>
      <c r="F841" s="83"/>
      <c r="G841" s="83"/>
      <c r="H841" s="83"/>
    </row>
    <row r="842" spans="1:8">
      <c r="A842" s="83"/>
      <c r="B842" s="82"/>
      <c r="C842" s="82"/>
      <c r="D842" s="82"/>
      <c r="E842" s="82"/>
      <c r="F842" s="83"/>
      <c r="G842" s="83"/>
      <c r="H842" s="83"/>
    </row>
    <row r="843" spans="1:8">
      <c r="A843" s="83"/>
      <c r="B843" s="82"/>
      <c r="C843" s="82"/>
      <c r="D843" s="82"/>
      <c r="E843" s="82"/>
      <c r="F843" s="83"/>
      <c r="G843" s="83"/>
      <c r="H843" s="83"/>
    </row>
    <row r="844" spans="1:8">
      <c r="A844" s="83"/>
      <c r="B844" s="82"/>
      <c r="C844" s="82"/>
      <c r="D844" s="82"/>
      <c r="E844" s="82"/>
      <c r="F844" s="83"/>
      <c r="G844" s="83"/>
      <c r="H844" s="83"/>
    </row>
    <row r="845" spans="1:8">
      <c r="A845" s="83"/>
      <c r="B845" s="82"/>
      <c r="C845" s="82"/>
      <c r="D845" s="82"/>
      <c r="E845" s="82"/>
      <c r="F845" s="83"/>
      <c r="G845" s="83"/>
      <c r="H845" s="83"/>
    </row>
    <row r="846" spans="1:8">
      <c r="A846" s="83"/>
      <c r="B846" s="82"/>
      <c r="C846" s="82"/>
      <c r="D846" s="82"/>
      <c r="E846" s="82"/>
      <c r="F846" s="83"/>
      <c r="G846" s="83"/>
      <c r="H846" s="83"/>
    </row>
    <row r="847" spans="1:8">
      <c r="A847" s="83"/>
      <c r="B847" s="82"/>
      <c r="C847" s="82"/>
      <c r="D847" s="82"/>
      <c r="E847" s="82"/>
      <c r="F847" s="83"/>
      <c r="G847" s="83"/>
      <c r="H847" s="83"/>
    </row>
    <row r="848" spans="1:8">
      <c r="A848" s="83"/>
      <c r="B848" s="82"/>
      <c r="C848" s="82"/>
      <c r="D848" s="82"/>
      <c r="E848" s="82"/>
      <c r="F848" s="83"/>
      <c r="G848" s="83"/>
      <c r="H848" s="83"/>
    </row>
    <row r="849" spans="1:8">
      <c r="A849" s="83"/>
      <c r="B849" s="82"/>
      <c r="C849" s="82"/>
      <c r="D849" s="82"/>
      <c r="E849" s="82"/>
      <c r="F849" s="83"/>
      <c r="G849" s="83"/>
      <c r="H849" s="83"/>
    </row>
    <row r="850" spans="1:8">
      <c r="A850" s="83"/>
      <c r="B850" s="82"/>
      <c r="C850" s="82"/>
      <c r="D850" s="82"/>
      <c r="E850" s="82"/>
      <c r="F850" s="83"/>
      <c r="G850" s="83"/>
      <c r="H850" s="83"/>
    </row>
    <row r="851" spans="1:8">
      <c r="A851" s="83"/>
      <c r="B851" s="82"/>
      <c r="C851" s="82"/>
      <c r="D851" s="82"/>
      <c r="E851" s="82"/>
      <c r="F851" s="83"/>
      <c r="G851" s="83"/>
      <c r="H851" s="83"/>
    </row>
    <row r="852" spans="1:8">
      <c r="A852" s="83"/>
      <c r="B852" s="82"/>
      <c r="C852" s="82"/>
      <c r="D852" s="82"/>
      <c r="E852" s="82"/>
      <c r="F852" s="83"/>
      <c r="G852" s="83"/>
      <c r="H852" s="83"/>
    </row>
    <row r="853" spans="1:8">
      <c r="A853" s="83"/>
      <c r="B853" s="82"/>
      <c r="C853" s="82"/>
      <c r="D853" s="82"/>
      <c r="E853" s="82"/>
      <c r="F853" s="83"/>
      <c r="G853" s="83"/>
      <c r="H853" s="83"/>
    </row>
    <row r="854" spans="1:8">
      <c r="A854" s="83"/>
      <c r="B854" s="82"/>
      <c r="C854" s="82"/>
      <c r="D854" s="82"/>
      <c r="E854" s="82"/>
      <c r="F854" s="83"/>
      <c r="G854" s="83"/>
      <c r="H854" s="83"/>
    </row>
    <row r="855" spans="1:8">
      <c r="A855" s="83"/>
      <c r="B855" s="82"/>
      <c r="C855" s="82"/>
      <c r="D855" s="82"/>
      <c r="E855" s="82"/>
      <c r="F855" s="83"/>
      <c r="G855" s="83"/>
      <c r="H855" s="83"/>
    </row>
    <row r="856" spans="1:8">
      <c r="A856" s="83"/>
      <c r="B856" s="82"/>
      <c r="C856" s="82"/>
      <c r="D856" s="82"/>
      <c r="E856" s="82"/>
      <c r="F856" s="83"/>
      <c r="G856" s="83"/>
      <c r="H856" s="83"/>
    </row>
    <row r="857" spans="1:8">
      <c r="A857" s="83"/>
      <c r="B857" s="82"/>
      <c r="C857" s="82"/>
      <c r="D857" s="82"/>
      <c r="E857" s="82"/>
      <c r="F857" s="83"/>
      <c r="G857" s="83"/>
      <c r="H857" s="83"/>
    </row>
    <row r="858" spans="1:8">
      <c r="A858" s="83"/>
      <c r="B858" s="82"/>
      <c r="C858" s="82"/>
      <c r="D858" s="82"/>
      <c r="E858" s="82"/>
      <c r="F858" s="83"/>
      <c r="G858" s="83"/>
      <c r="H858" s="83"/>
    </row>
    <row r="859" spans="1:8">
      <c r="A859" s="83"/>
      <c r="B859" s="82"/>
      <c r="C859" s="82"/>
      <c r="D859" s="82"/>
      <c r="E859" s="82"/>
      <c r="F859" s="83"/>
      <c r="G859" s="83"/>
      <c r="H859" s="83"/>
    </row>
    <row r="860" spans="1:8">
      <c r="A860" s="83"/>
      <c r="B860" s="82"/>
      <c r="C860" s="82"/>
      <c r="D860" s="82"/>
      <c r="E860" s="82"/>
      <c r="F860" s="83"/>
      <c r="G860" s="83"/>
      <c r="H860" s="83"/>
    </row>
    <row r="861" spans="1:8">
      <c r="A861" s="83"/>
      <c r="B861" s="82"/>
      <c r="C861" s="82"/>
      <c r="D861" s="82"/>
      <c r="E861" s="82"/>
      <c r="F861" s="83"/>
      <c r="G861" s="83"/>
      <c r="H861" s="83"/>
    </row>
    <row r="862" spans="1:8">
      <c r="A862" s="83"/>
      <c r="B862" s="82"/>
      <c r="C862" s="82"/>
      <c r="D862" s="82"/>
      <c r="E862" s="82"/>
      <c r="F862" s="83"/>
      <c r="G862" s="83"/>
      <c r="H862" s="83"/>
    </row>
    <row r="863" spans="1:8">
      <c r="A863" s="83"/>
      <c r="B863" s="82"/>
      <c r="C863" s="82"/>
      <c r="D863" s="82"/>
      <c r="E863" s="82"/>
      <c r="F863" s="83"/>
      <c r="G863" s="83"/>
      <c r="H863" s="83"/>
    </row>
    <row r="864" spans="1:8">
      <c r="A864" s="83"/>
      <c r="B864" s="82"/>
      <c r="C864" s="82"/>
      <c r="D864" s="82"/>
      <c r="E864" s="82"/>
      <c r="F864" s="83"/>
      <c r="G864" s="83"/>
      <c r="H864" s="83"/>
    </row>
    <row r="865" spans="1:8">
      <c r="A865" s="83"/>
      <c r="B865" s="82"/>
      <c r="C865" s="82"/>
      <c r="D865" s="82"/>
      <c r="E865" s="82"/>
      <c r="F865" s="83"/>
      <c r="G865" s="83"/>
      <c r="H865" s="83"/>
    </row>
    <row r="866" spans="1:8">
      <c r="A866" s="83"/>
      <c r="B866" s="82"/>
      <c r="C866" s="82"/>
      <c r="D866" s="82"/>
      <c r="E866" s="82"/>
      <c r="F866" s="83"/>
      <c r="G866" s="83"/>
      <c r="H866" s="83"/>
    </row>
    <row r="867" spans="1:8">
      <c r="A867" s="83"/>
      <c r="B867" s="82"/>
      <c r="C867" s="82"/>
      <c r="D867" s="82"/>
      <c r="E867" s="82"/>
      <c r="F867" s="83"/>
      <c r="G867" s="83"/>
      <c r="H867" s="83"/>
    </row>
    <row r="868" spans="1:8">
      <c r="A868" s="83"/>
      <c r="B868" s="82"/>
      <c r="C868" s="82"/>
      <c r="D868" s="82"/>
      <c r="E868" s="82"/>
      <c r="F868" s="83"/>
      <c r="G868" s="83"/>
      <c r="H868" s="83"/>
    </row>
    <row r="869" spans="1:8">
      <c r="A869" s="83"/>
      <c r="B869" s="82"/>
      <c r="C869" s="82"/>
      <c r="D869" s="82"/>
      <c r="E869" s="82"/>
      <c r="F869" s="83"/>
      <c r="G869" s="83"/>
      <c r="H869" s="83"/>
    </row>
    <row r="870" spans="1:8">
      <c r="A870" s="83"/>
      <c r="B870" s="82"/>
      <c r="C870" s="82"/>
      <c r="D870" s="82"/>
      <c r="E870" s="82"/>
      <c r="F870" s="83"/>
      <c r="G870" s="83"/>
      <c r="H870" s="83"/>
    </row>
    <row r="871" spans="1:8">
      <c r="A871" s="83"/>
      <c r="B871" s="82"/>
      <c r="C871" s="82"/>
      <c r="D871" s="82"/>
      <c r="E871" s="82"/>
      <c r="F871" s="83"/>
      <c r="G871" s="83"/>
      <c r="H871" s="83"/>
    </row>
    <row r="872" spans="1:8">
      <c r="A872" s="83"/>
      <c r="B872" s="82"/>
      <c r="C872" s="82"/>
      <c r="D872" s="82"/>
      <c r="E872" s="82"/>
      <c r="F872" s="83"/>
      <c r="G872" s="83"/>
      <c r="H872" s="83"/>
    </row>
    <row r="873" spans="1:8">
      <c r="A873" s="83"/>
      <c r="B873" s="82"/>
      <c r="C873" s="82"/>
      <c r="D873" s="82"/>
      <c r="E873" s="82"/>
      <c r="F873" s="83"/>
      <c r="G873" s="83"/>
      <c r="H873" s="83"/>
    </row>
    <row r="874" spans="1:8">
      <c r="A874" s="83"/>
      <c r="B874" s="82"/>
      <c r="C874" s="82"/>
      <c r="D874" s="82"/>
      <c r="E874" s="82"/>
      <c r="F874" s="83"/>
      <c r="G874" s="83"/>
      <c r="H874" s="83"/>
    </row>
    <row r="875" spans="1:8">
      <c r="A875" s="83"/>
      <c r="B875" s="82"/>
      <c r="C875" s="82"/>
      <c r="D875" s="82"/>
      <c r="E875" s="82"/>
      <c r="F875" s="83"/>
      <c r="G875" s="83"/>
      <c r="H875" s="83"/>
    </row>
    <row r="876" spans="1:8">
      <c r="A876" s="83"/>
      <c r="B876" s="82"/>
      <c r="C876" s="82"/>
      <c r="D876" s="82"/>
      <c r="E876" s="82"/>
      <c r="F876" s="83"/>
      <c r="G876" s="83"/>
      <c r="H876" s="83"/>
    </row>
    <row r="877" spans="1:8">
      <c r="A877" s="83"/>
      <c r="B877" s="82"/>
      <c r="C877" s="82"/>
      <c r="D877" s="82"/>
      <c r="E877" s="82"/>
      <c r="F877" s="83"/>
      <c r="G877" s="83"/>
      <c r="H877" s="83"/>
    </row>
    <row r="878" spans="1:8">
      <c r="A878" s="83"/>
      <c r="B878" s="82"/>
      <c r="C878" s="82"/>
      <c r="D878" s="82"/>
      <c r="E878" s="82"/>
      <c r="F878" s="83"/>
      <c r="G878" s="83"/>
      <c r="H878" s="83"/>
    </row>
    <row r="879" spans="1:8">
      <c r="A879" s="83"/>
      <c r="B879" s="82"/>
      <c r="C879" s="82"/>
      <c r="D879" s="82"/>
      <c r="E879" s="82"/>
      <c r="F879" s="83"/>
      <c r="G879" s="83"/>
      <c r="H879" s="83"/>
    </row>
    <row r="880" spans="1:8">
      <c r="A880" s="83"/>
      <c r="B880" s="82"/>
      <c r="C880" s="82"/>
      <c r="D880" s="82"/>
      <c r="E880" s="82"/>
      <c r="F880" s="83"/>
      <c r="G880" s="83"/>
      <c r="H880" s="83"/>
    </row>
    <row r="881" spans="1:8">
      <c r="A881" s="83"/>
      <c r="B881" s="82"/>
      <c r="C881" s="82"/>
      <c r="D881" s="82"/>
      <c r="E881" s="82"/>
      <c r="F881" s="83"/>
      <c r="G881" s="83"/>
      <c r="H881" s="83"/>
    </row>
    <row r="882" spans="1:8">
      <c r="A882" s="83"/>
      <c r="B882" s="82"/>
      <c r="C882" s="82"/>
      <c r="D882" s="82"/>
      <c r="E882" s="82"/>
      <c r="F882" s="83"/>
      <c r="G882" s="83"/>
      <c r="H882" s="83"/>
    </row>
    <row r="883" spans="1:8">
      <c r="A883" s="83"/>
      <c r="B883" s="82"/>
      <c r="C883" s="82"/>
      <c r="D883" s="82"/>
      <c r="E883" s="82"/>
      <c r="F883" s="83"/>
      <c r="G883" s="83"/>
      <c r="H883" s="83"/>
    </row>
    <row r="884" spans="1:8">
      <c r="A884" s="83"/>
      <c r="B884" s="82"/>
      <c r="C884" s="82"/>
      <c r="D884" s="82"/>
      <c r="E884" s="82"/>
      <c r="F884" s="83"/>
      <c r="G884" s="83"/>
      <c r="H884" s="83"/>
    </row>
    <row r="885" spans="1:8">
      <c r="A885" s="83"/>
      <c r="B885" s="82"/>
      <c r="C885" s="82"/>
      <c r="D885" s="82"/>
      <c r="E885" s="82"/>
      <c r="F885" s="83"/>
      <c r="G885" s="83"/>
      <c r="H885" s="83"/>
    </row>
    <row r="886" spans="1:8">
      <c r="A886" s="83"/>
      <c r="B886" s="82"/>
      <c r="C886" s="82"/>
      <c r="D886" s="82"/>
      <c r="E886" s="82"/>
      <c r="F886" s="83"/>
      <c r="G886" s="83"/>
      <c r="H886" s="83"/>
    </row>
    <row r="887" spans="1:8">
      <c r="A887" s="83"/>
      <c r="B887" s="82"/>
      <c r="C887" s="82"/>
      <c r="D887" s="82"/>
      <c r="E887" s="82"/>
      <c r="F887" s="83"/>
      <c r="G887" s="83"/>
      <c r="H887" s="83"/>
    </row>
    <row r="888" spans="1:8">
      <c r="A888" s="83"/>
      <c r="B888" s="82"/>
      <c r="C888" s="82"/>
      <c r="D888" s="82"/>
      <c r="E888" s="82"/>
      <c r="F888" s="83"/>
      <c r="G888" s="83"/>
      <c r="H888" s="83"/>
    </row>
    <row r="889" spans="1:8">
      <c r="A889" s="83"/>
      <c r="B889" s="82"/>
      <c r="C889" s="82"/>
      <c r="D889" s="82"/>
      <c r="E889" s="82"/>
      <c r="F889" s="83"/>
      <c r="G889" s="83"/>
      <c r="H889" s="83"/>
    </row>
    <row r="890" spans="1:8">
      <c r="A890" s="83"/>
      <c r="B890" s="82"/>
      <c r="C890" s="82"/>
      <c r="D890" s="82"/>
      <c r="E890" s="82"/>
      <c r="F890" s="83"/>
      <c r="G890" s="83"/>
      <c r="H890" s="83"/>
    </row>
    <row r="891" spans="1:8">
      <c r="A891" s="83"/>
      <c r="B891" s="82"/>
      <c r="C891" s="82"/>
      <c r="D891" s="82"/>
      <c r="E891" s="82"/>
      <c r="F891" s="83"/>
      <c r="G891" s="83"/>
      <c r="H891" s="83"/>
    </row>
    <row r="892" spans="1:8">
      <c r="A892" s="83"/>
      <c r="B892" s="82"/>
      <c r="C892" s="82"/>
      <c r="D892" s="82"/>
      <c r="E892" s="82"/>
      <c r="F892" s="83"/>
      <c r="G892" s="83"/>
      <c r="H892" s="83"/>
    </row>
    <row r="893" spans="1:8">
      <c r="A893" s="83"/>
      <c r="B893" s="82"/>
      <c r="C893" s="82"/>
      <c r="D893" s="82"/>
      <c r="E893" s="82"/>
      <c r="F893" s="83"/>
      <c r="G893" s="83"/>
      <c r="H893" s="83"/>
    </row>
    <row r="894" spans="1:8">
      <c r="A894" s="83"/>
      <c r="B894" s="82"/>
      <c r="C894" s="82"/>
      <c r="D894" s="82"/>
      <c r="E894" s="82"/>
      <c r="F894" s="83"/>
      <c r="G894" s="83"/>
      <c r="H894" s="83"/>
    </row>
    <row r="895" spans="1:8">
      <c r="A895" s="83"/>
      <c r="B895" s="82"/>
      <c r="C895" s="82"/>
      <c r="D895" s="82"/>
      <c r="E895" s="82"/>
      <c r="F895" s="83"/>
      <c r="G895" s="83"/>
      <c r="H895" s="83"/>
    </row>
    <row r="896" spans="1:8">
      <c r="A896" s="83"/>
      <c r="B896" s="82"/>
      <c r="C896" s="82"/>
      <c r="D896" s="82"/>
      <c r="E896" s="82"/>
      <c r="F896" s="83"/>
      <c r="G896" s="83"/>
      <c r="H896" s="83"/>
    </row>
    <row r="897" spans="1:8">
      <c r="A897" s="83"/>
      <c r="B897" s="82"/>
      <c r="C897" s="82"/>
      <c r="D897" s="82"/>
      <c r="E897" s="82"/>
      <c r="F897" s="83"/>
      <c r="G897" s="83"/>
      <c r="H897" s="83"/>
    </row>
    <row r="898" spans="1:8">
      <c r="A898" s="83"/>
      <c r="B898" s="82"/>
      <c r="C898" s="82"/>
      <c r="D898" s="82"/>
      <c r="E898" s="82"/>
      <c r="F898" s="83"/>
      <c r="G898" s="83"/>
      <c r="H898" s="83"/>
    </row>
    <row r="899" spans="1:8">
      <c r="A899" s="83"/>
      <c r="B899" s="82"/>
      <c r="C899" s="82"/>
      <c r="D899" s="82"/>
      <c r="E899" s="82"/>
      <c r="F899" s="83"/>
      <c r="G899" s="83"/>
      <c r="H899" s="83"/>
    </row>
    <row r="900" spans="1:8">
      <c r="A900" s="83"/>
      <c r="B900" s="82"/>
      <c r="C900" s="82"/>
      <c r="D900" s="82"/>
      <c r="E900" s="82"/>
      <c r="F900" s="83"/>
      <c r="G900" s="83"/>
      <c r="H900" s="83"/>
    </row>
    <row r="901" spans="1:8">
      <c r="A901" s="83"/>
      <c r="B901" s="82"/>
      <c r="C901" s="82"/>
      <c r="D901" s="82"/>
      <c r="E901" s="82"/>
      <c r="F901" s="83"/>
      <c r="G901" s="83"/>
      <c r="H901" s="83"/>
    </row>
    <row r="902" spans="1:8">
      <c r="A902" s="83"/>
      <c r="B902" s="82"/>
      <c r="C902" s="82"/>
      <c r="D902" s="82"/>
      <c r="E902" s="82"/>
      <c r="F902" s="83"/>
      <c r="G902" s="83"/>
      <c r="H902" s="83"/>
    </row>
    <row r="903" spans="1:8">
      <c r="A903" s="83"/>
      <c r="B903" s="82"/>
      <c r="C903" s="82"/>
      <c r="D903" s="82"/>
      <c r="E903" s="82"/>
      <c r="F903" s="83"/>
      <c r="G903" s="83"/>
      <c r="H903" s="83"/>
    </row>
    <row r="904" spans="1:8">
      <c r="A904" s="83"/>
      <c r="B904" s="82"/>
      <c r="C904" s="82"/>
      <c r="D904" s="82"/>
      <c r="E904" s="82"/>
      <c r="F904" s="83"/>
      <c r="G904" s="83"/>
      <c r="H904" s="83"/>
    </row>
    <row r="905" spans="1:8">
      <c r="A905" s="83"/>
      <c r="B905" s="82"/>
      <c r="C905" s="82"/>
      <c r="D905" s="82"/>
      <c r="E905" s="82"/>
      <c r="F905" s="83"/>
      <c r="G905" s="83"/>
      <c r="H905" s="83"/>
    </row>
    <row r="906" spans="1:8">
      <c r="A906" s="83"/>
      <c r="B906" s="82"/>
      <c r="C906" s="82"/>
      <c r="D906" s="82"/>
      <c r="E906" s="82"/>
      <c r="F906" s="83"/>
      <c r="G906" s="83"/>
      <c r="H906" s="83"/>
    </row>
    <row r="907" spans="1:8">
      <c r="A907" s="83"/>
      <c r="B907" s="82"/>
      <c r="C907" s="82"/>
      <c r="D907" s="82"/>
      <c r="E907" s="82"/>
      <c r="F907" s="83"/>
      <c r="G907" s="83"/>
      <c r="H907" s="83"/>
    </row>
    <row r="908" spans="1:8">
      <c r="A908" s="83"/>
      <c r="B908" s="82"/>
      <c r="C908" s="82"/>
      <c r="D908" s="82"/>
      <c r="E908" s="82"/>
      <c r="F908" s="83"/>
      <c r="G908" s="83"/>
      <c r="H908" s="83"/>
    </row>
    <row r="909" spans="1:8">
      <c r="A909" s="83"/>
      <c r="B909" s="82"/>
      <c r="C909" s="82"/>
      <c r="D909" s="82"/>
      <c r="E909" s="82"/>
      <c r="F909" s="83"/>
      <c r="G909" s="83"/>
      <c r="H909" s="83"/>
    </row>
    <row r="910" spans="1:8">
      <c r="A910" s="83"/>
      <c r="B910" s="82"/>
      <c r="C910" s="82"/>
      <c r="D910" s="82"/>
      <c r="E910" s="82"/>
      <c r="F910" s="83"/>
      <c r="G910" s="83"/>
      <c r="H910" s="83"/>
    </row>
    <row r="911" spans="1:8">
      <c r="A911" s="83"/>
      <c r="B911" s="82"/>
      <c r="C911" s="82"/>
      <c r="D911" s="82"/>
      <c r="E911" s="82"/>
      <c r="F911" s="83"/>
      <c r="G911" s="83"/>
      <c r="H911" s="83"/>
    </row>
    <row r="912" spans="1:8">
      <c r="A912" s="83"/>
      <c r="B912" s="82"/>
      <c r="C912" s="82"/>
      <c r="D912" s="82"/>
      <c r="E912" s="82"/>
      <c r="F912" s="83"/>
      <c r="G912" s="83"/>
      <c r="H912" s="83"/>
    </row>
    <row r="913" spans="1:8">
      <c r="A913" s="83"/>
      <c r="B913" s="82"/>
      <c r="C913" s="82"/>
      <c r="D913" s="82"/>
      <c r="E913" s="82"/>
      <c r="F913" s="83"/>
      <c r="G913" s="83"/>
      <c r="H913" s="83"/>
    </row>
    <row r="914" spans="1:8">
      <c r="A914" s="83"/>
      <c r="B914" s="82"/>
      <c r="C914" s="82"/>
      <c r="D914" s="82"/>
      <c r="E914" s="82"/>
      <c r="F914" s="83"/>
      <c r="G914" s="83"/>
      <c r="H914" s="83"/>
    </row>
    <row r="915" spans="1:8">
      <c r="A915" s="83"/>
      <c r="B915" s="82"/>
      <c r="C915" s="82"/>
      <c r="D915" s="82"/>
      <c r="E915" s="82"/>
      <c r="F915" s="83"/>
      <c r="G915" s="83"/>
      <c r="H915" s="83"/>
    </row>
    <row r="916" spans="1:8">
      <c r="A916" s="83"/>
      <c r="B916" s="82"/>
      <c r="C916" s="82"/>
      <c r="D916" s="82"/>
      <c r="E916" s="82"/>
      <c r="F916" s="83"/>
      <c r="G916" s="83"/>
      <c r="H916" s="83"/>
    </row>
    <row r="917" spans="1:8">
      <c r="A917" s="83"/>
      <c r="B917" s="82"/>
      <c r="C917" s="82"/>
      <c r="D917" s="82"/>
      <c r="E917" s="82"/>
      <c r="F917" s="83"/>
      <c r="G917" s="83"/>
      <c r="H917" s="83"/>
    </row>
    <row r="918" spans="1:8">
      <c r="A918" s="83"/>
      <c r="B918" s="82"/>
      <c r="C918" s="82"/>
      <c r="D918" s="82"/>
      <c r="E918" s="82"/>
      <c r="F918" s="83"/>
      <c r="G918" s="83"/>
      <c r="H918" s="83"/>
    </row>
    <row r="919" spans="1:8">
      <c r="A919" s="83"/>
      <c r="B919" s="82"/>
      <c r="C919" s="82"/>
      <c r="D919" s="82"/>
      <c r="E919" s="82"/>
      <c r="F919" s="83"/>
      <c r="G919" s="83"/>
      <c r="H919" s="83"/>
    </row>
    <row r="920" spans="1:8">
      <c r="A920" s="83"/>
      <c r="B920" s="82"/>
      <c r="C920" s="82"/>
      <c r="D920" s="82"/>
      <c r="E920" s="82"/>
      <c r="F920" s="83"/>
      <c r="G920" s="83"/>
      <c r="H920" s="83"/>
    </row>
    <row r="921" spans="1:8">
      <c r="A921" s="83"/>
      <c r="B921" s="82"/>
      <c r="C921" s="82"/>
      <c r="D921" s="82"/>
      <c r="E921" s="82"/>
      <c r="F921" s="83"/>
      <c r="G921" s="83"/>
      <c r="H921" s="83"/>
    </row>
    <row r="922" spans="1:8">
      <c r="A922" s="83"/>
      <c r="B922" s="82"/>
      <c r="C922" s="82"/>
      <c r="D922" s="82"/>
      <c r="E922" s="82"/>
      <c r="F922" s="83"/>
      <c r="G922" s="83"/>
      <c r="H922" s="83"/>
    </row>
    <row r="923" spans="1:8">
      <c r="A923" s="83"/>
      <c r="B923" s="82"/>
      <c r="C923" s="82"/>
      <c r="D923" s="82"/>
      <c r="E923" s="82"/>
      <c r="F923" s="83"/>
      <c r="G923" s="83"/>
      <c r="H923" s="83"/>
    </row>
    <row r="924" spans="1:8">
      <c r="A924" s="83"/>
      <c r="B924" s="82"/>
      <c r="C924" s="82"/>
      <c r="D924" s="82"/>
      <c r="E924" s="82"/>
      <c r="F924" s="83"/>
      <c r="G924" s="83"/>
      <c r="H924" s="83"/>
    </row>
    <row r="925" spans="1:8">
      <c r="A925" s="83"/>
      <c r="B925" s="82"/>
      <c r="C925" s="82"/>
      <c r="D925" s="82"/>
      <c r="E925" s="82"/>
      <c r="F925" s="83"/>
      <c r="G925" s="83"/>
      <c r="H925" s="83"/>
    </row>
    <row r="926" spans="1:8">
      <c r="A926" s="83"/>
      <c r="B926" s="82"/>
      <c r="C926" s="82"/>
      <c r="D926" s="82"/>
      <c r="E926" s="82"/>
      <c r="F926" s="83"/>
      <c r="G926" s="83"/>
      <c r="H926" s="83"/>
    </row>
    <row r="927" spans="1:8">
      <c r="A927" s="83"/>
      <c r="B927" s="82"/>
      <c r="C927" s="82"/>
      <c r="D927" s="82"/>
      <c r="E927" s="82"/>
      <c r="F927" s="83"/>
      <c r="G927" s="83"/>
      <c r="H927" s="83"/>
    </row>
    <row r="928" spans="1:8">
      <c r="A928" s="83"/>
      <c r="B928" s="82"/>
      <c r="C928" s="82"/>
      <c r="D928" s="82"/>
      <c r="E928" s="82"/>
      <c r="F928" s="83"/>
      <c r="G928" s="83"/>
      <c r="H928" s="83"/>
    </row>
    <row r="929" spans="1:8">
      <c r="A929" s="83"/>
      <c r="B929" s="82"/>
      <c r="C929" s="82"/>
      <c r="D929" s="82"/>
      <c r="E929" s="82"/>
      <c r="F929" s="83"/>
      <c r="G929" s="83"/>
      <c r="H929" s="83"/>
    </row>
  </sheetData>
  <mergeCells count="7">
    <mergeCell ref="G1:G2"/>
    <mergeCell ref="H1:H2"/>
    <mergeCell ref="B1:B2"/>
    <mergeCell ref="C1:C2"/>
    <mergeCell ref="D1:D2"/>
    <mergeCell ref="E1:E2"/>
    <mergeCell ref="F1:F2"/>
  </mergeCells>
  <conditionalFormatting sqref="C3:H66">
    <cfRule type="containsText" dxfId="4" priority="2" operator="containsText" text="Null">
      <formula>NOT(ISERROR(SEARCH(("Null"),(C3))))</formula>
    </cfRule>
    <cfRule type="containsText" dxfId="3" priority="3" operator="containsText" text="NA">
      <formula>NOT(ISERROR(SEARCH(("NA"),(C3))))</formula>
    </cfRule>
  </conditionalFormatting>
  <conditionalFormatting sqref="D3:D66 F3:F66">
    <cfRule type="colorScale" priority="4">
      <colorScale>
        <cfvo type="formula" val="1"/>
        <cfvo type="formula" val="3"/>
        <cfvo type="formula" val="5"/>
        <color rgb="FFE67C73"/>
        <color rgb="FFFFFFFF"/>
        <color rgb="FF57BB8A"/>
      </colorScale>
    </cfRule>
  </conditionalFormatting>
  <conditionalFormatting sqref="E3:E66">
    <cfRule type="colorScale" priority="6">
      <colorScale>
        <cfvo type="formula" val="1"/>
        <cfvo type="formula" val="3"/>
        <cfvo type="formula" val="5"/>
        <color rgb="FF57BB8A"/>
        <color rgb="FFFFFFFF"/>
        <color rgb="FFE67C73"/>
      </colorScale>
    </cfRule>
  </conditionalFormatting>
  <conditionalFormatting sqref="G3:G66">
    <cfRule type="colorScale" priority="5">
      <colorScale>
        <cfvo type="percentile" val="0"/>
        <cfvo type="percentile" val="50"/>
        <cfvo type="percentile" val="100"/>
        <color rgb="FF57BB8A"/>
        <color rgb="FFFFFFFF"/>
        <color rgb="FFE67C73"/>
      </colorScale>
    </cfRule>
  </conditionalFormatting>
  <conditionalFormatting sqref="H3:H66">
    <cfRule type="colorScale" priority="1">
      <colorScale>
        <cfvo type="percentile" val="0"/>
        <cfvo type="percentile" val="50"/>
        <cfvo type="percentile" val="100"/>
        <color rgb="FF6AA84F"/>
        <color rgb="FFFFFFFF"/>
        <color rgb="FFA61C00"/>
      </colorScale>
    </cfRule>
  </conditionalFormatting>
  <hyperlinks>
    <hyperlink ref="A1" r:id="rId1" xr:uid="{00000000-0004-0000-0D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J104"/>
  <sheetViews>
    <sheetView workbookViewId="0">
      <pane ySplit="1" topLeftCell="A2" activePane="bottomLeft" state="frozen"/>
      <selection pane="bottomLeft" activeCell="B3" sqref="B3"/>
    </sheetView>
  </sheetViews>
  <sheetFormatPr baseColWidth="10" defaultColWidth="14.5" defaultRowHeight="15" customHeight="1"/>
  <cols>
    <col min="1" max="16" width="21.5" customWidth="1"/>
  </cols>
  <sheetData>
    <row r="1" spans="1:10">
      <c r="A1" s="168" t="s">
        <v>274</v>
      </c>
      <c r="B1" s="168" t="s">
        <v>908</v>
      </c>
      <c r="C1" s="168" t="s">
        <v>271</v>
      </c>
      <c r="D1" s="168" t="s">
        <v>271</v>
      </c>
      <c r="E1" s="168" t="s">
        <v>271</v>
      </c>
      <c r="F1" s="168" t="s">
        <v>275</v>
      </c>
      <c r="G1" s="168" t="s">
        <v>276</v>
      </c>
      <c r="H1" s="168" t="s">
        <v>277</v>
      </c>
      <c r="I1" s="168" t="s">
        <v>278</v>
      </c>
      <c r="J1" s="168" t="s">
        <v>279</v>
      </c>
    </row>
    <row r="2" spans="1:10">
      <c r="A2" s="176">
        <v>45344.049687986109</v>
      </c>
      <c r="B2" s="168" t="s">
        <v>909</v>
      </c>
      <c r="E2" s="168" t="s">
        <v>905</v>
      </c>
      <c r="F2" s="168">
        <v>5</v>
      </c>
      <c r="G2" s="168">
        <v>4</v>
      </c>
      <c r="H2" s="168">
        <v>5</v>
      </c>
      <c r="I2" s="168">
        <v>15</v>
      </c>
      <c r="J2" s="168" t="s">
        <v>910</v>
      </c>
    </row>
    <row r="3" spans="1:10">
      <c r="A3" s="176">
        <v>45344.528109375002</v>
      </c>
      <c r="B3" s="168" t="s">
        <v>911</v>
      </c>
      <c r="D3" s="168" t="s">
        <v>646</v>
      </c>
      <c r="F3" s="168">
        <v>5</v>
      </c>
      <c r="G3" s="168">
        <v>2</v>
      </c>
      <c r="H3" s="168">
        <v>5</v>
      </c>
      <c r="I3" s="168">
        <v>20</v>
      </c>
    </row>
    <row r="4" spans="1:10">
      <c r="A4" s="176">
        <v>45344.528445462958</v>
      </c>
      <c r="B4" s="168" t="s">
        <v>911</v>
      </c>
      <c r="D4" s="168" t="s">
        <v>647</v>
      </c>
      <c r="F4" s="168">
        <v>5</v>
      </c>
      <c r="G4" s="168">
        <v>2</v>
      </c>
      <c r="H4" s="168">
        <v>5</v>
      </c>
      <c r="I4" s="168">
        <v>20</v>
      </c>
    </row>
    <row r="5" spans="1:10">
      <c r="A5" s="176">
        <v>45344.528795092592</v>
      </c>
      <c r="B5" s="168" t="s">
        <v>911</v>
      </c>
      <c r="D5" s="168" t="s">
        <v>648</v>
      </c>
      <c r="F5" s="168">
        <v>5</v>
      </c>
      <c r="G5" s="168">
        <v>2</v>
      </c>
      <c r="H5" s="168">
        <v>5</v>
      </c>
      <c r="I5" s="168">
        <v>18</v>
      </c>
    </row>
    <row r="6" spans="1:10">
      <c r="A6" s="176">
        <v>45349.725204201386</v>
      </c>
      <c r="B6" s="168" t="s">
        <v>911</v>
      </c>
      <c r="D6" s="168" t="s">
        <v>646</v>
      </c>
      <c r="F6" s="168">
        <v>5</v>
      </c>
      <c r="G6" s="168">
        <v>3</v>
      </c>
      <c r="H6" s="168">
        <v>5</v>
      </c>
      <c r="I6" s="168">
        <v>15</v>
      </c>
      <c r="J6" s="168" t="s">
        <v>912</v>
      </c>
    </row>
    <row r="7" spans="1:10">
      <c r="A7" s="176">
        <v>45349.727488391203</v>
      </c>
      <c r="B7" s="168" t="s">
        <v>911</v>
      </c>
      <c r="D7" s="168" t="s">
        <v>647</v>
      </c>
      <c r="F7" s="168">
        <v>5</v>
      </c>
      <c r="G7" s="168">
        <v>3</v>
      </c>
      <c r="H7" s="168">
        <v>5</v>
      </c>
      <c r="I7" s="168">
        <v>15</v>
      </c>
      <c r="J7" s="168" t="s">
        <v>913</v>
      </c>
    </row>
    <row r="8" spans="1:10">
      <c r="A8" s="176">
        <v>45349.728057106477</v>
      </c>
      <c r="B8" s="168" t="s">
        <v>911</v>
      </c>
      <c r="D8" s="168" t="s">
        <v>648</v>
      </c>
      <c r="F8" s="168">
        <v>5</v>
      </c>
      <c r="G8" s="168">
        <v>3</v>
      </c>
      <c r="H8" s="168">
        <v>5</v>
      </c>
      <c r="I8" s="168">
        <v>15</v>
      </c>
      <c r="J8" s="168" t="s">
        <v>914</v>
      </c>
    </row>
    <row r="9" spans="1:10">
      <c r="A9" s="176">
        <v>45354.652220150463</v>
      </c>
      <c r="B9" s="168" t="s">
        <v>911</v>
      </c>
      <c r="D9" s="168" t="s">
        <v>649</v>
      </c>
      <c r="F9" s="168">
        <v>5</v>
      </c>
      <c r="G9" s="168">
        <v>1</v>
      </c>
      <c r="H9" s="168">
        <v>5</v>
      </c>
      <c r="I9" s="168">
        <v>20</v>
      </c>
      <c r="J9" s="168" t="s">
        <v>915</v>
      </c>
    </row>
    <row r="10" spans="1:10">
      <c r="A10" s="176">
        <v>45354.655082881945</v>
      </c>
      <c r="B10" s="168" t="s">
        <v>911</v>
      </c>
      <c r="D10" s="168" t="s">
        <v>650</v>
      </c>
      <c r="F10" s="168">
        <v>5</v>
      </c>
      <c r="G10" s="168">
        <v>1</v>
      </c>
      <c r="H10" s="168">
        <v>5</v>
      </c>
      <c r="I10" s="168">
        <v>20</v>
      </c>
      <c r="J10" s="168" t="s">
        <v>916</v>
      </c>
    </row>
    <row r="11" spans="1:10">
      <c r="A11" s="176">
        <v>45354.676470358798</v>
      </c>
      <c r="B11" s="168" t="s">
        <v>911</v>
      </c>
      <c r="D11" s="168" t="s">
        <v>651</v>
      </c>
      <c r="F11" s="168">
        <v>5</v>
      </c>
      <c r="G11" s="168">
        <v>1</v>
      </c>
      <c r="H11" s="168">
        <v>5</v>
      </c>
      <c r="I11" s="168">
        <v>15</v>
      </c>
      <c r="J11" s="168" t="s">
        <v>917</v>
      </c>
    </row>
    <row r="12" spans="1:10">
      <c r="A12" s="176">
        <v>45354.792651863427</v>
      </c>
      <c r="B12" s="168" t="s">
        <v>909</v>
      </c>
      <c r="E12" s="168" t="s">
        <v>918</v>
      </c>
      <c r="F12" s="168">
        <v>4</v>
      </c>
      <c r="G12" s="168">
        <v>4</v>
      </c>
      <c r="H12" s="168">
        <v>1</v>
      </c>
      <c r="I12" s="168">
        <v>30</v>
      </c>
      <c r="J12" s="168" t="s">
        <v>919</v>
      </c>
    </row>
    <row r="13" spans="1:10">
      <c r="A13" s="176">
        <v>45355.291758032407</v>
      </c>
      <c r="B13" s="168" t="s">
        <v>920</v>
      </c>
      <c r="C13" s="168" t="s">
        <v>512</v>
      </c>
      <c r="F13" s="168">
        <v>3</v>
      </c>
      <c r="G13" s="168">
        <v>1</v>
      </c>
      <c r="H13" s="168">
        <v>4</v>
      </c>
      <c r="I13" s="168">
        <v>5</v>
      </c>
      <c r="J13" s="168" t="s">
        <v>717</v>
      </c>
    </row>
    <row r="14" spans="1:10">
      <c r="A14" s="176">
        <v>45355.292375393517</v>
      </c>
      <c r="B14" s="168" t="s">
        <v>920</v>
      </c>
      <c r="C14" s="168" t="s">
        <v>517</v>
      </c>
      <c r="F14" s="168">
        <v>5</v>
      </c>
      <c r="G14" s="168">
        <v>1</v>
      </c>
      <c r="H14" s="168">
        <v>5</v>
      </c>
      <c r="I14" s="168">
        <v>10</v>
      </c>
      <c r="J14" s="168" t="s">
        <v>921</v>
      </c>
    </row>
    <row r="15" spans="1:10">
      <c r="A15" s="176">
        <v>45356.65785418982</v>
      </c>
      <c r="B15" s="168" t="s">
        <v>911</v>
      </c>
      <c r="D15" s="168" t="s">
        <v>649</v>
      </c>
      <c r="F15" s="168">
        <v>5</v>
      </c>
      <c r="G15" s="168">
        <v>1</v>
      </c>
      <c r="H15" s="168">
        <v>3</v>
      </c>
      <c r="I15" s="168">
        <v>4</v>
      </c>
      <c r="J15" s="168" t="s">
        <v>922</v>
      </c>
    </row>
    <row r="16" spans="1:10">
      <c r="A16" s="176">
        <v>45356.659416689814</v>
      </c>
      <c r="B16" s="168" t="s">
        <v>911</v>
      </c>
      <c r="D16" s="168" t="s">
        <v>650</v>
      </c>
      <c r="F16" s="168">
        <v>5</v>
      </c>
      <c r="G16" s="168">
        <v>1</v>
      </c>
      <c r="H16" s="168">
        <v>3</v>
      </c>
      <c r="I16" s="168">
        <v>16</v>
      </c>
      <c r="J16" s="168" t="s">
        <v>923</v>
      </c>
    </row>
    <row r="17" spans="1:10">
      <c r="A17" s="176">
        <v>45356.663890347219</v>
      </c>
      <c r="B17" s="168" t="s">
        <v>909</v>
      </c>
      <c r="E17" s="168" t="s">
        <v>924</v>
      </c>
      <c r="F17" s="168">
        <v>5</v>
      </c>
      <c r="G17" s="168">
        <v>3</v>
      </c>
      <c r="H17" s="168">
        <v>5</v>
      </c>
      <c r="I17" s="168">
        <v>35</v>
      </c>
      <c r="J17" s="168" t="s">
        <v>925</v>
      </c>
    </row>
    <row r="18" spans="1:10">
      <c r="A18" s="176">
        <v>45356.809927557872</v>
      </c>
      <c r="B18" s="168" t="s">
        <v>911</v>
      </c>
      <c r="D18" s="168" t="s">
        <v>649</v>
      </c>
      <c r="F18" s="168">
        <v>4</v>
      </c>
      <c r="G18" s="168">
        <v>1</v>
      </c>
      <c r="H18" s="168">
        <v>2</v>
      </c>
      <c r="I18" s="168">
        <v>25</v>
      </c>
      <c r="J18" s="168" t="s">
        <v>926</v>
      </c>
    </row>
    <row r="19" spans="1:10">
      <c r="A19" s="176">
        <v>45358.317953124999</v>
      </c>
      <c r="B19" s="168" t="s">
        <v>911</v>
      </c>
      <c r="D19" s="168" t="s">
        <v>652</v>
      </c>
      <c r="F19" s="168">
        <v>5</v>
      </c>
      <c r="G19" s="168">
        <v>2</v>
      </c>
      <c r="H19" s="168">
        <v>5</v>
      </c>
      <c r="I19" s="168">
        <v>10</v>
      </c>
      <c r="J19" s="168" t="s">
        <v>927</v>
      </c>
    </row>
    <row r="20" spans="1:10">
      <c r="A20" s="176">
        <v>45358.318853032411</v>
      </c>
      <c r="B20" s="168" t="s">
        <v>911</v>
      </c>
      <c r="D20" s="168" t="s">
        <v>649</v>
      </c>
      <c r="F20" s="168">
        <v>4</v>
      </c>
      <c r="G20" s="168">
        <v>2</v>
      </c>
      <c r="H20" s="168">
        <v>4</v>
      </c>
      <c r="I20" s="168">
        <v>11</v>
      </c>
      <c r="J20" s="168" t="s">
        <v>928</v>
      </c>
    </row>
    <row r="21" spans="1:10">
      <c r="A21" s="176">
        <v>45358.32094020833</v>
      </c>
      <c r="B21" s="168" t="s">
        <v>911</v>
      </c>
      <c r="D21" s="168" t="s">
        <v>646</v>
      </c>
      <c r="F21" s="168">
        <v>4</v>
      </c>
      <c r="G21" s="168">
        <v>1</v>
      </c>
      <c r="H21" s="168">
        <v>5</v>
      </c>
      <c r="I21" s="168">
        <v>13</v>
      </c>
      <c r="J21" s="168" t="s">
        <v>929</v>
      </c>
    </row>
    <row r="22" spans="1:10">
      <c r="A22" s="176">
        <v>45358.49394108796</v>
      </c>
      <c r="B22" s="168" t="s">
        <v>911</v>
      </c>
      <c r="D22" s="168" t="s">
        <v>649</v>
      </c>
      <c r="F22" s="168">
        <v>4</v>
      </c>
      <c r="G22" s="168">
        <v>3</v>
      </c>
      <c r="H22" s="168">
        <v>3</v>
      </c>
      <c r="I22" s="168">
        <v>10</v>
      </c>
    </row>
    <row r="23" spans="1:10">
      <c r="A23" s="176">
        <v>45360.500371493057</v>
      </c>
      <c r="B23" s="168" t="s">
        <v>909</v>
      </c>
      <c r="E23" s="168" t="s">
        <v>930</v>
      </c>
      <c r="F23" s="168">
        <v>1</v>
      </c>
      <c r="G23" s="168">
        <v>4</v>
      </c>
      <c r="H23" s="168">
        <v>1</v>
      </c>
      <c r="I23" s="168">
        <v>50</v>
      </c>
      <c r="J23" s="168" t="s">
        <v>931</v>
      </c>
    </row>
    <row r="24" spans="1:10">
      <c r="A24" s="176">
        <v>45360.741329155091</v>
      </c>
      <c r="B24" s="168" t="s">
        <v>909</v>
      </c>
      <c r="E24" s="168" t="s">
        <v>930</v>
      </c>
      <c r="F24" s="168">
        <v>4</v>
      </c>
      <c r="G24" s="168">
        <v>1</v>
      </c>
      <c r="H24" s="168">
        <v>1</v>
      </c>
      <c r="I24" s="168">
        <v>45</v>
      </c>
      <c r="J24" s="168" t="s">
        <v>932</v>
      </c>
    </row>
    <row r="25" spans="1:10">
      <c r="A25" s="176">
        <v>45360.742907905093</v>
      </c>
      <c r="B25" s="168" t="s">
        <v>909</v>
      </c>
      <c r="E25" s="168" t="s">
        <v>933</v>
      </c>
      <c r="F25" s="168">
        <v>5</v>
      </c>
      <c r="G25" s="168">
        <v>3</v>
      </c>
      <c r="H25" s="168">
        <v>4</v>
      </c>
      <c r="I25" s="168">
        <v>50</v>
      </c>
      <c r="J25" s="168" t="s">
        <v>934</v>
      </c>
    </row>
    <row r="26" spans="1:10">
      <c r="A26" s="176">
        <v>45361.315980023151</v>
      </c>
      <c r="B26" s="168" t="s">
        <v>920</v>
      </c>
      <c r="C26" s="168" t="s">
        <v>509</v>
      </c>
      <c r="F26" s="168">
        <v>2</v>
      </c>
      <c r="G26" s="168">
        <v>5</v>
      </c>
      <c r="H26" s="168">
        <v>2</v>
      </c>
      <c r="I26" s="168">
        <v>0</v>
      </c>
    </row>
    <row r="27" spans="1:10">
      <c r="A27" s="176">
        <v>45361.553443333338</v>
      </c>
      <c r="B27" s="168" t="s">
        <v>920</v>
      </c>
      <c r="C27" s="168" t="s">
        <v>516</v>
      </c>
      <c r="F27" s="168">
        <v>4</v>
      </c>
      <c r="G27" s="168">
        <v>1</v>
      </c>
      <c r="H27" s="168">
        <v>5</v>
      </c>
      <c r="I27" s="168">
        <v>19</v>
      </c>
      <c r="J27" s="168" t="s">
        <v>935</v>
      </c>
    </row>
    <row r="28" spans="1:10">
      <c r="A28" s="176">
        <v>45361.553996458329</v>
      </c>
      <c r="B28" s="168" t="s">
        <v>920</v>
      </c>
      <c r="C28" s="168" t="s">
        <v>517</v>
      </c>
      <c r="F28" s="168">
        <v>5</v>
      </c>
      <c r="G28" s="168">
        <v>2</v>
      </c>
      <c r="H28" s="168">
        <v>5</v>
      </c>
      <c r="I28" s="168">
        <v>22</v>
      </c>
      <c r="J28" s="168" t="s">
        <v>936</v>
      </c>
    </row>
    <row r="29" spans="1:10">
      <c r="A29" s="176">
        <v>45361.554558854172</v>
      </c>
      <c r="B29" s="168" t="s">
        <v>920</v>
      </c>
      <c r="C29" s="168" t="s">
        <v>518</v>
      </c>
      <c r="F29" s="168">
        <v>2</v>
      </c>
      <c r="G29" s="168">
        <v>1</v>
      </c>
      <c r="H29" s="168">
        <v>4</v>
      </c>
      <c r="I29" s="168">
        <v>13</v>
      </c>
      <c r="J29" s="168" t="s">
        <v>937</v>
      </c>
    </row>
    <row r="30" spans="1:10">
      <c r="A30" s="176">
        <v>45361.675537106479</v>
      </c>
      <c r="B30" s="168" t="s">
        <v>909</v>
      </c>
      <c r="E30" s="168" t="s">
        <v>924</v>
      </c>
      <c r="F30" s="168">
        <v>5</v>
      </c>
      <c r="G30" s="168">
        <v>2</v>
      </c>
      <c r="H30" s="168">
        <v>5</v>
      </c>
      <c r="I30" s="168">
        <v>25</v>
      </c>
      <c r="J30" s="168" t="s">
        <v>938</v>
      </c>
    </row>
    <row r="31" spans="1:10">
      <c r="A31" s="176">
        <v>45361.677639953705</v>
      </c>
      <c r="B31" s="168" t="s">
        <v>909</v>
      </c>
      <c r="E31" s="168" t="s">
        <v>939</v>
      </c>
      <c r="F31" s="168">
        <v>5</v>
      </c>
      <c r="G31" s="168">
        <v>4</v>
      </c>
      <c r="H31" s="168">
        <v>5</v>
      </c>
      <c r="I31" s="168">
        <v>40</v>
      </c>
      <c r="J31" s="168" t="s">
        <v>940</v>
      </c>
    </row>
    <row r="32" spans="1:10">
      <c r="A32" s="176">
        <v>45361.846592060188</v>
      </c>
      <c r="B32" s="168" t="s">
        <v>911</v>
      </c>
      <c r="D32" s="168" t="s">
        <v>646</v>
      </c>
      <c r="F32" s="168">
        <v>4</v>
      </c>
      <c r="G32" s="168">
        <v>3</v>
      </c>
      <c r="H32" s="168">
        <v>4</v>
      </c>
      <c r="I32" s="168">
        <v>40</v>
      </c>
      <c r="J32" s="168" t="s">
        <v>941</v>
      </c>
    </row>
    <row r="33" spans="1:10">
      <c r="A33" s="176">
        <v>45362.46950269676</v>
      </c>
      <c r="B33" s="168" t="s">
        <v>920</v>
      </c>
      <c r="C33" s="168" t="s">
        <v>513</v>
      </c>
      <c r="F33" s="168">
        <v>5</v>
      </c>
      <c r="G33" s="168">
        <v>3</v>
      </c>
      <c r="H33" s="168">
        <v>5</v>
      </c>
      <c r="I33" s="168">
        <v>40</v>
      </c>
    </row>
    <row r="34" spans="1:10">
      <c r="A34" s="176">
        <v>45362.902309745376</v>
      </c>
      <c r="B34" s="168" t="s">
        <v>911</v>
      </c>
      <c r="D34" s="168" t="s">
        <v>652</v>
      </c>
      <c r="F34" s="168">
        <v>3</v>
      </c>
      <c r="G34" s="168">
        <v>1</v>
      </c>
      <c r="H34" s="168">
        <v>3</v>
      </c>
      <c r="I34" s="168">
        <v>22</v>
      </c>
      <c r="J34" s="168" t="s">
        <v>942</v>
      </c>
    </row>
    <row r="35" spans="1:10">
      <c r="A35" s="176">
        <v>45362.940673414356</v>
      </c>
      <c r="B35" s="168" t="s">
        <v>920</v>
      </c>
      <c r="C35" s="168" t="s">
        <v>509</v>
      </c>
      <c r="F35" s="168">
        <v>5</v>
      </c>
      <c r="G35" s="168">
        <v>4</v>
      </c>
      <c r="H35" s="168">
        <v>4</v>
      </c>
      <c r="I35" s="168">
        <v>25</v>
      </c>
      <c r="J35" s="168" t="s">
        <v>943</v>
      </c>
    </row>
    <row r="36" spans="1:10">
      <c r="A36" s="176">
        <v>45362.94179005787</v>
      </c>
      <c r="B36" s="168" t="s">
        <v>920</v>
      </c>
      <c r="C36" s="168" t="s">
        <v>510</v>
      </c>
      <c r="F36" s="168">
        <v>3</v>
      </c>
      <c r="G36" s="168">
        <v>5</v>
      </c>
      <c r="H36" s="168">
        <v>2</v>
      </c>
      <c r="I36" s="168">
        <v>60</v>
      </c>
      <c r="J36" s="168" t="s">
        <v>944</v>
      </c>
    </row>
    <row r="37" spans="1:10">
      <c r="A37" s="176">
        <v>45362.944037199079</v>
      </c>
      <c r="B37" s="168" t="s">
        <v>920</v>
      </c>
      <c r="C37" s="168" t="s">
        <v>511</v>
      </c>
      <c r="F37" s="168">
        <v>3</v>
      </c>
      <c r="G37" s="168">
        <v>3</v>
      </c>
      <c r="H37" s="168">
        <v>4</v>
      </c>
      <c r="I37" s="168">
        <v>25</v>
      </c>
      <c r="J37" s="168" t="s">
        <v>945</v>
      </c>
    </row>
    <row r="38" spans="1:10">
      <c r="A38" s="176">
        <v>45362.946179918981</v>
      </c>
      <c r="B38" s="168" t="s">
        <v>920</v>
      </c>
      <c r="C38" s="168" t="s">
        <v>513</v>
      </c>
      <c r="F38" s="168">
        <v>4</v>
      </c>
      <c r="G38" s="168">
        <v>2</v>
      </c>
      <c r="H38" s="168">
        <v>5</v>
      </c>
      <c r="I38" s="168">
        <v>30</v>
      </c>
      <c r="J38" s="168" t="s">
        <v>946</v>
      </c>
    </row>
    <row r="39" spans="1:10">
      <c r="A39" s="176">
        <v>45363.721155416672</v>
      </c>
      <c r="B39" s="168" t="s">
        <v>909</v>
      </c>
      <c r="E39" s="168" t="s">
        <v>947</v>
      </c>
      <c r="F39" s="168">
        <v>5</v>
      </c>
      <c r="G39" s="168">
        <v>4</v>
      </c>
      <c r="H39" s="168">
        <v>5</v>
      </c>
      <c r="I39" s="168">
        <v>24</v>
      </c>
      <c r="J39" s="168" t="s">
        <v>948</v>
      </c>
    </row>
    <row r="40" spans="1:10">
      <c r="A40" s="176">
        <v>45363.732565300925</v>
      </c>
      <c r="B40" s="168" t="s">
        <v>909</v>
      </c>
      <c r="E40" s="168" t="s">
        <v>949</v>
      </c>
      <c r="F40" s="168">
        <v>5</v>
      </c>
      <c r="G40" s="168">
        <v>3</v>
      </c>
      <c r="H40" s="168">
        <v>5</v>
      </c>
      <c r="I40" s="168">
        <v>16</v>
      </c>
      <c r="J40" s="168" t="s">
        <v>950</v>
      </c>
    </row>
    <row r="41" spans="1:10">
      <c r="A41" s="176">
        <v>45363.741114351855</v>
      </c>
      <c r="B41" s="168" t="s">
        <v>909</v>
      </c>
      <c r="E41" s="168" t="s">
        <v>951</v>
      </c>
      <c r="F41" s="168">
        <v>5</v>
      </c>
      <c r="G41" s="168">
        <v>3</v>
      </c>
      <c r="H41" s="168">
        <v>5</v>
      </c>
      <c r="I41" s="168">
        <v>16</v>
      </c>
      <c r="J41" s="168" t="s">
        <v>952</v>
      </c>
    </row>
    <row r="42" spans="1:10">
      <c r="A42" s="176">
        <v>45365.790206365738</v>
      </c>
      <c r="B42" s="168" t="s">
        <v>911</v>
      </c>
      <c r="D42" s="168" t="s">
        <v>652</v>
      </c>
      <c r="F42" s="168">
        <v>5</v>
      </c>
      <c r="G42" s="168">
        <v>2</v>
      </c>
      <c r="H42" s="168">
        <v>5</v>
      </c>
      <c r="I42" s="168">
        <v>30</v>
      </c>
      <c r="J42" s="168" t="s">
        <v>953</v>
      </c>
    </row>
    <row r="43" spans="1:10">
      <c r="A43" s="176">
        <v>45366.368074733793</v>
      </c>
      <c r="B43" s="168" t="s">
        <v>911</v>
      </c>
      <c r="D43" s="168" t="s">
        <v>685</v>
      </c>
      <c r="F43" s="168">
        <v>5</v>
      </c>
      <c r="G43" s="168">
        <v>2</v>
      </c>
      <c r="H43" s="168">
        <v>5</v>
      </c>
      <c r="I43" s="168">
        <v>20</v>
      </c>
      <c r="J43" s="168" t="s">
        <v>954</v>
      </c>
    </row>
    <row r="44" spans="1:10">
      <c r="A44" s="176">
        <v>45366.371132048611</v>
      </c>
      <c r="B44" s="168" t="s">
        <v>911</v>
      </c>
      <c r="D44" s="168" t="s">
        <v>955</v>
      </c>
      <c r="F44" s="168">
        <v>2</v>
      </c>
      <c r="G44" s="168">
        <v>3</v>
      </c>
      <c r="H44" s="168">
        <v>4</v>
      </c>
      <c r="I44" s="168">
        <v>35</v>
      </c>
    </row>
    <row r="45" spans="1:10">
      <c r="A45" s="176">
        <v>45366.372331273145</v>
      </c>
      <c r="B45" s="168" t="s">
        <v>911</v>
      </c>
      <c r="D45" s="168" t="s">
        <v>956</v>
      </c>
      <c r="F45" s="168">
        <v>5</v>
      </c>
      <c r="G45" s="168">
        <v>2</v>
      </c>
      <c r="H45" s="168">
        <v>5</v>
      </c>
      <c r="I45" s="168">
        <v>14</v>
      </c>
    </row>
    <row r="46" spans="1:10">
      <c r="A46" s="176">
        <v>45366.375053171301</v>
      </c>
      <c r="B46" s="168" t="s">
        <v>911</v>
      </c>
      <c r="D46" s="168" t="s">
        <v>682</v>
      </c>
      <c r="F46" s="168">
        <v>3</v>
      </c>
      <c r="G46" s="168">
        <v>4</v>
      </c>
      <c r="H46" s="168">
        <v>4</v>
      </c>
      <c r="I46" s="168">
        <v>14</v>
      </c>
    </row>
    <row r="47" spans="1:10">
      <c r="A47" s="176">
        <v>45383.585464791671</v>
      </c>
      <c r="B47" s="168" t="s">
        <v>920</v>
      </c>
      <c r="C47" s="168" t="s">
        <v>509</v>
      </c>
      <c r="F47" s="168">
        <v>3</v>
      </c>
      <c r="G47" s="168">
        <v>4</v>
      </c>
      <c r="H47" s="168">
        <v>3</v>
      </c>
      <c r="I47" s="168" t="s">
        <v>957</v>
      </c>
    </row>
    <row r="48" spans="1:10">
      <c r="A48" s="176">
        <v>45387.714420208329</v>
      </c>
      <c r="B48" s="168" t="s">
        <v>911</v>
      </c>
      <c r="D48" s="168" t="s">
        <v>653</v>
      </c>
      <c r="F48" s="168">
        <v>5</v>
      </c>
      <c r="G48" s="168">
        <v>2</v>
      </c>
      <c r="H48" s="168">
        <v>5</v>
      </c>
      <c r="I48" s="168">
        <v>25</v>
      </c>
      <c r="J48" s="168" t="s">
        <v>958</v>
      </c>
    </row>
    <row r="49" spans="1:10">
      <c r="A49" s="176">
        <v>45394.560059085648</v>
      </c>
      <c r="B49" s="168" t="s">
        <v>909</v>
      </c>
      <c r="E49" s="168" t="s">
        <v>959</v>
      </c>
      <c r="F49" s="168">
        <v>4</v>
      </c>
      <c r="G49" s="168">
        <v>1</v>
      </c>
      <c r="H49" s="168">
        <v>4</v>
      </c>
      <c r="I49" s="168">
        <v>10</v>
      </c>
      <c r="J49" s="168" t="s">
        <v>960</v>
      </c>
    </row>
    <row r="50" spans="1:10">
      <c r="A50" s="176">
        <v>45402.55168798611</v>
      </c>
      <c r="B50" s="168" t="s">
        <v>911</v>
      </c>
      <c r="D50" s="168" t="s">
        <v>676</v>
      </c>
      <c r="F50" s="168">
        <v>3</v>
      </c>
      <c r="G50" s="168">
        <v>1</v>
      </c>
      <c r="H50" s="168">
        <v>3</v>
      </c>
      <c r="I50" s="168">
        <v>15</v>
      </c>
      <c r="J50" s="168" t="s">
        <v>961</v>
      </c>
    </row>
    <row r="51" spans="1:10">
      <c r="A51" s="176">
        <v>45403.807549224541</v>
      </c>
      <c r="B51" s="168" t="s">
        <v>911</v>
      </c>
      <c r="D51" s="168" t="s">
        <v>654</v>
      </c>
      <c r="F51" s="168">
        <v>5</v>
      </c>
      <c r="G51" s="168">
        <v>2</v>
      </c>
      <c r="H51" s="168">
        <v>5</v>
      </c>
      <c r="I51" s="168">
        <v>21</v>
      </c>
      <c r="J51" s="168" t="s">
        <v>962</v>
      </c>
    </row>
    <row r="52" spans="1:10">
      <c r="A52" s="176">
        <v>45408.441582812498</v>
      </c>
      <c r="B52" s="168" t="s">
        <v>909</v>
      </c>
      <c r="E52" s="168" t="s">
        <v>963</v>
      </c>
      <c r="F52" s="168">
        <v>5</v>
      </c>
      <c r="G52" s="168">
        <v>1</v>
      </c>
      <c r="H52" s="168">
        <v>3</v>
      </c>
      <c r="I52" s="168">
        <v>8</v>
      </c>
      <c r="J52" s="168" t="s">
        <v>964</v>
      </c>
    </row>
    <row r="53" spans="1:10">
      <c r="A53" s="176">
        <v>45408.442323807874</v>
      </c>
      <c r="B53" s="168" t="s">
        <v>909</v>
      </c>
      <c r="E53" s="168" t="s">
        <v>965</v>
      </c>
      <c r="F53" s="168">
        <v>4</v>
      </c>
      <c r="G53" s="168">
        <v>3</v>
      </c>
      <c r="H53" s="168">
        <v>3</v>
      </c>
      <c r="I53" s="168">
        <v>20</v>
      </c>
      <c r="J53" s="168" t="s">
        <v>966</v>
      </c>
    </row>
    <row r="54" spans="1:10">
      <c r="A54" s="176">
        <v>45410.35164857639</v>
      </c>
      <c r="B54" s="168" t="s">
        <v>920</v>
      </c>
      <c r="C54" s="168" t="s">
        <v>517</v>
      </c>
      <c r="F54" s="168">
        <v>3</v>
      </c>
      <c r="G54" s="168">
        <v>1</v>
      </c>
      <c r="H54" s="168">
        <v>4</v>
      </c>
      <c r="I54" s="168">
        <v>10</v>
      </c>
      <c r="J54" s="168" t="s">
        <v>967</v>
      </c>
    </row>
    <row r="55" spans="1:10">
      <c r="A55" s="176">
        <v>45412.577960891205</v>
      </c>
      <c r="B55" s="168" t="s">
        <v>911</v>
      </c>
      <c r="D55" s="168" t="s">
        <v>653</v>
      </c>
      <c r="F55" s="168">
        <v>5</v>
      </c>
      <c r="G55" s="168">
        <v>1</v>
      </c>
      <c r="H55" s="168">
        <v>5</v>
      </c>
      <c r="I55" s="168">
        <v>20</v>
      </c>
      <c r="J55" s="168" t="s">
        <v>968</v>
      </c>
    </row>
    <row r="56" spans="1:10">
      <c r="A56" s="176">
        <v>45414.708626469903</v>
      </c>
      <c r="B56" s="168" t="s">
        <v>911</v>
      </c>
      <c r="D56" s="168" t="s">
        <v>649</v>
      </c>
      <c r="F56" s="168">
        <v>5</v>
      </c>
      <c r="G56" s="168">
        <v>1</v>
      </c>
      <c r="H56" s="168">
        <v>5</v>
      </c>
      <c r="I56" s="168">
        <v>10</v>
      </c>
      <c r="J56" s="168" t="s">
        <v>969</v>
      </c>
    </row>
    <row r="57" spans="1:10">
      <c r="A57" s="176">
        <v>45418.591470057872</v>
      </c>
      <c r="B57" s="168" t="s">
        <v>909</v>
      </c>
      <c r="E57" s="168" t="s">
        <v>924</v>
      </c>
      <c r="F57" s="168">
        <v>5</v>
      </c>
      <c r="G57" s="168">
        <v>3</v>
      </c>
      <c r="H57" s="168">
        <v>5</v>
      </c>
      <c r="I57" s="168">
        <v>25</v>
      </c>
    </row>
    <row r="58" spans="1:10">
      <c r="A58" s="176">
        <v>45421.477785625</v>
      </c>
      <c r="B58" s="168" t="s">
        <v>909</v>
      </c>
      <c r="E58" s="168" t="s">
        <v>930</v>
      </c>
      <c r="F58" s="168">
        <v>2</v>
      </c>
      <c r="G58" s="168">
        <v>2</v>
      </c>
      <c r="H58" s="168">
        <v>1</v>
      </c>
      <c r="I58" s="168">
        <v>45</v>
      </c>
      <c r="J58" s="168" t="s">
        <v>970</v>
      </c>
    </row>
    <row r="59" spans="1:10">
      <c r="A59" s="176">
        <v>45421.529026527773</v>
      </c>
      <c r="B59" s="168" t="s">
        <v>911</v>
      </c>
      <c r="D59" s="168" t="s">
        <v>649</v>
      </c>
      <c r="F59" s="168">
        <v>5</v>
      </c>
      <c r="G59" s="168">
        <v>2</v>
      </c>
      <c r="H59" s="168">
        <v>5</v>
      </c>
      <c r="I59" s="168">
        <v>25</v>
      </c>
      <c r="J59" s="168" t="s">
        <v>971</v>
      </c>
    </row>
    <row r="60" spans="1:10">
      <c r="A60" s="176">
        <v>45421.529337002314</v>
      </c>
      <c r="B60" s="168" t="s">
        <v>911</v>
      </c>
      <c r="D60" s="168" t="s">
        <v>650</v>
      </c>
      <c r="F60" s="168">
        <v>5</v>
      </c>
      <c r="G60" s="168">
        <v>2</v>
      </c>
      <c r="H60" s="168">
        <v>5</v>
      </c>
      <c r="I60" s="168">
        <v>20</v>
      </c>
    </row>
    <row r="61" spans="1:10">
      <c r="A61" s="176">
        <v>45421.529514583337</v>
      </c>
      <c r="B61" s="168" t="s">
        <v>911</v>
      </c>
      <c r="D61" s="168" t="s">
        <v>651</v>
      </c>
      <c r="F61" s="168">
        <v>5</v>
      </c>
      <c r="G61" s="168">
        <v>1</v>
      </c>
      <c r="H61" s="168">
        <v>5</v>
      </c>
      <c r="I61" s="168">
        <v>18</v>
      </c>
    </row>
    <row r="62" spans="1:10">
      <c r="A62" s="176">
        <v>45426.648707141205</v>
      </c>
      <c r="B62" s="168" t="s">
        <v>911</v>
      </c>
      <c r="D62" s="168" t="s">
        <v>956</v>
      </c>
      <c r="F62" s="168">
        <v>4</v>
      </c>
      <c r="G62" s="168">
        <v>3</v>
      </c>
      <c r="H62" s="168">
        <v>4</v>
      </c>
      <c r="I62" s="168">
        <v>20</v>
      </c>
      <c r="J62" s="168" t="s">
        <v>972</v>
      </c>
    </row>
    <row r="63" spans="1:10">
      <c r="A63" s="176">
        <v>45426.650268958329</v>
      </c>
      <c r="B63" s="168" t="s">
        <v>911</v>
      </c>
      <c r="D63" s="168" t="s">
        <v>652</v>
      </c>
      <c r="F63" s="168">
        <v>5</v>
      </c>
      <c r="G63" s="168">
        <v>1</v>
      </c>
      <c r="H63" s="168">
        <v>4</v>
      </c>
      <c r="I63" s="168">
        <v>15</v>
      </c>
      <c r="J63" s="168" t="s">
        <v>973</v>
      </c>
    </row>
    <row r="64" spans="1:10">
      <c r="A64" s="176">
        <v>45426.658614108797</v>
      </c>
      <c r="B64" s="168" t="s">
        <v>909</v>
      </c>
      <c r="E64" s="168" t="s">
        <v>974</v>
      </c>
      <c r="F64" s="168">
        <v>4</v>
      </c>
      <c r="G64" s="168">
        <v>5</v>
      </c>
      <c r="H64" s="168">
        <v>4</v>
      </c>
      <c r="I64" s="168">
        <v>30</v>
      </c>
      <c r="J64" s="168" t="s">
        <v>975</v>
      </c>
    </row>
    <row r="65" spans="1:10">
      <c r="A65" s="176">
        <v>45427.399107557867</v>
      </c>
      <c r="B65" s="168" t="s">
        <v>920</v>
      </c>
      <c r="C65" s="168" t="s">
        <v>510</v>
      </c>
      <c r="F65" s="168">
        <v>5</v>
      </c>
      <c r="G65" s="168">
        <v>4</v>
      </c>
      <c r="H65" s="168">
        <v>4</v>
      </c>
      <c r="I65" s="168">
        <v>30</v>
      </c>
      <c r="J65" s="168" t="s">
        <v>976</v>
      </c>
    </row>
    <row r="66" spans="1:10">
      <c r="A66" s="176">
        <v>45432.605492581017</v>
      </c>
      <c r="B66" s="168" t="s">
        <v>911</v>
      </c>
      <c r="D66" s="168" t="s">
        <v>646</v>
      </c>
      <c r="F66" s="168">
        <v>5</v>
      </c>
      <c r="G66" s="168">
        <v>2</v>
      </c>
      <c r="H66" s="168">
        <v>5</v>
      </c>
      <c r="I66" s="168">
        <v>12</v>
      </c>
      <c r="J66" s="168" t="s">
        <v>977</v>
      </c>
    </row>
    <row r="67" spans="1:10">
      <c r="A67" s="176">
        <v>45432.609326736114</v>
      </c>
      <c r="B67" s="168" t="s">
        <v>911</v>
      </c>
      <c r="D67" s="168" t="s">
        <v>647</v>
      </c>
      <c r="F67" s="168">
        <v>5</v>
      </c>
      <c r="G67" s="168">
        <v>2</v>
      </c>
      <c r="H67" s="168">
        <v>5</v>
      </c>
      <c r="I67" s="168">
        <v>12</v>
      </c>
      <c r="J67" s="168" t="s">
        <v>978</v>
      </c>
    </row>
    <row r="68" spans="1:10">
      <c r="A68" s="176">
        <v>45432.61287780093</v>
      </c>
      <c r="B68" s="168" t="s">
        <v>911</v>
      </c>
      <c r="D68" s="168" t="s">
        <v>648</v>
      </c>
      <c r="F68" s="168">
        <v>4</v>
      </c>
      <c r="G68" s="168">
        <v>2</v>
      </c>
      <c r="H68" s="168">
        <v>5</v>
      </c>
      <c r="I68" s="168">
        <v>12</v>
      </c>
      <c r="J68" s="168" t="s">
        <v>979</v>
      </c>
    </row>
    <row r="69" spans="1:10">
      <c r="A69" s="176">
        <v>45446.737508761573</v>
      </c>
      <c r="B69" s="168" t="s">
        <v>911</v>
      </c>
      <c r="D69" s="168" t="s">
        <v>651</v>
      </c>
      <c r="F69" s="168">
        <v>5</v>
      </c>
      <c r="G69" s="168">
        <v>1</v>
      </c>
      <c r="H69" s="168">
        <v>4</v>
      </c>
      <c r="I69" s="168">
        <v>20</v>
      </c>
      <c r="J69" s="168" t="s">
        <v>980</v>
      </c>
    </row>
    <row r="70" spans="1:10">
      <c r="A70" s="176">
        <v>45446.739655289348</v>
      </c>
      <c r="B70" s="168" t="s">
        <v>911</v>
      </c>
      <c r="D70" s="168" t="s">
        <v>652</v>
      </c>
      <c r="F70" s="168">
        <v>3</v>
      </c>
      <c r="G70" s="168">
        <v>1</v>
      </c>
      <c r="H70" s="168">
        <v>2</v>
      </c>
      <c r="I70" s="168">
        <v>30</v>
      </c>
      <c r="J70" s="168" t="s">
        <v>981</v>
      </c>
    </row>
    <row r="71" spans="1:10">
      <c r="A71" s="176">
        <v>45448.843405150459</v>
      </c>
      <c r="B71" s="168" t="s">
        <v>909</v>
      </c>
      <c r="E71" s="168" t="s">
        <v>924</v>
      </c>
      <c r="F71" s="168">
        <v>3</v>
      </c>
      <c r="G71" s="168">
        <v>3</v>
      </c>
      <c r="H71" s="168">
        <v>3</v>
      </c>
      <c r="I71" s="168">
        <v>40</v>
      </c>
      <c r="J71" s="168" t="s">
        <v>982</v>
      </c>
    </row>
    <row r="72" spans="1:10">
      <c r="A72" s="176">
        <v>45460.60589471065</v>
      </c>
      <c r="B72" s="168" t="s">
        <v>920</v>
      </c>
      <c r="C72" s="168" t="s">
        <v>509</v>
      </c>
      <c r="F72" s="168">
        <v>3</v>
      </c>
      <c r="G72" s="168">
        <v>3</v>
      </c>
      <c r="H72" s="168">
        <v>4</v>
      </c>
      <c r="I72" s="168">
        <v>20</v>
      </c>
    </row>
    <row r="73" spans="1:10">
      <c r="A73" s="176">
        <v>45460.606448391205</v>
      </c>
      <c r="B73" s="168" t="s">
        <v>920</v>
      </c>
      <c r="C73" s="168" t="s">
        <v>510</v>
      </c>
      <c r="F73" s="168">
        <v>2</v>
      </c>
      <c r="G73" s="168">
        <v>5</v>
      </c>
      <c r="H73" s="168">
        <v>1</v>
      </c>
      <c r="I73" s="168">
        <v>50</v>
      </c>
    </row>
    <row r="74" spans="1:10">
      <c r="A74" s="176">
        <v>45462.468770127314</v>
      </c>
      <c r="B74" s="168" t="s">
        <v>911</v>
      </c>
      <c r="D74" s="168" t="s">
        <v>685</v>
      </c>
      <c r="F74" s="168">
        <v>4</v>
      </c>
      <c r="G74" s="168">
        <v>2</v>
      </c>
      <c r="H74" s="168">
        <v>4</v>
      </c>
      <c r="I74" s="168">
        <v>25</v>
      </c>
      <c r="J74" s="168" t="s">
        <v>983</v>
      </c>
    </row>
    <row r="75" spans="1:10">
      <c r="A75" s="176">
        <v>45466.364023321759</v>
      </c>
      <c r="B75" s="168" t="s">
        <v>909</v>
      </c>
      <c r="E75" s="168" t="s">
        <v>959</v>
      </c>
      <c r="F75" s="168">
        <v>4</v>
      </c>
      <c r="G75" s="168">
        <v>1</v>
      </c>
      <c r="H75" s="168">
        <v>4</v>
      </c>
      <c r="I75" s="168">
        <v>20</v>
      </c>
      <c r="J75" s="168" t="s">
        <v>984</v>
      </c>
    </row>
    <row r="76" spans="1:10">
      <c r="A76" s="176">
        <v>45466.494786608797</v>
      </c>
      <c r="B76" s="168" t="s">
        <v>911</v>
      </c>
      <c r="D76" s="168" t="s">
        <v>654</v>
      </c>
      <c r="F76" s="168">
        <v>5</v>
      </c>
      <c r="G76" s="168">
        <v>2</v>
      </c>
      <c r="H76" s="168">
        <v>5</v>
      </c>
      <c r="I76" s="168">
        <v>30</v>
      </c>
      <c r="J76" s="168" t="s">
        <v>985</v>
      </c>
    </row>
    <row r="77" spans="1:10">
      <c r="A77" s="176">
        <v>45467.732359710644</v>
      </c>
      <c r="B77" s="168" t="s">
        <v>911</v>
      </c>
      <c r="D77" s="168" t="s">
        <v>651</v>
      </c>
      <c r="F77" s="168">
        <v>3</v>
      </c>
      <c r="G77" s="168">
        <v>1</v>
      </c>
      <c r="H77" s="168">
        <v>3</v>
      </c>
      <c r="I77" s="168">
        <v>12</v>
      </c>
    </row>
    <row r="78" spans="1:10">
      <c r="A78" s="176">
        <v>45468.512433148149</v>
      </c>
      <c r="B78" s="168" t="s">
        <v>920</v>
      </c>
      <c r="C78" s="168" t="s">
        <v>509</v>
      </c>
      <c r="F78" s="168">
        <v>3</v>
      </c>
      <c r="G78" s="168">
        <v>5</v>
      </c>
      <c r="H78" s="168">
        <v>4</v>
      </c>
      <c r="I78" s="168">
        <v>30</v>
      </c>
      <c r="J78" s="168" t="s">
        <v>986</v>
      </c>
    </row>
    <row r="79" spans="1:10">
      <c r="A79" s="176">
        <v>45468.516263032405</v>
      </c>
      <c r="B79" s="168" t="s">
        <v>920</v>
      </c>
      <c r="C79" s="168" t="s">
        <v>510</v>
      </c>
      <c r="F79" s="168">
        <v>1</v>
      </c>
      <c r="G79" s="168">
        <v>5</v>
      </c>
      <c r="H79" s="168">
        <v>2</v>
      </c>
      <c r="I79" s="168">
        <v>35</v>
      </c>
      <c r="J79" s="168" t="s">
        <v>987</v>
      </c>
    </row>
    <row r="80" spans="1:10">
      <c r="A80" s="176">
        <v>45468.70099592593</v>
      </c>
      <c r="B80" s="168" t="s">
        <v>920</v>
      </c>
      <c r="C80" s="168" t="s">
        <v>509</v>
      </c>
      <c r="F80" s="168">
        <v>4</v>
      </c>
      <c r="G80" s="168">
        <v>4</v>
      </c>
      <c r="H80" s="168">
        <v>4</v>
      </c>
      <c r="I80" s="168">
        <v>40</v>
      </c>
      <c r="J80" s="168" t="s">
        <v>988</v>
      </c>
    </row>
    <row r="81" spans="1:10">
      <c r="A81" s="176">
        <v>45468.708634097224</v>
      </c>
      <c r="B81" s="168" t="s">
        <v>920</v>
      </c>
      <c r="C81" s="168" t="s">
        <v>510</v>
      </c>
      <c r="F81" s="168">
        <v>3</v>
      </c>
      <c r="G81" s="168">
        <v>5</v>
      </c>
      <c r="H81" s="168">
        <v>4</v>
      </c>
      <c r="I81" s="168">
        <v>55</v>
      </c>
      <c r="J81" s="168" t="s">
        <v>989</v>
      </c>
    </row>
    <row r="82" spans="1:10">
      <c r="A82" s="176">
        <v>45468.71105283565</v>
      </c>
      <c r="B82" s="168" t="s">
        <v>920</v>
      </c>
      <c r="C82" s="168" t="s">
        <v>511</v>
      </c>
      <c r="F82" s="168">
        <v>4</v>
      </c>
      <c r="G82" s="168">
        <v>3</v>
      </c>
      <c r="H82" s="168">
        <v>4</v>
      </c>
      <c r="I82" s="168">
        <v>30</v>
      </c>
      <c r="J82" s="168" t="s">
        <v>990</v>
      </c>
    </row>
    <row r="83" spans="1:10">
      <c r="A83" s="176">
        <v>45471.510153553245</v>
      </c>
      <c r="B83" s="168" t="s">
        <v>920</v>
      </c>
      <c r="C83" s="168" t="s">
        <v>511</v>
      </c>
      <c r="F83" s="168">
        <v>3</v>
      </c>
      <c r="G83" s="168">
        <v>4</v>
      </c>
      <c r="H83" s="168">
        <v>2</v>
      </c>
      <c r="I83" s="168">
        <v>20</v>
      </c>
    </row>
    <row r="84" spans="1:10">
      <c r="A84" s="176">
        <v>45471.60626163194</v>
      </c>
      <c r="B84" s="168" t="s">
        <v>920</v>
      </c>
      <c r="C84" s="168" t="s">
        <v>509</v>
      </c>
      <c r="F84" s="168">
        <v>3</v>
      </c>
      <c r="G84" s="168">
        <v>5</v>
      </c>
      <c r="H84" s="168">
        <v>3</v>
      </c>
      <c r="I84" s="168">
        <v>60</v>
      </c>
    </row>
    <row r="85" spans="1:10">
      <c r="A85" s="176">
        <v>45474.482493437499</v>
      </c>
      <c r="B85" s="168" t="s">
        <v>909</v>
      </c>
      <c r="E85" s="168" t="s">
        <v>924</v>
      </c>
      <c r="F85" s="168">
        <v>5</v>
      </c>
      <c r="G85" s="168">
        <v>4</v>
      </c>
      <c r="H85" s="168">
        <v>4</v>
      </c>
      <c r="I85" s="168">
        <v>40</v>
      </c>
      <c r="J85" s="168" t="s">
        <v>991</v>
      </c>
    </row>
    <row r="86" spans="1:10">
      <c r="A86" s="176">
        <v>45474.50900774305</v>
      </c>
      <c r="B86" s="168" t="s">
        <v>920</v>
      </c>
      <c r="C86" s="168" t="s">
        <v>509</v>
      </c>
      <c r="F86" s="168">
        <v>4</v>
      </c>
      <c r="G86" s="168">
        <v>4</v>
      </c>
      <c r="H86" s="168">
        <v>3</v>
      </c>
      <c r="I86" s="168">
        <v>48</v>
      </c>
      <c r="J86" s="168" t="s">
        <v>992</v>
      </c>
    </row>
    <row r="87" spans="1:10">
      <c r="A87" s="176">
        <v>45499.245967048613</v>
      </c>
      <c r="B87" s="168" t="s">
        <v>911</v>
      </c>
      <c r="D87" s="168" t="s">
        <v>646</v>
      </c>
      <c r="F87" s="168">
        <v>4</v>
      </c>
      <c r="G87" s="168">
        <v>1</v>
      </c>
      <c r="H87" s="168">
        <v>5</v>
      </c>
      <c r="I87" s="168">
        <v>15</v>
      </c>
    </row>
    <row r="88" spans="1:10">
      <c r="A88" s="176">
        <v>45500.506842303235</v>
      </c>
      <c r="B88" s="168" t="s">
        <v>920</v>
      </c>
      <c r="C88" s="168" t="s">
        <v>513</v>
      </c>
      <c r="F88" s="168">
        <v>5</v>
      </c>
      <c r="G88" s="168">
        <v>2</v>
      </c>
      <c r="H88" s="168">
        <v>5</v>
      </c>
      <c r="I88" s="168">
        <v>30</v>
      </c>
    </row>
    <row r="89" spans="1:10">
      <c r="A89" s="176">
        <v>45514.422168530087</v>
      </c>
      <c r="B89" s="168" t="s">
        <v>920</v>
      </c>
      <c r="C89" s="168" t="s">
        <v>514</v>
      </c>
      <c r="F89" s="168">
        <v>5</v>
      </c>
      <c r="G89" s="168">
        <v>2</v>
      </c>
      <c r="H89" s="168">
        <v>5</v>
      </c>
      <c r="I89" s="168">
        <v>20</v>
      </c>
    </row>
    <row r="90" spans="1:10">
      <c r="A90" s="176">
        <v>45522.281244942133</v>
      </c>
      <c r="B90" s="168" t="s">
        <v>909</v>
      </c>
      <c r="E90" s="168" t="s">
        <v>993</v>
      </c>
      <c r="F90" s="168">
        <v>5</v>
      </c>
      <c r="G90" s="168">
        <v>3</v>
      </c>
      <c r="H90" s="168">
        <v>5</v>
      </c>
      <c r="I90" s="168">
        <v>35</v>
      </c>
    </row>
    <row r="91" spans="1:10">
      <c r="A91" s="176">
        <v>45522.34861724537</v>
      </c>
      <c r="B91" s="168" t="s">
        <v>909</v>
      </c>
      <c r="E91" s="168" t="s">
        <v>939</v>
      </c>
      <c r="F91" s="168">
        <v>5</v>
      </c>
      <c r="G91" s="168">
        <v>3</v>
      </c>
      <c r="H91" s="168">
        <v>5</v>
      </c>
      <c r="I91" s="168">
        <v>20</v>
      </c>
      <c r="J91" s="168" t="s">
        <v>994</v>
      </c>
    </row>
    <row r="92" spans="1:10">
      <c r="A92" s="176">
        <v>45522.349566342593</v>
      </c>
      <c r="B92" s="168" t="s">
        <v>909</v>
      </c>
      <c r="E92" s="168" t="s">
        <v>995</v>
      </c>
      <c r="F92" s="168">
        <v>5</v>
      </c>
      <c r="G92" s="168">
        <v>3</v>
      </c>
      <c r="H92" s="168">
        <v>5</v>
      </c>
      <c r="I92" s="168">
        <v>30</v>
      </c>
    </row>
    <row r="93" spans="1:10">
      <c r="A93" s="176">
        <v>45522.350483333328</v>
      </c>
      <c r="B93" s="168" t="s">
        <v>909</v>
      </c>
      <c r="E93" s="168" t="s">
        <v>996</v>
      </c>
      <c r="F93" s="168">
        <v>5</v>
      </c>
      <c r="G93" s="168">
        <v>4</v>
      </c>
      <c r="H93" s="168">
        <v>5</v>
      </c>
      <c r="I93" s="168">
        <v>40</v>
      </c>
      <c r="J93" s="168" t="s">
        <v>997</v>
      </c>
    </row>
    <row r="94" spans="1:10">
      <c r="A94" s="176">
        <v>45522.350933425929</v>
      </c>
      <c r="B94" s="168" t="s">
        <v>909</v>
      </c>
      <c r="E94" s="168" t="s">
        <v>998</v>
      </c>
      <c r="F94" s="168">
        <v>5</v>
      </c>
      <c r="G94" s="168">
        <v>4</v>
      </c>
      <c r="H94" s="168">
        <v>5</v>
      </c>
      <c r="I94" s="168">
        <v>35</v>
      </c>
      <c r="J94" s="168" t="s">
        <v>999</v>
      </c>
    </row>
    <row r="95" spans="1:10">
      <c r="A95" s="176">
        <v>45522.35195300926</v>
      </c>
      <c r="B95" s="168" t="s">
        <v>909</v>
      </c>
      <c r="E95" s="168" t="s">
        <v>1000</v>
      </c>
      <c r="F95" s="168">
        <v>4</v>
      </c>
      <c r="G95" s="168">
        <v>5</v>
      </c>
      <c r="H95" s="168">
        <v>3</v>
      </c>
      <c r="I95" s="168">
        <v>45</v>
      </c>
      <c r="J95" s="168" t="s">
        <v>1001</v>
      </c>
    </row>
    <row r="96" spans="1:10">
      <c r="A96" s="176">
        <v>45522.352896331024</v>
      </c>
      <c r="B96" s="168" t="s">
        <v>909</v>
      </c>
      <c r="E96" s="168" t="s">
        <v>918</v>
      </c>
      <c r="F96" s="168">
        <v>4</v>
      </c>
      <c r="G96" s="168">
        <v>5</v>
      </c>
      <c r="H96" s="168">
        <v>3</v>
      </c>
      <c r="I96" s="168">
        <v>50</v>
      </c>
      <c r="J96" s="168" t="s">
        <v>1002</v>
      </c>
    </row>
    <row r="97" spans="1:10">
      <c r="A97" s="176">
        <v>45522.353759085643</v>
      </c>
      <c r="B97" s="168" t="s">
        <v>909</v>
      </c>
      <c r="E97" s="168" t="s">
        <v>1003</v>
      </c>
      <c r="F97" s="168">
        <v>4</v>
      </c>
      <c r="G97" s="168">
        <v>4</v>
      </c>
      <c r="H97" s="168">
        <v>4</v>
      </c>
      <c r="I97" s="168">
        <v>35</v>
      </c>
      <c r="J97" s="168" t="s">
        <v>1004</v>
      </c>
    </row>
    <row r="98" spans="1:10">
      <c r="A98" s="176">
        <v>45526.845203680554</v>
      </c>
      <c r="B98" s="168" t="s">
        <v>920</v>
      </c>
      <c r="C98" s="168" t="s">
        <v>509</v>
      </c>
      <c r="F98" s="168">
        <v>2</v>
      </c>
      <c r="G98" s="168">
        <v>4</v>
      </c>
      <c r="H98" s="168">
        <v>2</v>
      </c>
      <c r="I98" s="168">
        <v>50</v>
      </c>
      <c r="J98" s="168" t="s">
        <v>1005</v>
      </c>
    </row>
    <row r="99" spans="1:10">
      <c r="A99" s="176">
        <v>45527.555304745372</v>
      </c>
      <c r="B99" s="168" t="s">
        <v>920</v>
      </c>
      <c r="C99" s="168" t="s">
        <v>515</v>
      </c>
      <c r="F99" s="168">
        <v>5</v>
      </c>
      <c r="G99" s="168">
        <v>2</v>
      </c>
      <c r="H99" s="168">
        <v>5</v>
      </c>
      <c r="I99" s="168">
        <v>20</v>
      </c>
    </row>
    <row r="100" spans="1:10">
      <c r="A100" s="176">
        <v>45527.582046608797</v>
      </c>
      <c r="B100" s="168" t="s">
        <v>909</v>
      </c>
      <c r="E100" s="168" t="s">
        <v>1006</v>
      </c>
      <c r="F100" s="168">
        <v>2</v>
      </c>
      <c r="G100" s="168">
        <v>4</v>
      </c>
      <c r="H100" s="168">
        <v>1</v>
      </c>
      <c r="I100" s="168">
        <v>22</v>
      </c>
      <c r="J100" s="168" t="s">
        <v>1007</v>
      </c>
    </row>
    <row r="101" spans="1:10">
      <c r="A101" s="176">
        <v>45529.255173136575</v>
      </c>
      <c r="B101" s="168" t="s">
        <v>909</v>
      </c>
      <c r="E101" s="168" t="s">
        <v>1008</v>
      </c>
      <c r="F101" s="168">
        <v>3</v>
      </c>
      <c r="G101" s="168">
        <v>1</v>
      </c>
      <c r="H101" s="168">
        <v>3</v>
      </c>
      <c r="I101" s="168">
        <v>5</v>
      </c>
      <c r="J101" s="168" t="s">
        <v>1009</v>
      </c>
    </row>
    <row r="102" spans="1:10">
      <c r="A102" s="176">
        <v>45532.664017546296</v>
      </c>
      <c r="B102" s="168" t="s">
        <v>920</v>
      </c>
      <c r="C102" s="168" t="s">
        <v>509</v>
      </c>
      <c r="F102" s="168">
        <v>4</v>
      </c>
      <c r="G102" s="168">
        <v>3</v>
      </c>
      <c r="H102" s="168">
        <v>3</v>
      </c>
      <c r="I102" s="168">
        <v>40</v>
      </c>
      <c r="J102" s="168" t="s">
        <v>1010</v>
      </c>
    </row>
    <row r="103" spans="1:10">
      <c r="A103" s="176">
        <v>45532.666676099536</v>
      </c>
      <c r="B103" s="168" t="s">
        <v>920</v>
      </c>
      <c r="C103" s="168" t="s">
        <v>512</v>
      </c>
      <c r="F103" s="168">
        <v>1</v>
      </c>
      <c r="G103" s="168">
        <v>1</v>
      </c>
      <c r="H103" s="168">
        <v>3</v>
      </c>
      <c r="I103" s="168">
        <v>5</v>
      </c>
      <c r="J103" s="168" t="s">
        <v>1011</v>
      </c>
    </row>
    <row r="104" spans="1:10">
      <c r="A104" s="176">
        <v>45534.925159120372</v>
      </c>
      <c r="B104" s="168" t="s">
        <v>909</v>
      </c>
      <c r="E104" s="168" t="s">
        <v>1012</v>
      </c>
      <c r="F104" s="168">
        <v>5</v>
      </c>
      <c r="G104" s="168">
        <v>3</v>
      </c>
      <c r="H104" s="168">
        <v>5</v>
      </c>
      <c r="I104" s="168">
        <v>25</v>
      </c>
      <c r="J104" s="168" t="s">
        <v>1013</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tabColor rgb="FFB6D7A8"/>
    <outlinePr summaryBelow="0" summaryRight="0"/>
  </sheetPr>
  <dimension ref="A1:AA1000"/>
  <sheetViews>
    <sheetView topLeftCell="G1" workbookViewId="0"/>
  </sheetViews>
  <sheetFormatPr baseColWidth="10" defaultColWidth="14.5" defaultRowHeight="15" customHeight="1"/>
  <cols>
    <col min="1" max="2" width="37.33203125" hidden="1" customWidth="1"/>
    <col min="3" max="3" width="49" hidden="1" customWidth="1"/>
    <col min="4" max="6" width="14.5" hidden="1"/>
    <col min="7" max="7" width="36.83203125" customWidth="1"/>
    <col min="8" max="8" width="157.6640625" customWidth="1"/>
    <col min="9" max="10" width="14.5" hidden="1"/>
  </cols>
  <sheetData>
    <row r="1" spans="1:27" ht="23.25" customHeight="1">
      <c r="A1" s="166" t="s">
        <v>271</v>
      </c>
      <c r="B1" s="166" t="s">
        <v>271</v>
      </c>
      <c r="C1" s="167" t="s">
        <v>272</v>
      </c>
      <c r="D1" s="168" t="s">
        <v>273</v>
      </c>
      <c r="E1" s="168" t="s">
        <v>273</v>
      </c>
      <c r="G1" s="169" t="str">
        <f ca="1">IFERROR(__xludf.DUMMYFUNCTION("QUERY(B:E, ""SELECT * ORDER BY D DESC, E ASC"", 1)"),"Course Name")</f>
        <v>Course Name</v>
      </c>
      <c r="H1" s="169" t="str">
        <f ca="1">IFERROR(__xludf.DUMMYFUNCTION("""COMPUTED_VALUE"""),"Feedback on the Course")</f>
        <v>Feedback on the Course</v>
      </c>
      <c r="I1" s="168" t="str">
        <f ca="1">IFERROR(__xludf.DUMMYFUNCTION("""COMPUTED_VALUE"""),"Filters")</f>
        <v>Filters</v>
      </c>
      <c r="J1" s="168" t="str">
        <f ca="1">IFERROR(__xludf.DUMMYFUNCTION("""COMPUTED_VALUE"""),"Filters")</f>
        <v>Filters</v>
      </c>
    </row>
    <row r="2" spans="1:27" ht="68">
      <c r="A2" s="170" t="str">
        <f t="shared" ref="A2:A189" ca="1" si="0">IFERROR(RIGHT(B2, LEN(B2) - FIND(" - ", B2) - 2),"")</f>
        <v/>
      </c>
      <c r="B2" s="171" t="str">
        <f t="shared" ref="B2:B142" ca="1" si="1">IFERROR(_xludf.IFS(
  NOT(ISBLANK(INDIRECT("'Outside Review Form Responses'!E" &amp; ROW()))), INDIRECT("'Outside Review Form Responses'!E" &amp; ROW())
),"")</f>
        <v/>
      </c>
      <c r="C2" s="171" t="str">
        <f t="shared" ref="C2:C142" ca="1" si="2">IF(ISBLANK(INDIRECT("'Outside Review Form Responses'!E" &amp; ROW())), "", INDIRECT("'Outside Review Form Responses'!J" &amp; ROW()))</f>
        <v>Some background in basic college physics (mechanics and e&amp;m) as well as differential equations, will be useful. The course is doable without these, but expect more time commitment due to having to spend more time on the prereq topics.</v>
      </c>
      <c r="D2" s="172">
        <f t="shared" ref="D2:D229" ca="1" si="3">IF(TRIM(C2)="", 0, 1)</f>
        <v>1</v>
      </c>
      <c r="E2" s="172">
        <v>64</v>
      </c>
      <c r="F2" s="172"/>
      <c r="G2" s="173" t="str">
        <f ca="1">IFERROR(__xludf.DUMMYFUNCTION("""COMPUTED_VALUE"""),"ECEA 5340 - Embedding Sensors and Motors: Sensors, Sensor Circuit Design")</f>
        <v>ECEA 5340 - Embedding Sensors and Motors: Sensors, Sensor Circuit Design</v>
      </c>
      <c r="H2" s="174" t="str">
        <f ca="1">IFERROR(__xludf.DUMMYFUNCTION("""COMPUTED_VALUE"""),"Whirlwind tour of industrial sensors.  The instructor is corny and the material in lecture does not prepare you for the homework or the quiz.   Several Questions on each homework come up very frequently during office hours.  Make sure to do office hours i"&amp;"f confused because those hardest questions show up on the final.   The lab is using PSoC with a thermistor.  The content for doing this is full of mistakes, half sorted in the post-edit.  Rely on slack for corrections.  Tip:  Take immaculate notes on hw/q"&amp;"uizzes.  You can use them on exam and it makes a heavy lift of 32 questions in 2 hrs easier.")</f>
        <v>Whirlwind tour of industrial sensors.  The instructor is corny and the material in lecture does not prepare you for the homework or the quiz.   Several Questions on each homework come up very frequently during office hours.  Make sure to do office hours if confused because those hardest questions show up on the final.   The lab is using PSoC with a thermistor.  The content for doing this is full of mistakes, half sorted in the post-edit.  Rely on slack for corrections.  Tip:  Take immaculate notes on hw/quizzes.  You can use them on exam and it makes a heavy lift of 32 questions in 2 hrs easier.</v>
      </c>
      <c r="I2" s="172">
        <f ca="1">IFERROR(__xludf.DUMMYFUNCTION("""COMPUTED_VALUE"""),1)</f>
        <v>1</v>
      </c>
      <c r="J2" s="172">
        <f ca="1">IFERROR(__xludf.DUMMYFUNCTION("""COMPUTED_VALUE"""),6)</f>
        <v>6</v>
      </c>
      <c r="K2" s="172"/>
      <c r="L2" s="172"/>
      <c r="M2" s="172"/>
      <c r="N2" s="172"/>
      <c r="O2" s="172"/>
      <c r="P2" s="172"/>
      <c r="Q2" s="172"/>
      <c r="R2" s="172"/>
      <c r="S2" s="172"/>
      <c r="T2" s="172"/>
      <c r="U2" s="172"/>
      <c r="V2" s="172"/>
      <c r="W2" s="172"/>
      <c r="X2" s="172"/>
      <c r="Y2" s="172"/>
      <c r="Z2" s="172"/>
      <c r="AA2" s="172"/>
    </row>
    <row r="3" spans="1:27" ht="68">
      <c r="A3" s="170" t="str">
        <f t="shared" ca="1" si="0"/>
        <v/>
      </c>
      <c r="B3" s="171" t="str">
        <f t="shared" ca="1" si="1"/>
        <v/>
      </c>
      <c r="C3" s="171" t="str">
        <f t="shared" ca="1" si="2"/>
        <v/>
      </c>
      <c r="D3" s="172">
        <f t="shared" ca="1" si="3"/>
        <v>0</v>
      </c>
      <c r="E3" s="172" t="s">
        <v>281</v>
      </c>
      <c r="F3" s="172"/>
      <c r="G3" s="174" t="str">
        <f ca="1">IFERROR(__xludf.DUMMYFUNCTION("""COMPUTED_VALUE"""),"ECEA 5360 - FPGA Design for Embedded Systems: Intro to FPGA Dsgn for ES")</f>
        <v>ECEA 5360 - FPGA Design for Embedded Systems: Intro to FPGA Dsgn for ES</v>
      </c>
      <c r="H3" s="174" t="str">
        <f ca="1">IFERROR(__xludf.DUMMYFUNCTION("""COMPUTED_VALUE"""),"Very ineffective instructor, reading off the slides and not really explaining the concepts behind. Prepare to memorize data sheets material for the quizzes and final exam.
Some quizzes had questions that were partially explained, or not at all. You'll hav"&amp;"e to go to office hours to get answers or try on your own. The problem is that I understood how to get the right answer without understanding what goes behind it. Pretty bad I'd say.
The way it is right now, this is not a course for somebody with no exper"&amp;"ience in EE/FPGA in my opinion. ")</f>
        <v xml:space="preserve">Very ineffective instructor, reading off the slides and not really explaining the concepts behind. Prepare to memorize data sheets material for the quizzes and final exam.
Some quizzes had questions that were partially explained, or not at all. You'll have to go to office hours to get answers or try on your own. The problem is that I understood how to get the right answer without understanding what goes behind it. Pretty bad I'd say.
The way it is right now, this is not a course for somebody with no experience in EE/FPGA in my opinion. </v>
      </c>
      <c r="I3" s="172">
        <f ca="1">IFERROR(__xludf.DUMMYFUNCTION("""COMPUTED_VALUE"""),1)</f>
        <v>1</v>
      </c>
      <c r="J3" s="172">
        <f ca="1">IFERROR(__xludf.DUMMYFUNCTION("""COMPUTED_VALUE"""),10)</f>
        <v>10</v>
      </c>
      <c r="K3" s="172"/>
      <c r="L3" s="172"/>
      <c r="M3" s="172"/>
      <c r="N3" s="172"/>
      <c r="O3" s="172"/>
      <c r="P3" s="172"/>
      <c r="Q3" s="172"/>
      <c r="R3" s="172"/>
      <c r="S3" s="172"/>
      <c r="T3" s="172"/>
      <c r="U3" s="172"/>
      <c r="V3" s="172"/>
      <c r="W3" s="172"/>
      <c r="X3" s="172"/>
      <c r="Y3" s="172"/>
      <c r="Z3" s="172"/>
      <c r="AA3" s="172"/>
    </row>
    <row r="4" spans="1:27" ht="51">
      <c r="A4" s="170" t="str">
        <f t="shared" ca="1" si="0"/>
        <v/>
      </c>
      <c r="B4" s="171" t="str">
        <f t="shared" ca="1" si="1"/>
        <v/>
      </c>
      <c r="C4" s="171" t="str">
        <f t="shared" ca="1" si="2"/>
        <v/>
      </c>
      <c r="D4" s="172">
        <f t="shared" ca="1" si="3"/>
        <v>0</v>
      </c>
      <c r="E4" s="172" t="s">
        <v>281</v>
      </c>
      <c r="F4" s="172"/>
      <c r="G4" s="174" t="str">
        <f ca="1">IFERROR(__xludf.DUMMYFUNCTION("""COMPUTED_VALUE"""),"ECEA 5360 - FPGA Design for Embedded Systems: Intro to FPGA Dsgn for ES")</f>
        <v>ECEA 5360 - FPGA Design for Embedded Systems: Intro to FPGA Dsgn for ES</v>
      </c>
      <c r="H4" s="174" t="str">
        <f ca="1">IFERROR(__xludf.DUMMYFUNCTION("""COMPUTED_VALUE"""),"Quizzes were straight forward if you follow the lectures. Exam was very memorization heavy, all about device datasheets contents.")</f>
        <v>Quizzes were straight forward if you follow the lectures. Exam was very memorization heavy, all about device datasheets contents.</v>
      </c>
      <c r="I4" s="172">
        <f ca="1">IFERROR(__xludf.DUMMYFUNCTION("""COMPUTED_VALUE"""),1)</f>
        <v>1</v>
      </c>
      <c r="J4" s="172">
        <f ca="1">IFERROR(__xludf.DUMMYFUNCTION("""COMPUTED_VALUE"""),10)</f>
        <v>10</v>
      </c>
      <c r="K4" s="172"/>
      <c r="L4" s="172"/>
      <c r="M4" s="172"/>
      <c r="N4" s="172"/>
      <c r="O4" s="172"/>
      <c r="P4" s="172"/>
      <c r="Q4" s="172"/>
      <c r="R4" s="172"/>
      <c r="S4" s="172"/>
      <c r="T4" s="172"/>
      <c r="U4" s="172"/>
      <c r="V4" s="172"/>
      <c r="W4" s="172"/>
      <c r="X4" s="172"/>
      <c r="Y4" s="172"/>
      <c r="Z4" s="172"/>
      <c r="AA4" s="172"/>
    </row>
    <row r="5" spans="1:27" ht="51">
      <c r="A5" s="170" t="str">
        <f t="shared" ca="1" si="0"/>
        <v/>
      </c>
      <c r="B5" s="171" t="str">
        <f t="shared" ca="1" si="1"/>
        <v/>
      </c>
      <c r="C5" s="171" t="str">
        <f t="shared" ca="1" si="2"/>
        <v/>
      </c>
      <c r="D5" s="172">
        <f t="shared" ca="1" si="3"/>
        <v>0</v>
      </c>
      <c r="E5" s="172" t="s">
        <v>281</v>
      </c>
      <c r="F5" s="172"/>
      <c r="G5" s="174" t="str">
        <f ca="1">IFERROR(__xludf.DUMMYFUNCTION("""COMPUTED_VALUE"""),"ECEA 5360 - FPGA Design for Embedded Systems: Intro to FPGA Dsgn for ES")</f>
        <v>ECEA 5360 - FPGA Design for Embedded Systems: Intro to FPGA Dsgn for ES</v>
      </c>
      <c r="H5" s="174" t="str">
        <f ca="1">IFERROR(__xludf.DUMMYFUNCTION("""COMPUTED_VALUE"""),"A basic understanding of digital logic will be beneficial prior to starting. Assignments are lazily put together mostly following the lecture videos step by step and submitting screenshots. My only advice is to start looking at the assignments and quizzes"&amp;" early on so you have time to retake them as much as you need. ")</f>
        <v xml:space="preserve">A basic understanding of digital logic will be beneficial prior to starting. Assignments are lazily put together mostly following the lecture videos step by step and submitting screenshots. My only advice is to start looking at the assignments and quizzes early on so you have time to retake them as much as you need. </v>
      </c>
      <c r="I5" s="172">
        <f ca="1">IFERROR(__xludf.DUMMYFUNCTION("""COMPUTED_VALUE"""),1)</f>
        <v>1</v>
      </c>
      <c r="J5" s="172">
        <f ca="1">IFERROR(__xludf.DUMMYFUNCTION("""COMPUTED_VALUE"""),10)</f>
        <v>10</v>
      </c>
      <c r="K5" s="172"/>
      <c r="L5" s="172"/>
      <c r="M5" s="172"/>
      <c r="N5" s="172"/>
      <c r="O5" s="172"/>
      <c r="P5" s="172"/>
      <c r="Q5" s="172"/>
      <c r="R5" s="172"/>
      <c r="S5" s="172"/>
      <c r="T5" s="172"/>
      <c r="U5" s="172"/>
      <c r="V5" s="172"/>
      <c r="W5" s="172"/>
      <c r="X5" s="172"/>
      <c r="Y5" s="172"/>
      <c r="Z5" s="172"/>
      <c r="AA5" s="172"/>
    </row>
    <row r="6" spans="1:27" ht="51">
      <c r="A6" s="170" t="str">
        <f t="shared" ca="1" si="0"/>
        <v/>
      </c>
      <c r="B6" s="171" t="str">
        <f t="shared" ca="1" si="1"/>
        <v/>
      </c>
      <c r="C6" s="171" t="str">
        <f t="shared" ca="1" si="2"/>
        <v/>
      </c>
      <c r="D6" s="172">
        <f t="shared" ca="1" si="3"/>
        <v>0</v>
      </c>
      <c r="E6" s="172" t="s">
        <v>281</v>
      </c>
      <c r="F6" s="172"/>
      <c r="G6" s="174" t="str">
        <f ca="1">IFERROR(__xludf.DUMMYFUNCTION("""COMPUTED_VALUE"""),"ECEA 5361 - FPGA Design for Embedded Systems: Hardwr Desc Lang FPGA Dsgn")</f>
        <v>ECEA 5361 - FPGA Design for Embedded Systems: Hardwr Desc Lang FPGA Dsgn</v>
      </c>
      <c r="H6" s="174" t="str">
        <f ca="1">IFERROR(__xludf.DUMMYFUNCTION("""COMPUTED_VALUE"""),"Good amount of verilog and vhdl usage in this class. Concepts explained well in lectures. Quizes help for studying for final. Many multiple part questions with no partial credit.")</f>
        <v>Good amount of verilog and vhdl usage in this class. Concepts explained well in lectures. Quizes help for studying for final. Many multiple part questions with no partial credit.</v>
      </c>
      <c r="I6" s="172">
        <f ca="1">IFERROR(__xludf.DUMMYFUNCTION("""COMPUTED_VALUE"""),1)</f>
        <v>1</v>
      </c>
      <c r="J6" s="172">
        <f ca="1">IFERROR(__xludf.DUMMYFUNCTION("""COMPUTED_VALUE"""),11)</f>
        <v>11</v>
      </c>
      <c r="K6" s="172"/>
      <c r="L6" s="172"/>
      <c r="M6" s="172"/>
      <c r="N6" s="172"/>
      <c r="O6" s="172"/>
      <c r="P6" s="172"/>
      <c r="Q6" s="172"/>
      <c r="R6" s="172"/>
      <c r="S6" s="172"/>
      <c r="T6" s="172"/>
      <c r="U6" s="172"/>
      <c r="V6" s="172"/>
      <c r="W6" s="172"/>
      <c r="X6" s="172"/>
      <c r="Y6" s="172"/>
      <c r="Z6" s="172"/>
      <c r="AA6" s="172"/>
    </row>
    <row r="7" spans="1:27" ht="51">
      <c r="A7" s="170" t="str">
        <f t="shared" ca="1" si="0"/>
        <v/>
      </c>
      <c r="B7" s="171" t="str">
        <f t="shared" ca="1" si="1"/>
        <v/>
      </c>
      <c r="C7" s="171" t="str">
        <f t="shared" ca="1" si="2"/>
        <v/>
      </c>
      <c r="D7" s="172">
        <f t="shared" ca="1" si="3"/>
        <v>0</v>
      </c>
      <c r="E7" s="172" t="s">
        <v>281</v>
      </c>
      <c r="F7" s="172"/>
      <c r="G7" s="174" t="str">
        <f ca="1">IFERROR(__xludf.DUMMYFUNCTION("""COMPUTED_VALUE"""),"ECEA 5362 - FPGA Design for Embedded Systems: FPGA Softcore Proc, IP Acq")</f>
        <v>ECEA 5362 - FPGA Design for Embedded Systems: FPGA Softcore Proc, IP Acq</v>
      </c>
      <c r="H7" s="174" t="str">
        <f ca="1">IFERROR(__xludf.DUMMYFUNCTION("""COMPUTED_VALUE"""),"just review the quizes")</f>
        <v>just review the quizes</v>
      </c>
      <c r="I7" s="172">
        <f ca="1">IFERROR(__xludf.DUMMYFUNCTION("""COMPUTED_VALUE"""),1)</f>
        <v>1</v>
      </c>
      <c r="J7" s="172">
        <f ca="1">IFERROR(__xludf.DUMMYFUNCTION("""COMPUTED_VALUE"""),12)</f>
        <v>12</v>
      </c>
      <c r="K7" s="172"/>
      <c r="L7" s="172"/>
      <c r="M7" s="172"/>
      <c r="N7" s="172"/>
      <c r="O7" s="172"/>
      <c r="P7" s="172"/>
      <c r="Q7" s="172"/>
      <c r="R7" s="172"/>
      <c r="S7" s="172"/>
      <c r="T7" s="172"/>
      <c r="U7" s="172"/>
      <c r="V7" s="172"/>
      <c r="W7" s="172"/>
      <c r="X7" s="172"/>
      <c r="Y7" s="172"/>
      <c r="Z7" s="172"/>
      <c r="AA7" s="172"/>
    </row>
    <row r="8" spans="1:27" ht="51">
      <c r="A8" s="170" t="str">
        <f t="shared" ca="1" si="0"/>
        <v/>
      </c>
      <c r="B8" s="171" t="str">
        <f t="shared" ca="1" si="1"/>
        <v/>
      </c>
      <c r="C8" s="171" t="str">
        <f t="shared" ca="1" si="2"/>
        <v/>
      </c>
      <c r="D8" s="172">
        <f t="shared" ca="1" si="3"/>
        <v>0</v>
      </c>
      <c r="E8" s="172" t="s">
        <v>281</v>
      </c>
      <c r="F8" s="172"/>
      <c r="G8" s="174" t="str">
        <f ca="1">IFERROR(__xludf.DUMMYFUNCTION("""COMPUTED_VALUE"""),"ECEA 5363 - FPGA Design for Embedded Systems: Building FPGA Projects")</f>
        <v>ECEA 5363 - FPGA Design for Embedded Systems: Building FPGA Projects</v>
      </c>
      <c r="H8" s="174" t="str">
        <f ca="1">IFERROR(__xludf.DUMMYFUNCTION("""COMPUTED_VALUE"""),"comfort in Verilog helps")</f>
        <v>comfort in Verilog helps</v>
      </c>
      <c r="I8" s="172">
        <f ca="1">IFERROR(__xludf.DUMMYFUNCTION("""COMPUTED_VALUE"""),1)</f>
        <v>1</v>
      </c>
      <c r="J8" s="172">
        <f ca="1">IFERROR(__xludf.DUMMYFUNCTION("""COMPUTED_VALUE"""),13)</f>
        <v>13</v>
      </c>
      <c r="K8" s="172"/>
      <c r="L8" s="172"/>
      <c r="M8" s="172"/>
      <c r="N8" s="172"/>
      <c r="O8" s="172"/>
      <c r="P8" s="172"/>
      <c r="Q8" s="172"/>
      <c r="R8" s="172"/>
      <c r="S8" s="172"/>
      <c r="T8" s="172"/>
      <c r="U8" s="172"/>
      <c r="V8" s="172"/>
      <c r="W8" s="172"/>
      <c r="X8" s="172"/>
      <c r="Y8" s="172"/>
      <c r="Z8" s="172"/>
      <c r="AA8" s="172"/>
    </row>
    <row r="9" spans="1:27" ht="34">
      <c r="A9" s="170" t="str">
        <f t="shared" ca="1" si="0"/>
        <v/>
      </c>
      <c r="B9" s="171" t="str">
        <f t="shared" ca="1" si="1"/>
        <v/>
      </c>
      <c r="C9" s="171" t="str">
        <f t="shared" ca="1" si="2"/>
        <v/>
      </c>
      <c r="D9" s="172">
        <f t="shared" ca="1" si="3"/>
        <v>0</v>
      </c>
      <c r="E9" s="172" t="s">
        <v>281</v>
      </c>
      <c r="F9" s="172"/>
      <c r="G9" s="174" t="str">
        <f ca="1">IFERROR(__xludf.DUMMYFUNCTION("""COMPUTED_VALUE"""),"ECEA 5385 - Industrial IoT Markets and Security")</f>
        <v>ECEA 5385 - Industrial IoT Markets and Security</v>
      </c>
      <c r="H9" s="174" t="str">
        <f ca="1">IFERROR(__xludf.DUMMYFUNCTION("""COMPUTED_VALUE"""),"Very easy class. Mostly a review of a market research study. It also helps you learn some jargon regarding encryption.")</f>
        <v>Very easy class. Mostly a review of a market research study. It also helps you learn some jargon regarding encryption.</v>
      </c>
      <c r="I9" s="172">
        <f ca="1">IFERROR(__xludf.DUMMYFUNCTION("""COMPUTED_VALUE"""),1)</f>
        <v>1</v>
      </c>
      <c r="J9" s="172">
        <f ca="1">IFERROR(__xludf.DUMMYFUNCTION("""COMPUTED_VALUE"""),14)</f>
        <v>14</v>
      </c>
      <c r="K9" s="172"/>
      <c r="L9" s="172"/>
      <c r="M9" s="172"/>
      <c r="N9" s="172"/>
      <c r="O9" s="172"/>
      <c r="P9" s="172"/>
      <c r="Q9" s="172"/>
      <c r="R9" s="172"/>
      <c r="S9" s="172"/>
      <c r="T9" s="172"/>
      <c r="U9" s="172"/>
      <c r="V9" s="172"/>
      <c r="W9" s="172"/>
      <c r="X9" s="172"/>
      <c r="Y9" s="172"/>
      <c r="Z9" s="172"/>
      <c r="AA9" s="172"/>
    </row>
    <row r="10" spans="1:27" ht="68">
      <c r="A10" s="170" t="str">
        <f t="shared" ca="1" si="0"/>
        <v/>
      </c>
      <c r="B10" s="171" t="str">
        <f t="shared" ca="1" si="1"/>
        <v/>
      </c>
      <c r="C10" s="171" t="str">
        <f t="shared" ca="1" si="2"/>
        <v/>
      </c>
      <c r="D10" s="172">
        <f t="shared" ca="1" si="3"/>
        <v>0</v>
      </c>
      <c r="E10" s="172" t="s">
        <v>281</v>
      </c>
      <c r="F10" s="172"/>
      <c r="G10" s="174" t="str">
        <f ca="1">IFERROR(__xludf.DUMMYFUNCTION("""COMPUTED_VALUE"""),"ECEA 5385 - Industrial IoT Markets and Security")</f>
        <v>ECEA 5385 - Industrial IoT Markets and Security</v>
      </c>
      <c r="H10" s="174" t="str">
        <f ca="1">IFERROR(__xludf.DUMMYFUNCTION("""COMPUTED_VALUE"""),"Prep: None needed, the content from lectures will be what you need for quizzes/final (theory).    Assignments and Exams: Quizzes with ability to retake, Final, and Peer reviewed paper.  If you listen to lectures and take advantage of re-takes, very easy. "&amp;" Final follows quizzes and is mostly trivia.   Tips for future students:  Have fun with the paper.  This is where I got into praxis (actually doing something) using the Cryptopals challenges and it taught me a lot about the limitations of AES.  Other rese"&amp;"arch topics are possible and you get out what you put in.   This class is easily stack-able with others.")</f>
        <v>Prep: None needed, the content from lectures will be what you need for quizzes/final (theory).    Assignments and Exams: Quizzes with ability to retake, Final, and Peer reviewed paper.  If you listen to lectures and take advantage of re-takes, very easy.  Final follows quizzes and is mostly trivia.   Tips for future students:  Have fun with the paper.  This is where I got into praxis (actually doing something) using the Cryptopals challenges and it taught me a lot about the limitations of AES.  Other research topics are possible and you get out what you put in.   This class is easily stack-able with others.</v>
      </c>
      <c r="I10" s="172">
        <f ca="1">IFERROR(__xludf.DUMMYFUNCTION("""COMPUTED_VALUE"""),1)</f>
        <v>1</v>
      </c>
      <c r="J10" s="172">
        <f ca="1">IFERROR(__xludf.DUMMYFUNCTION("""COMPUTED_VALUE"""),14)</f>
        <v>14</v>
      </c>
      <c r="K10" s="172"/>
      <c r="L10" s="172"/>
      <c r="M10" s="172"/>
      <c r="N10" s="172"/>
      <c r="O10" s="172"/>
      <c r="P10" s="172"/>
      <c r="Q10" s="172"/>
      <c r="R10" s="172"/>
      <c r="S10" s="172"/>
      <c r="T10" s="172"/>
      <c r="U10" s="172"/>
      <c r="V10" s="172"/>
      <c r="W10" s="172"/>
      <c r="X10" s="172"/>
      <c r="Y10" s="172"/>
      <c r="Z10" s="172"/>
      <c r="AA10" s="172"/>
    </row>
    <row r="11" spans="1:27" ht="34">
      <c r="A11" s="170" t="str">
        <f t="shared" ca="1" si="0"/>
        <v/>
      </c>
      <c r="B11" s="171" t="str">
        <f t="shared" ca="1" si="1"/>
        <v/>
      </c>
      <c r="C11" s="171" t="str">
        <f t="shared" ca="1" si="2"/>
        <v/>
      </c>
      <c r="D11" s="172">
        <f t="shared" ca="1" si="3"/>
        <v>0</v>
      </c>
      <c r="E11" s="172" t="s">
        <v>281</v>
      </c>
      <c r="F11" s="172"/>
      <c r="G11" s="174" t="str">
        <f ca="1">IFERROR(__xludf.DUMMYFUNCTION("""COMPUTED_VALUE"""),"ECEA 5387 - Developing Industrial IoT: Modeling and Debugging Embed Sys")</f>
        <v>ECEA 5387 - Developing Industrial IoT: Modeling and Debugging Embed Sys</v>
      </c>
      <c r="H11" s="174" t="str">
        <f ca="1">IFERROR(__xludf.DUMMYFUNCTION("""COMPUTED_VALUE"""),"Course Prep: Good to have previous two courses, but could do this standalone.  Assignments and Exams: Just quizzes and the final.  Final follows same material from quizzes.  Tips for future students: Just go through the content and go over weekly quizzes "&amp;"a couple of times before the final.   I finished in 2 weeks.")</f>
        <v>Course Prep: Good to have previous two courses, but could do this standalone.  Assignments and Exams: Just quizzes and the final.  Final follows same material from quizzes.  Tips for future students: Just go through the content and go over weekly quizzes a couple of times before the final.   I finished in 2 weeks.</v>
      </c>
      <c r="I11" s="172">
        <f ca="1">IFERROR(__xludf.DUMMYFUNCTION("""COMPUTED_VALUE"""),1)</f>
        <v>1</v>
      </c>
      <c r="J11" s="172">
        <f ca="1">IFERROR(__xludf.DUMMYFUNCTION("""COMPUTED_VALUE"""),16)</f>
        <v>16</v>
      </c>
      <c r="K11" s="172"/>
      <c r="L11" s="172"/>
      <c r="M11" s="172"/>
      <c r="N11" s="172"/>
      <c r="O11" s="172"/>
      <c r="P11" s="172"/>
      <c r="Q11" s="172"/>
      <c r="R11" s="172"/>
      <c r="S11" s="172"/>
      <c r="T11" s="172"/>
      <c r="U11" s="172"/>
      <c r="V11" s="172"/>
      <c r="W11" s="172"/>
      <c r="X11" s="172"/>
      <c r="Y11" s="172"/>
      <c r="Z11" s="172"/>
      <c r="AA11" s="172"/>
    </row>
    <row r="12" spans="1:27" ht="170">
      <c r="A12" s="170" t="str">
        <f t="shared" ca="1" si="0"/>
        <v/>
      </c>
      <c r="B12" s="171" t="str">
        <f t="shared" ca="1" si="1"/>
        <v/>
      </c>
      <c r="C12" s="171" t="str">
        <f t="shared" ca="1" si="2"/>
        <v>You need to take Semiconductor Devices first. Expect to learn more from the homework than the lectures. Treat the applied math separately than the theory, learn the theory first through some YouTube videos.
The final will kill you. I had a 100% on every homework assignment and I got a 60% on the final, it was that hard. Get very comfortable using Desmos Scientific Calculator as that is all you are allowed to use on the final.</v>
      </c>
      <c r="D12" s="172">
        <f t="shared" ca="1" si="3"/>
        <v>1</v>
      </c>
      <c r="E12" s="172">
        <v>56</v>
      </c>
      <c r="F12" s="172"/>
      <c r="G12" s="174" t="str">
        <f ca="1">IFERROR(__xludf.DUMMYFUNCTION("""COMPUTED_VALUE"""),"ECEA 5700 - Power Electronics: Introduction to Power Electronics")</f>
        <v>ECEA 5700 - Power Electronics: Introduction to Power Electronics</v>
      </c>
      <c r="H12" s="174" t="str">
        <f ca="1">IFERROR(__xludf.DUMMYFUNCTION("""COMPUTED_VALUE"""),"Course prep - basic understanding of semiconductors including FETs and diodes, refresher on transformers are given during the lectures so if you don't remember much about them the course will provide that. To truly succeed, refresh yourself on the physica"&amp;"lity of inductors and capacitors and how they operate, along with basic equations such as V_L(t)=L*di/dt. 
Assignments: Each homework took a lot of thinking through. They are about 10-12 questions each, but you get unlimited attempts on each. Most questi"&amp;"ons are tied together (ie answer to question 4 is needed to be able to answer question 5). Exam was very similar to homeworks, and a practice exam is given that is representative of what would be on the final (different circuits, but same applied techniqu"&amp;"es)
Tips: All of the homeworks and lectures are very dependent on one another. The content you learn carries over to the next round of content, so be sure to work through truly understanding the info you learn if you want to succeed!")</f>
        <v>Course prep - basic understanding of semiconductors including FETs and diodes, refresher on transformers are given during the lectures so if you don't remember much about them the course will provide that. To truly succeed, refresh yourself on the physicality of inductors and capacitors and how they operate, along with basic equations such as V_L(t)=L*di/dt. 
Assignments: Each homework took a lot of thinking through. They are about 10-12 questions each, but you get unlimited attempts on each. Most questions are tied together (ie answer to question 4 is needed to be able to answer question 5). Exam was very similar to homeworks, and a practice exam is given that is representative of what would be on the final (different circuits, but same applied techniques)
Tips: All of the homeworks and lectures are very dependent on one another. The content you learn carries over to the next round of content, so be sure to work through truly understanding the info you learn if you want to succeed!</v>
      </c>
      <c r="I12" s="172">
        <f ca="1">IFERROR(__xludf.DUMMYFUNCTION("""COMPUTED_VALUE"""),1)</f>
        <v>1</v>
      </c>
      <c r="J12" s="172">
        <f ca="1">IFERROR(__xludf.DUMMYFUNCTION("""COMPUTED_VALUE"""),30)</f>
        <v>30</v>
      </c>
      <c r="K12" s="172"/>
      <c r="L12" s="172"/>
      <c r="M12" s="172"/>
      <c r="N12" s="172"/>
      <c r="O12" s="172"/>
      <c r="P12" s="172"/>
      <c r="Q12" s="172"/>
      <c r="R12" s="172"/>
      <c r="S12" s="172"/>
      <c r="T12" s="172"/>
      <c r="U12" s="172"/>
      <c r="V12" s="172"/>
      <c r="W12" s="172"/>
      <c r="X12" s="172"/>
      <c r="Y12" s="172"/>
      <c r="Z12" s="172"/>
      <c r="AA12" s="172"/>
    </row>
    <row r="13" spans="1:27" ht="34">
      <c r="A13" s="170" t="str">
        <f t="shared" ca="1" si="0"/>
        <v/>
      </c>
      <c r="B13" s="171" t="str">
        <f t="shared" ca="1" si="1"/>
        <v/>
      </c>
      <c r="C13" s="171" t="str">
        <f t="shared" ca="1" si="2"/>
        <v/>
      </c>
      <c r="D13" s="172">
        <f t="shared" ca="1" si="3"/>
        <v>0</v>
      </c>
      <c r="E13" s="172" t="s">
        <v>281</v>
      </c>
      <c r="F13" s="172"/>
      <c r="G13" s="174" t="str">
        <f ca="1">IFERROR(__xludf.DUMMYFUNCTION("""COMPUTED_VALUE"""),"ECEA 5700 - Power Electronics: Introduction to Power Electronics")</f>
        <v>ECEA 5700 - Power Electronics: Introduction to Power Electronics</v>
      </c>
      <c r="H13" s="174" t="str">
        <f ca="1">IFERROR(__xludf.DUMMYFUNCTION("""COMPUTED_VALUE"""),"A solid background in circuit theory is needed for the power electronics sequence. Assignments and exams were fair. If you don't have a background in EE, you might find this course (and the pathway) more difficult.")</f>
        <v>A solid background in circuit theory is needed for the power electronics sequence. Assignments and exams were fair. If you don't have a background in EE, you might find this course (and the pathway) more difficult.</v>
      </c>
      <c r="I13" s="172">
        <f ca="1">IFERROR(__xludf.DUMMYFUNCTION("""COMPUTED_VALUE"""),1)</f>
        <v>1</v>
      </c>
      <c r="J13" s="172">
        <f ca="1">IFERROR(__xludf.DUMMYFUNCTION("""COMPUTED_VALUE"""),30)</f>
        <v>30</v>
      </c>
      <c r="K13" s="172"/>
      <c r="L13" s="172"/>
      <c r="M13" s="172"/>
      <c r="N13" s="172"/>
      <c r="O13" s="172"/>
      <c r="P13" s="172"/>
      <c r="Q13" s="172"/>
      <c r="R13" s="172"/>
      <c r="S13" s="172"/>
      <c r="T13" s="172"/>
      <c r="U13" s="172"/>
      <c r="V13" s="172"/>
      <c r="W13" s="172"/>
      <c r="X13" s="172"/>
      <c r="Y13" s="172"/>
      <c r="Z13" s="172"/>
      <c r="AA13" s="172"/>
    </row>
    <row r="14" spans="1:27" ht="51">
      <c r="A14" s="170" t="str">
        <f t="shared" ca="1" si="0"/>
        <v/>
      </c>
      <c r="B14" s="171" t="str">
        <f t="shared" ca="1" si="1"/>
        <v/>
      </c>
      <c r="C14" s="171" t="str">
        <f t="shared" ca="1" si="2"/>
        <v/>
      </c>
      <c r="D14" s="172">
        <f t="shared" ca="1" si="3"/>
        <v>0</v>
      </c>
      <c r="E14" s="172" t="s">
        <v>281</v>
      </c>
      <c r="F14" s="172"/>
      <c r="G14" s="174" t="str">
        <f ca="1">IFERROR(__xludf.DUMMYFUNCTION("""COMPUTED_VALUE"""),"ECEA 5700 - Power Electronics: Introduction to Power Electronics")</f>
        <v>ECEA 5700 - Power Electronics: Introduction to Power Electronics</v>
      </c>
      <c r="H14" s="174" t="str">
        <f ca="1">IFERROR(__xludf.DUMMYFUNCTION("""COMPUTED_VALUE"""),"I came in with zero electrical engineering knowledge but was able to do fairly well by having strong math skills and doing independent review of basic electrical engineering concepts. The homework was significantly harder than the exam. Got stuck on some "&amp;"homework questions and spent significant amount of time working on that, but if you get through the homework the exam is easy. ")</f>
        <v xml:space="preserve">I came in with zero electrical engineering knowledge but was able to do fairly well by having strong math skills and doing independent review of basic electrical engineering concepts. The homework was significantly harder than the exam. Got stuck on some homework questions and spent significant amount of time working on that, but if you get through the homework the exam is easy. </v>
      </c>
      <c r="I14" s="172">
        <f ca="1">IFERROR(__xludf.DUMMYFUNCTION("""COMPUTED_VALUE"""),1)</f>
        <v>1</v>
      </c>
      <c r="J14" s="172">
        <f ca="1">IFERROR(__xludf.DUMMYFUNCTION("""COMPUTED_VALUE"""),30)</f>
        <v>30</v>
      </c>
      <c r="K14" s="172"/>
      <c r="L14" s="172"/>
      <c r="M14" s="172"/>
      <c r="N14" s="172"/>
      <c r="O14" s="172"/>
      <c r="P14" s="172"/>
      <c r="Q14" s="172"/>
      <c r="R14" s="172"/>
      <c r="S14" s="172"/>
      <c r="T14" s="172"/>
      <c r="U14" s="172"/>
      <c r="V14" s="172"/>
      <c r="W14" s="172"/>
      <c r="X14" s="172"/>
      <c r="Y14" s="172"/>
      <c r="Z14" s="172"/>
      <c r="AA14" s="172"/>
    </row>
    <row r="15" spans="1:27" ht="119">
      <c r="A15" s="170" t="str">
        <f t="shared" ca="1" si="0"/>
        <v/>
      </c>
      <c r="B15" s="171" t="str">
        <f t="shared" ca="1" si="1"/>
        <v/>
      </c>
      <c r="C15" s="171" t="str">
        <f t="shared" ca="1" si="2"/>
        <v/>
      </c>
      <c r="D15" s="172">
        <f t="shared" ca="1" si="3"/>
        <v>0</v>
      </c>
      <c r="E15" s="172" t="s">
        <v>281</v>
      </c>
      <c r="F15" s="172"/>
      <c r="G15" s="174" t="str">
        <f ca="1">IFERROR(__xludf.DUMMYFUNCTION("""COMPUTED_VALUE"""),"ECEA 5700 - Power Electronics: Introduction to Power Electronics")</f>
        <v>ECEA 5700 - Power Electronics: Introduction to Power Electronics</v>
      </c>
      <c r="H15" s="174" t="str">
        <f ca="1">IFERROR(__xludf.DUMMYFUNCTION("""COMPUTED_VALUE"""),"1. Good to have a sophomore EE background in circuit analysis (KCL, KVL) and knowing calculus I and II at least to have a better understanding of the algebra involving inductors and capacitors. A physics background in electromagnetism would be good to hav"&amp;"e although not necessary.
2. The assignments were a lot tougher than the final exam. I think the process of figuring out the assignments and getting help will get the student to better understand how to arrive to that answer and will prepare them for the "&amp;"final exam.
3. Make sure your algebraic manipulations (solving quadratic equations, etc.) are good to minimize frustration when trying to input formulas into the Coursera platform. Also attend office hours and try to get help from other students who have "&amp;"taken the course before as it can be very frustrating not knowing if your approach/technique is wrong or if it's merely a typo from inputting your answer into Coursera")</f>
        <v>1. Good to have a sophomore EE background in circuit analysis (KCL, KVL) and knowing calculus I and II at least to have a better understanding of the algebra involving inductors and capacitors. A physics background in electromagnetism would be good to have although not necessary.
2. The assignments were a lot tougher than the final exam. I think the process of figuring out the assignments and getting help will get the student to better understand how to arrive to that answer and will prepare them for the final exam.
3. Make sure your algebraic manipulations (solving quadratic equations, etc.) are good to minimize frustration when trying to input formulas into the Coursera platform. Also attend office hours and try to get help from other students who have taken the course before as it can be very frustrating not knowing if your approach/technique is wrong or if it's merely a typo from inputting your answer into Coursera</v>
      </c>
      <c r="I15" s="172">
        <f ca="1">IFERROR(__xludf.DUMMYFUNCTION("""COMPUTED_VALUE"""),1)</f>
        <v>1</v>
      </c>
      <c r="J15" s="172">
        <f ca="1">IFERROR(__xludf.DUMMYFUNCTION("""COMPUTED_VALUE"""),30)</f>
        <v>30</v>
      </c>
      <c r="K15" s="172"/>
      <c r="L15" s="172"/>
      <c r="M15" s="172"/>
      <c r="N15" s="172"/>
      <c r="O15" s="172"/>
      <c r="P15" s="172"/>
      <c r="Q15" s="172"/>
      <c r="R15" s="172"/>
      <c r="S15" s="172"/>
      <c r="T15" s="172"/>
      <c r="U15" s="172"/>
      <c r="V15" s="172"/>
      <c r="W15" s="172"/>
      <c r="X15" s="172"/>
      <c r="Y15" s="172"/>
      <c r="Z15" s="172"/>
      <c r="AA15" s="172"/>
    </row>
    <row r="16" spans="1:27" ht="34">
      <c r="A16" s="170" t="str">
        <f t="shared" ca="1" si="0"/>
        <v/>
      </c>
      <c r="B16" s="171" t="str">
        <f t="shared" ca="1" si="1"/>
        <v/>
      </c>
      <c r="C16" s="171" t="str">
        <f t="shared" ca="1" si="2"/>
        <v/>
      </c>
      <c r="D16" s="172">
        <f t="shared" ca="1" si="3"/>
        <v>0</v>
      </c>
      <c r="E16" s="172" t="s">
        <v>281</v>
      </c>
      <c r="F16" s="172"/>
      <c r="G16" s="174" t="str">
        <f ca="1">IFERROR(__xludf.DUMMYFUNCTION("""COMPUTED_VALUE"""),"ECEA 5702 - Power Electronics: Converter Control")</f>
        <v>ECEA 5702 - Power Electronics: Converter Control</v>
      </c>
      <c r="H16" s="174" t="str">
        <f ca="1">IFERROR(__xludf.DUMMYFUNCTION("""COMPUTED_VALUE"""),"An understanding of the basics of control theory is strongly recommended. This is the hardest course in the power electronics pathway. Assignments and exam are difficult, but still fair if you devote time to studying. ")</f>
        <v xml:space="preserve">An understanding of the basics of control theory is strongly recommended. This is the hardest course in the power electronics pathway. Assignments and exam are difficult, but still fair if you devote time to studying. </v>
      </c>
      <c r="I16" s="172">
        <f ca="1">IFERROR(__xludf.DUMMYFUNCTION("""COMPUTED_VALUE"""),1)</f>
        <v>1</v>
      </c>
      <c r="J16" s="172">
        <f ca="1">IFERROR(__xludf.DUMMYFUNCTION("""COMPUTED_VALUE"""),32)</f>
        <v>32</v>
      </c>
      <c r="K16" s="172"/>
      <c r="L16" s="172"/>
      <c r="M16" s="172"/>
      <c r="N16" s="172"/>
      <c r="O16" s="172"/>
      <c r="P16" s="172"/>
      <c r="Q16" s="172"/>
      <c r="R16" s="172"/>
      <c r="S16" s="172"/>
      <c r="T16" s="172"/>
      <c r="U16" s="172"/>
      <c r="V16" s="172"/>
      <c r="W16" s="172"/>
      <c r="X16" s="172"/>
      <c r="Y16" s="172"/>
      <c r="Z16" s="172"/>
      <c r="AA16" s="172"/>
    </row>
    <row r="17" spans="1:27" ht="34">
      <c r="A17" s="170" t="str">
        <f t="shared" ca="1" si="0"/>
        <v/>
      </c>
      <c r="B17" s="171" t="str">
        <f t="shared" ca="1" si="1"/>
        <v/>
      </c>
      <c r="C17" s="171" t="str">
        <f t="shared" ca="1" si="2"/>
        <v>Course prep - basic understanding of semiconductors including FETs and diodes, refresher on transformers are given during the lectures so if you don't remember much about them the course will provide that. To truly succeed, refresh yourself on the physicality of inductors and capacitors and how they operate, along with basic equations such as V_L(t)=L*di/dt. 
Assignments: Each homework took a lot of thinking through. They are about 10-12 questions each, but you get unlimited attempts on each. Most questions are tied together (ie answer to question 4 is needed to be able to answer question 5). Exam was very similar to homeworks, and a practice exam is given that is representative of what would be on the final (different circuits, but same applied techniques)
Tips: All of the homeworks and lectures are very dependent on one another. The content you learn carries over to the next round of content, so be sure to work through truly understanding the info you learn if you want to succeed!</v>
      </c>
      <c r="D17" s="172">
        <f t="shared" ca="1" si="3"/>
        <v>1</v>
      </c>
      <c r="E17" s="172">
        <v>30</v>
      </c>
      <c r="F17" s="172"/>
      <c r="G17" s="174" t="str">
        <f ca="1">IFERROR(__xludf.DUMMYFUNCTION("""COMPUTED_VALUE"""),"ECEA 5702 - Power Electronics: Converter Control")</f>
        <v>ECEA 5702 - Power Electronics: Converter Control</v>
      </c>
      <c r="H17" s="174" t="str">
        <f ca="1">IFERROR(__xludf.DUMMYFUNCTION("""COMPUTED_VALUE"""),"Prior course covers all you need to know")</f>
        <v>Prior course covers all you need to know</v>
      </c>
      <c r="I17" s="172">
        <f ca="1">IFERROR(__xludf.DUMMYFUNCTION("""COMPUTED_VALUE"""),1)</f>
        <v>1</v>
      </c>
      <c r="J17" s="172">
        <f ca="1">IFERROR(__xludf.DUMMYFUNCTION("""COMPUTED_VALUE"""),32)</f>
        <v>32</v>
      </c>
      <c r="K17" s="172"/>
      <c r="L17" s="172"/>
      <c r="M17" s="172"/>
      <c r="N17" s="172"/>
      <c r="O17" s="172"/>
      <c r="P17" s="172"/>
      <c r="Q17" s="172"/>
      <c r="R17" s="172"/>
      <c r="S17" s="172"/>
      <c r="T17" s="172"/>
      <c r="U17" s="172"/>
      <c r="V17" s="172"/>
      <c r="W17" s="172"/>
      <c r="X17" s="172"/>
      <c r="Y17" s="172"/>
      <c r="Z17" s="172"/>
      <c r="AA17" s="172"/>
    </row>
    <row r="18" spans="1:27" ht="153">
      <c r="A18" s="170" t="str">
        <f t="shared" ca="1" si="0"/>
        <v/>
      </c>
      <c r="B18" s="171" t="str">
        <f t="shared" ca="1" si="1"/>
        <v/>
      </c>
      <c r="C18" s="171" t="str">
        <f t="shared" ca="1" si="2"/>
        <v/>
      </c>
      <c r="D18" s="172">
        <f t="shared" ca="1" si="3"/>
        <v>0</v>
      </c>
      <c r="E18" s="172" t="s">
        <v>281</v>
      </c>
      <c r="F18" s="172"/>
      <c r="G18" s="174" t="str">
        <f ca="1">IFERROR(__xludf.DUMMYFUNCTION("""COMPUTED_VALUE"""),"ECEA 5705 - Modeling, Control of Power Elec: Avged-Sw Modeling and Sim")</f>
        <v>ECEA 5705 - Modeling, Control of Power Elec: Avged-Sw Modeling and Sim</v>
      </c>
      <c r="H18" s="174" t="str">
        <f ca="1">IFERROR(__xludf.DUMMYFUNCTION("""COMPUTED_VALUE"""),"Course Prep: Make sure that you really understood the material from ECEA 5702, it is fundamental for this course. Other than that, I would recommend some revision of: operational amplifiers (ideal opamp, practical opamp, feedback and transfer functions), "&amp;"norton and thevenin's theorem, the properties of poles, zeroes, RHP zeroes, etc. 
Assignments and exams: Assignments for this module have a heavy simulation (matlab and ltspice) component. The exam is challenging but as long as you have mastered the feed"&amp;"back theorem and can work your way through obtaining the averaged-switch models then you will be fine.
Tips: If you haven't downloaded your copy of the book (fundamental of power electronics, springer) then you should do it now. It can be extremely helpf"&amp;"ul for complementing the video lectures and it has some examples not covered in the videos that can help you out a lot if you hit a roadblock when trying to solve the assignment questions related to null double injection. 
")</f>
        <v xml:space="preserve">Course Prep: Make sure that you really understood the material from ECEA 5702, it is fundamental for this course. Other than that, I would recommend some revision of: operational amplifiers (ideal opamp, practical opamp, feedback and transfer functions), norton and thevenin's theorem, the properties of poles, zeroes, RHP zeroes, etc. 
Assignments and exams: Assignments for this module have a heavy simulation (matlab and ltspice) component. The exam is challenging but as long as you have mastered the feedback theorem and can work your way through obtaining the averaged-switch models then you will be fine.
Tips: If you haven't downloaded your copy of the book (fundamental of power electronics, springer) then you should do it now. It can be extremely helpful for complementing the video lectures and it has some examples not covered in the videos that can help you out a lot if you hit a roadblock when trying to solve the assignment questions related to null double injection. 
</v>
      </c>
      <c r="I18" s="172">
        <f ca="1">IFERROR(__xludf.DUMMYFUNCTION("""COMPUTED_VALUE"""),1)</f>
        <v>1</v>
      </c>
      <c r="J18" s="172">
        <f ca="1">IFERROR(__xludf.DUMMYFUNCTION("""COMPUTED_VALUE"""),34)</f>
        <v>34</v>
      </c>
      <c r="K18" s="172"/>
      <c r="L18" s="172"/>
      <c r="M18" s="172"/>
      <c r="N18" s="172"/>
      <c r="O18" s="172"/>
      <c r="P18" s="172"/>
      <c r="Q18" s="172"/>
      <c r="R18" s="172"/>
      <c r="S18" s="172"/>
      <c r="T18" s="172"/>
      <c r="U18" s="172"/>
      <c r="V18" s="172"/>
      <c r="W18" s="172"/>
      <c r="X18" s="172"/>
      <c r="Y18" s="172"/>
      <c r="Z18" s="172"/>
      <c r="AA18" s="172"/>
    </row>
    <row r="19" spans="1:27" ht="170">
      <c r="A19" s="170" t="str">
        <f t="shared" ca="1" si="0"/>
        <v/>
      </c>
      <c r="B19" s="171" t="str">
        <f t="shared" ca="1" si="1"/>
        <v/>
      </c>
      <c r="C19" s="171" t="str">
        <f t="shared" ca="1" si="2"/>
        <v/>
      </c>
      <c r="D19" s="172">
        <f t="shared" ca="1" si="3"/>
        <v>0</v>
      </c>
      <c r="E19" s="172" t="s">
        <v>281</v>
      </c>
      <c r="F19" s="172"/>
      <c r="G19" s="174" t="str">
        <f ca="1">IFERROR(__xludf.DUMMYFUNCTION("""COMPUTED_VALUE"""),"ECEA 5706 - Modeling, Control of Power Elec: Tech Dsgn-Oriented Analysis")</f>
        <v>ECEA 5706 - Modeling, Control of Power Elec: Tech Dsgn-Oriented Analysis</v>
      </c>
      <c r="H19" s="174" t="str">
        <f ca="1">IFERROR(__xludf.DUMMYFUNCTION("""COMPUTED_VALUE"""),"Course preparation: Only take this course once you have mastered null double injection and completely understood the feedback theorem. The techniques covered in this course rely heavily on these 2 things.
Assignments and exams: Assignments have many ques"&amp;"tions that require matlab and ltspice. Lots of algebra but it doesn't get out of control. 
Tips for future students: If you are planning to take both this course and ECEA 5705 during the same session, I can confirm it is possible, but you will need to pl"&amp;"an ahead. I recommend doing the following: Focus on 5705 first and finish week 1 &amp; 2 of that course. Week 1 should be relatively easy if you remember the material from 5702, if that's the case then you can probably finish in less than 3 days. The one you "&amp;"really need to focus on is week 2; take your time and make sure you understood the material from this week very well. Once you feel comfortable with it, you can go ahead and start 5706. From that point onwards, you can comfortably work your way through bo"&amp;"th 5705 and 5706.")</f>
        <v>Course preparation: Only take this course once you have mastered null double injection and completely understood the feedback theorem. The techniques covered in this course rely heavily on these 2 things.
Assignments and exams: Assignments have many questions that require matlab and ltspice. Lots of algebra but it doesn't get out of control. 
Tips for future students: If you are planning to take both this course and ECEA 5705 during the same session, I can confirm it is possible, but you will need to plan ahead. I recommend doing the following: Focus on 5705 first and finish week 1 &amp; 2 of that course. Week 1 should be relatively easy if you remember the material from 5702, if that's the case then you can probably finish in less than 3 days. The one you really need to focus on is week 2; take your time and make sure you understood the material from this week very well. Once you feel comfortable with it, you can go ahead and start 5706. From that point onwards, you can comfortably work your way through both 5705 and 5706.</v>
      </c>
      <c r="I19" s="172">
        <f ca="1">IFERROR(__xludf.DUMMYFUNCTION("""COMPUTED_VALUE"""),1)</f>
        <v>1</v>
      </c>
      <c r="J19" s="172">
        <f ca="1">IFERROR(__xludf.DUMMYFUNCTION("""COMPUTED_VALUE"""),35)</f>
        <v>35</v>
      </c>
      <c r="K19" s="172"/>
      <c r="L19" s="172"/>
      <c r="M19" s="172"/>
      <c r="N19" s="172"/>
      <c r="O19" s="172"/>
      <c r="P19" s="172"/>
      <c r="Q19" s="172"/>
      <c r="R19" s="172"/>
      <c r="S19" s="172"/>
      <c r="T19" s="172"/>
      <c r="U19" s="172"/>
      <c r="V19" s="172"/>
      <c r="W19" s="172"/>
      <c r="X19" s="172"/>
      <c r="Y19" s="172"/>
      <c r="Z19" s="172"/>
      <c r="AA19" s="172"/>
    </row>
    <row r="20" spans="1:27" ht="170">
      <c r="A20" s="170" t="str">
        <f t="shared" ca="1" si="0"/>
        <v/>
      </c>
      <c r="B20" s="171" t="str">
        <f t="shared" ca="1" si="1"/>
        <v/>
      </c>
      <c r="C20" s="171" t="str">
        <f t="shared" ca="1" si="2"/>
        <v/>
      </c>
      <c r="D20" s="172">
        <f t="shared" ca="1" si="3"/>
        <v>0</v>
      </c>
      <c r="E20" s="172" t="s">
        <v>281</v>
      </c>
      <c r="F20" s="172"/>
      <c r="G20" s="174" t="str">
        <f ca="1">IFERROR(__xludf.DUMMYFUNCTION("""COMPUTED_VALUE"""),"ECEA 5707 - Modeling, Control of Power Elec: Input Filter Design")</f>
        <v>ECEA 5707 - Modeling, Control of Power Elec: Input Filter Design</v>
      </c>
      <c r="H20" s="174" t="str">
        <f ca="1">IFERROR(__xludf.DUMMYFUNCTION("""COMPUTED_VALUE"""),"Course preparation: You must be familiar with the feedback theorem, null double injection and the extra element theorem. Taking ECEA 5705 and 5706 before taking this one is necessary. 
Assignments and exams: The assignments are very practical, you will f"&amp;"ind yourself solving for specific component values rather than for expressions with specific variables. Make sure you understand where the equations come from and what conditions are associated with them, this will be extremely important for the exam.
Ti"&amp;"ps for students: Complementing the video lectures with the book chapter on input filter design is recommended. Other than that, try to work your way through the design process on your own when you get to the examples. If you were planning to take this one"&amp;", 5705 and 5706 at the same time, it is possible as long as you have a plan and stick to it; focus on 5705 and once you finish week 2 then start 5706. You could start 5707 as soon as you finish week 1 of 5706, but I recommend to wait until you finish week"&amp;" 2 of 5706 since that will help you practice the extra element theorem enough to be able to work through 5707 comfortably.")</f>
        <v>Course preparation: You must be familiar with the feedback theorem, null double injection and the extra element theorem. Taking ECEA 5705 and 5706 before taking this one is necessary. 
Assignments and exams: The assignments are very practical, you will find yourself solving for specific component values rather than for expressions with specific variables. Make sure you understand where the equations come from and what conditions are associated with them, this will be extremely important for the exam.
Tips for students: Complementing the video lectures with the book chapter on input filter design is recommended. Other than that, try to work your way through the design process on your own when you get to the examples. If you were planning to take this one, 5705 and 5706 at the same time, it is possible as long as you have a plan and stick to it; focus on 5705 and once you finish week 2 then start 5706. You could start 5707 as soon as you finish week 1 of 5706, but I recommend to wait until you finish week 2 of 5706 since that will help you practice the extra element theorem enough to be able to work through 5707 comfortably.</v>
      </c>
      <c r="I20" s="172">
        <f ca="1">IFERROR(__xludf.DUMMYFUNCTION("""COMPUTED_VALUE"""),1)</f>
        <v>1</v>
      </c>
      <c r="J20" s="172">
        <f ca="1">IFERROR(__xludf.DUMMYFUNCTION("""COMPUTED_VALUE"""),36)</f>
        <v>36</v>
      </c>
      <c r="K20" s="172"/>
      <c r="L20" s="172"/>
      <c r="M20" s="172"/>
      <c r="N20" s="172"/>
      <c r="O20" s="172"/>
      <c r="P20" s="172"/>
      <c r="Q20" s="172"/>
      <c r="R20" s="172"/>
      <c r="S20" s="172"/>
      <c r="T20" s="172"/>
      <c r="U20" s="172"/>
      <c r="V20" s="172"/>
      <c r="W20" s="172"/>
      <c r="X20" s="172"/>
      <c r="Y20" s="172"/>
      <c r="Z20" s="172"/>
      <c r="AA20" s="172"/>
    </row>
    <row r="21" spans="1:27" ht="34">
      <c r="A21" s="170" t="str">
        <f t="shared" ca="1" si="0"/>
        <v/>
      </c>
      <c r="B21" s="171" t="str">
        <f t="shared" ca="1" si="1"/>
        <v/>
      </c>
      <c r="C21" s="171" t="str">
        <f t="shared" ca="1" si="2"/>
        <v/>
      </c>
      <c r="D21" s="172">
        <f t="shared" ca="1" si="3"/>
        <v>0</v>
      </c>
      <c r="E21" s="172" t="s">
        <v>281</v>
      </c>
      <c r="F21" s="172"/>
      <c r="G21" s="174" t="str">
        <f ca="1">IFERROR(__xludf.DUMMYFUNCTION("""COMPUTED_VALUE"""),"ECEA 5730 - Introduction to Battery-Management Systems")</f>
        <v>ECEA 5730 - Introduction to Battery-Management Systems</v>
      </c>
      <c r="H21" s="174" t="str">
        <f ca="1">IFERROR(__xludf.DUMMYFUNCTION("""COMPUTED_VALUE"""),"no prior knowledge necessary")</f>
        <v>no prior knowledge necessary</v>
      </c>
      <c r="I21" s="172">
        <f ca="1">IFERROR(__xludf.DUMMYFUNCTION("""COMPUTED_VALUE"""),1)</f>
        <v>1</v>
      </c>
      <c r="J21" s="172">
        <f ca="1">IFERROR(__xludf.DUMMYFUNCTION("""COMPUTED_VALUE"""),40)</f>
        <v>40</v>
      </c>
      <c r="K21" s="172"/>
      <c r="L21" s="172"/>
      <c r="M21" s="172"/>
      <c r="N21" s="172"/>
      <c r="O21" s="172"/>
      <c r="P21" s="172"/>
      <c r="Q21" s="172"/>
      <c r="R21" s="172"/>
      <c r="S21" s="172"/>
      <c r="T21" s="172"/>
      <c r="U21" s="172"/>
      <c r="V21" s="172"/>
      <c r="W21" s="172"/>
      <c r="X21" s="172"/>
      <c r="Y21" s="172"/>
      <c r="Z21" s="172"/>
      <c r="AA21" s="172"/>
    </row>
    <row r="22" spans="1:27" ht="68">
      <c r="A22" s="170" t="str">
        <f t="shared" ca="1" si="0"/>
        <v/>
      </c>
      <c r="B22" s="171" t="str">
        <f t="shared" ca="1" si="1"/>
        <v/>
      </c>
      <c r="C22" s="171" t="str">
        <f t="shared" ca="1" si="2"/>
        <v/>
      </c>
      <c r="D22" s="172">
        <f t="shared" ca="1" si="3"/>
        <v>0</v>
      </c>
      <c r="E22" s="172" t="s">
        <v>281</v>
      </c>
      <c r="F22" s="172"/>
      <c r="G22" s="174" t="str">
        <f ca="1">IFERROR(__xludf.DUMMYFUNCTION("""COMPUTED_VALUE"""),"ECEA 5716 - Open-Loop Photovoltaic Power Electronics Laboratory")</f>
        <v>ECEA 5716 - Open-Loop Photovoltaic Power Electronics Laboratory</v>
      </c>
      <c r="H22" s="174" t="str">
        <f ca="1">IFERROR(__xludf.DUMMYFUNCTION("""COMPUTED_VALUE"""),"You need to review the power electronics courses. Specifically doing the hardware design for a dcdc converter. You need to start early with the assignments and plan when to test that involves having a pretty good amount of sunlight. Also a good soldering "&amp;"iron would do wonders. In the programming version be sure to use the same version of the CCS. trying to use the latest version would delay you because a lot of issues would show up. So as to not put you behind by several days get the older version that wa"&amp;"s tested. ")</f>
        <v xml:space="preserve">You need to review the power electronics courses. Specifically doing the hardware design for a dcdc converter. You need to start early with the assignments and plan when to test that involves having a pretty good amount of sunlight. Also a good soldering iron would do wonders. In the programming version be sure to use the same version of the CCS. trying to use the latest version would delay you because a lot of issues would show up. So as to not put you behind by several days get the older version that was tested. </v>
      </c>
      <c r="I22" s="172">
        <f ca="1">IFERROR(__xludf.DUMMYFUNCTION("""COMPUTED_VALUE"""),1)</f>
        <v>1</v>
      </c>
      <c r="J22" s="172">
        <f ca="1">IFERROR(__xludf.DUMMYFUNCTION("""COMPUTED_VALUE"""),45)</f>
        <v>45</v>
      </c>
      <c r="K22" s="172"/>
      <c r="L22" s="172"/>
      <c r="M22" s="172"/>
      <c r="N22" s="172"/>
      <c r="O22" s="172"/>
      <c r="P22" s="172"/>
      <c r="Q22" s="172"/>
      <c r="R22" s="172"/>
      <c r="S22" s="172"/>
      <c r="T22" s="172"/>
      <c r="U22" s="172"/>
      <c r="V22" s="172"/>
      <c r="W22" s="172"/>
      <c r="X22" s="172"/>
      <c r="Y22" s="172"/>
      <c r="Z22" s="172"/>
      <c r="AA22" s="172"/>
    </row>
    <row r="23" spans="1:27" ht="34">
      <c r="A23" s="170" t="str">
        <f t="shared" ca="1" si="0"/>
        <v/>
      </c>
      <c r="B23" s="171" t="str">
        <f t="shared" ca="1" si="1"/>
        <v/>
      </c>
      <c r="C23" s="171" t="str">
        <f t="shared" ca="1" si="2"/>
        <v xml:space="preserve">Very ineffective instructor, reading off the slides and not really explaining the concepts behind. Prepare to memorize data sheets material for the quizzes and final exam.
Some quizzes had questions that were partially explained, or not at all. You'll have to go to office hours to get answers or try on your own. The problem is that I understood how to get the right answer without understanding what goes behind it. Pretty bad I'd say.
The way it is right now, this is not a course for somebody with no experience in EE/FPGA in my opinion. </v>
      </c>
      <c r="D23" s="172">
        <f t="shared" ca="1" si="3"/>
        <v>1</v>
      </c>
      <c r="E23" s="172">
        <v>10</v>
      </c>
      <c r="F23" s="172"/>
      <c r="G23" s="174" t="str">
        <f ca="1">IFERROR(__xludf.DUMMYFUNCTION("""COMPUTED_VALUE"""),"ECEA 5601 - Optical Engineering: Optical Efficiency and Resolution")</f>
        <v>ECEA 5601 - Optical Engineering: Optical Efficiency and Resolution</v>
      </c>
      <c r="H23" s="174" t="str">
        <f ca="1">IFERROR(__xludf.DUMMYFUNCTION("""COMPUTED_VALUE"""),"Some knowledge of Fourier transform needed")</f>
        <v>Some knowledge of Fourier transform needed</v>
      </c>
      <c r="I23" s="172">
        <f ca="1">IFERROR(__xludf.DUMMYFUNCTION("""COMPUTED_VALUE"""),1)</f>
        <v>1</v>
      </c>
      <c r="J23" s="172">
        <f ca="1">IFERROR(__xludf.DUMMYFUNCTION("""COMPUTED_VALUE"""),53)</f>
        <v>53</v>
      </c>
      <c r="K23" s="172"/>
      <c r="L23" s="172"/>
      <c r="M23" s="172"/>
      <c r="N23" s="172"/>
      <c r="O23" s="172"/>
      <c r="P23" s="172"/>
      <c r="Q23" s="172"/>
      <c r="R23" s="172"/>
      <c r="S23" s="172"/>
      <c r="T23" s="172"/>
      <c r="U23" s="172"/>
      <c r="V23" s="172"/>
      <c r="W23" s="172"/>
      <c r="X23" s="172"/>
      <c r="Y23" s="172"/>
      <c r="Z23" s="172"/>
      <c r="AA23" s="172"/>
    </row>
    <row r="24" spans="1:27" ht="51">
      <c r="A24" s="170" t="str">
        <f t="shared" ca="1" si="0"/>
        <v/>
      </c>
      <c r="B24" s="171" t="str">
        <f t="shared" ca="1" si="1"/>
        <v/>
      </c>
      <c r="C24" s="171" t="str">
        <f t="shared" ca="1" si="2"/>
        <v>Quizzes were straight forward if you follow the lectures. Exam was very memorization heavy, all about device datasheets contents.</v>
      </c>
      <c r="D24" s="172">
        <f t="shared" ca="1" si="3"/>
        <v>1</v>
      </c>
      <c r="E24" s="172">
        <v>10</v>
      </c>
      <c r="F24" s="172"/>
      <c r="G24" s="174" t="str">
        <f ca="1">IFERROR(__xludf.DUMMYFUNCTION("""COMPUTED_VALUE"""),"ECEA 5602 - Optical Engineering: Design High-Performance Optical Systems")</f>
        <v>ECEA 5602 - Optical Engineering: Design High-Performance Optical Systems</v>
      </c>
      <c r="H24" s="174" t="str">
        <f ca="1">IFERROR(__xludf.DUMMYFUNCTION("""COMPUTED_VALUE"""),"Great instructor")</f>
        <v>Great instructor</v>
      </c>
      <c r="I24" s="172">
        <f ca="1">IFERROR(__xludf.DUMMYFUNCTION("""COMPUTED_VALUE"""),1)</f>
        <v>1</v>
      </c>
      <c r="J24" s="172">
        <f ca="1">IFERROR(__xludf.DUMMYFUNCTION("""COMPUTED_VALUE"""),54)</f>
        <v>54</v>
      </c>
      <c r="K24" s="172"/>
      <c r="L24" s="172"/>
      <c r="M24" s="172"/>
      <c r="N24" s="172"/>
      <c r="O24" s="172"/>
      <c r="P24" s="172"/>
      <c r="Q24" s="172"/>
      <c r="R24" s="172"/>
      <c r="S24" s="172"/>
      <c r="T24" s="172"/>
      <c r="U24" s="172"/>
      <c r="V24" s="172"/>
      <c r="W24" s="172"/>
      <c r="X24" s="172"/>
      <c r="Y24" s="172"/>
      <c r="Z24" s="172"/>
      <c r="AA24" s="172"/>
    </row>
    <row r="25" spans="1:27" ht="34">
      <c r="A25" s="170" t="str">
        <f t="shared" ca="1" si="0"/>
        <v/>
      </c>
      <c r="B25" s="171" t="str">
        <f t="shared" ca="1" si="1"/>
        <v/>
      </c>
      <c r="C25" s="171" t="str">
        <f t="shared" ca="1" si="2"/>
        <v>Good amount of verilog and vhdl usage in this class. Concepts explained well in lectures. Quizes help for studying for final. Many multiple part questions with no partial credit.</v>
      </c>
      <c r="D25" s="172">
        <f t="shared" ca="1" si="3"/>
        <v>1</v>
      </c>
      <c r="E25" s="172">
        <v>11</v>
      </c>
      <c r="F25" s="172"/>
      <c r="G25" s="174" t="str">
        <f ca="1">IFERROR(__xludf.DUMMYFUNCTION("""COMPUTED_VALUE"""),"ECEA 5630 - Semiconductor Devices: Semiconductor Physics")</f>
        <v>ECEA 5630 - Semiconductor Devices: Semiconductor Physics</v>
      </c>
      <c r="H25" s="174" t="str">
        <f ca="1">IFERROR(__xludf.DUMMYFUNCTION("""COMPUTED_VALUE"""),"Know Poisson’s equation. Challenging HW assignments")</f>
        <v>Know Poisson’s equation. Challenging HW assignments</v>
      </c>
      <c r="I25" s="172">
        <f ca="1">IFERROR(__xludf.DUMMYFUNCTION("""COMPUTED_VALUE"""),1)</f>
        <v>1</v>
      </c>
      <c r="J25" s="172">
        <f ca="1">IFERROR(__xludf.DUMMYFUNCTION("""COMPUTED_VALUE"""),55)</f>
        <v>55</v>
      </c>
      <c r="K25" s="172"/>
      <c r="L25" s="172"/>
      <c r="M25" s="172"/>
      <c r="N25" s="172"/>
      <c r="O25" s="172"/>
      <c r="P25" s="172"/>
      <c r="Q25" s="172"/>
      <c r="R25" s="172"/>
      <c r="S25" s="172"/>
      <c r="T25" s="172"/>
      <c r="U25" s="172"/>
      <c r="V25" s="172"/>
      <c r="W25" s="172"/>
      <c r="X25" s="172"/>
      <c r="Y25" s="172"/>
      <c r="Z25" s="172"/>
      <c r="AA25" s="172"/>
    </row>
    <row r="26" spans="1:27" ht="85">
      <c r="A26" s="170" t="str">
        <f t="shared" ca="1" si="0"/>
        <v/>
      </c>
      <c r="B26" s="171" t="str">
        <f t="shared" ca="1" si="1"/>
        <v/>
      </c>
      <c r="C26" s="171" t="str">
        <f t="shared" ca="1" si="2"/>
        <v/>
      </c>
      <c r="D26" s="172">
        <f t="shared" ca="1" si="3"/>
        <v>0</v>
      </c>
      <c r="E26" s="172" t="s">
        <v>281</v>
      </c>
      <c r="F26" s="172"/>
      <c r="G26" s="174" t="str">
        <f ca="1">IFERROR(__xludf.DUMMYFUNCTION("""COMPUTED_VALUE"""),"ECEA 5631 - Semiconductor Devices: Diode: pn junction and metal semiconductor contact")</f>
        <v>ECEA 5631 - Semiconductor Devices: Diode: pn junction and metal semiconductor contact</v>
      </c>
      <c r="H26" s="174" t="str">
        <f ca="1">IFERROR(__xludf.DUMMYFUNCTION("""COMPUTED_VALUE"""),"You need to take Semiconductor Devices first. Expect to learn more from the homework than the lectures. Treat the applied math separately than the theory, learn the theory first through some YouTube videos.
The final will kill you. I had a 100% on every "&amp;"homework assignment and I got a 60% on the final, it was that hard. Get very comfortable using Desmos Scientific Calculator as that is all you are allowed to use on the final.")</f>
        <v>You need to take Semiconductor Devices first. Expect to learn more from the homework than the lectures. Treat the applied math separately than the theory, learn the theory first through some YouTube videos.
The final will kill you. I had a 100% on every homework assignment and I got a 60% on the final, it was that hard. Get very comfortable using Desmos Scientific Calculator as that is all you are allowed to use on the final.</v>
      </c>
      <c r="I26" s="172">
        <f ca="1">IFERROR(__xludf.DUMMYFUNCTION("""COMPUTED_VALUE"""),1)</f>
        <v>1</v>
      </c>
      <c r="J26" s="172">
        <f ca="1">IFERROR(__xludf.DUMMYFUNCTION("""COMPUTED_VALUE"""),56)</f>
        <v>56</v>
      </c>
      <c r="K26" s="172"/>
      <c r="L26" s="172"/>
      <c r="M26" s="172"/>
      <c r="N26" s="172"/>
      <c r="O26" s="172"/>
      <c r="P26" s="172"/>
      <c r="Q26" s="172"/>
      <c r="R26" s="172"/>
      <c r="S26" s="172"/>
      <c r="T26" s="172"/>
      <c r="U26" s="172"/>
      <c r="V26" s="172"/>
      <c r="W26" s="172"/>
      <c r="X26" s="172"/>
      <c r="Y26" s="172"/>
      <c r="Z26" s="172"/>
      <c r="AA26" s="172"/>
    </row>
    <row r="27" spans="1:27" ht="51">
      <c r="A27" s="170" t="str">
        <f t="shared" ca="1" si="0"/>
        <v/>
      </c>
      <c r="B27" s="171" t="str">
        <f t="shared" ca="1" si="1"/>
        <v/>
      </c>
      <c r="C27" s="171" t="str">
        <f t="shared" ca="1" si="2"/>
        <v/>
      </c>
      <c r="D27" s="172">
        <f t="shared" ca="1" si="3"/>
        <v>0</v>
      </c>
      <c r="E27" s="172" t="s">
        <v>281</v>
      </c>
      <c r="F27" s="172"/>
      <c r="G27" s="174" t="str">
        <f ca="1">IFERROR(__xludf.DUMMYFUNCTION("""COMPUTED_VALUE"""),"ECEA 5631 - Semiconductor Devices: Diode: pn junction and metal semiconductor contact")</f>
        <v>ECEA 5631 - Semiconductor Devices: Diode: pn junction and metal semiconductor contact</v>
      </c>
      <c r="H27" s="174" t="str">
        <f ca="1">IFERROR(__xludf.DUMMYFUNCTION("""COMPUTED_VALUE"""),"Expect to do do some learning from outside content like YouTube to get a better understanding")</f>
        <v>Expect to do do some learning from outside content like YouTube to get a better understanding</v>
      </c>
      <c r="I27" s="172">
        <f ca="1">IFERROR(__xludf.DUMMYFUNCTION("""COMPUTED_VALUE"""),1)</f>
        <v>1</v>
      </c>
      <c r="J27" s="172">
        <f ca="1">IFERROR(__xludf.DUMMYFUNCTION("""COMPUTED_VALUE"""),56)</f>
        <v>56</v>
      </c>
      <c r="K27" s="172"/>
      <c r="L27" s="172"/>
      <c r="M27" s="172"/>
      <c r="N27" s="172"/>
      <c r="O27" s="172"/>
      <c r="P27" s="172"/>
      <c r="Q27" s="172"/>
      <c r="R27" s="172"/>
      <c r="S27" s="172"/>
      <c r="T27" s="172"/>
      <c r="U27" s="172"/>
      <c r="V27" s="172"/>
      <c r="W27" s="172"/>
      <c r="X27" s="172"/>
      <c r="Y27" s="172"/>
      <c r="Z27" s="172"/>
      <c r="AA27" s="172"/>
    </row>
    <row r="28" spans="1:27" ht="51">
      <c r="A28" s="170" t="str">
        <f t="shared" ca="1" si="0"/>
        <v/>
      </c>
      <c r="B28" s="171" t="str">
        <f t="shared" ca="1" si="1"/>
        <v/>
      </c>
      <c r="C28" s="171" t="str">
        <f t="shared" ca="1" si="2"/>
        <v/>
      </c>
      <c r="D28" s="172">
        <f t="shared" ca="1" si="3"/>
        <v>0</v>
      </c>
      <c r="E28" s="172" t="s">
        <v>281</v>
      </c>
      <c r="F28" s="172"/>
      <c r="G28" s="174" t="str">
        <f ca="1">IFERROR(__xludf.DUMMYFUNCTION("""COMPUTED_VALUE"""),"ECEA 5632 - Semiconductor Devices: Transistor: Field Effect Transistor and Bipolar Junction Transistor")</f>
        <v>ECEA 5632 - Semiconductor Devices: Transistor: Field Effect Transistor and Bipolar Junction Transistor</v>
      </c>
      <c r="H28" s="174" t="str">
        <f ca="1">IFERROR(__xludf.DUMMYFUNCTION("""COMPUTED_VALUE"""),"Lighter course load than the previous 2 courses in the series")</f>
        <v>Lighter course load than the previous 2 courses in the series</v>
      </c>
      <c r="I28" s="172">
        <f ca="1">IFERROR(__xludf.DUMMYFUNCTION("""COMPUTED_VALUE"""),1)</f>
        <v>1</v>
      </c>
      <c r="J28" s="172">
        <f ca="1">IFERROR(__xludf.DUMMYFUNCTION("""COMPUTED_VALUE"""),57)</f>
        <v>57</v>
      </c>
      <c r="K28" s="172"/>
      <c r="L28" s="172"/>
      <c r="M28" s="172"/>
      <c r="N28" s="172"/>
      <c r="O28" s="172"/>
      <c r="P28" s="172"/>
      <c r="Q28" s="172"/>
      <c r="R28" s="172"/>
      <c r="S28" s="172"/>
      <c r="T28" s="172"/>
      <c r="U28" s="172"/>
      <c r="V28" s="172"/>
      <c r="W28" s="172"/>
      <c r="X28" s="172"/>
      <c r="Y28" s="172"/>
      <c r="Z28" s="172"/>
      <c r="AA28" s="172"/>
    </row>
    <row r="29" spans="1:27" ht="34">
      <c r="A29" s="170" t="str">
        <f t="shared" ca="1" si="0"/>
        <v/>
      </c>
      <c r="B29" s="171" t="str">
        <f t="shared" ca="1" si="1"/>
        <v/>
      </c>
      <c r="C29" s="171" t="str">
        <f t="shared" ca="1" si="2"/>
        <v/>
      </c>
      <c r="D29" s="172">
        <f t="shared" ca="1" si="3"/>
        <v>0</v>
      </c>
      <c r="E29" s="172" t="s">
        <v>281</v>
      </c>
      <c r="F29" s="172"/>
      <c r="G29" s="174" t="str">
        <f ca="1">IFERROR(__xludf.DUMMYFUNCTION("""COMPUTED_VALUE"""),"ECEA 5800 - Modeling of Feedback Systems")</f>
        <v>ECEA 5800 - Modeling of Feedback Systems</v>
      </c>
      <c r="H29" s="174" t="str">
        <f ca="1">IFERROR(__xludf.DUMMYFUNCTION("""COMPUTED_VALUE"""),"Some background in basic college physics (mechanics and e&amp;m) as well as differential equations, will be useful. The course is doable without these, but expect more time commitment due to having to spend more time on the prereq topics.")</f>
        <v>Some background in basic college physics (mechanics and e&amp;m) as well as differential equations, will be useful. The course is doable without these, but expect more time commitment due to having to spend more time on the prereq topics.</v>
      </c>
      <c r="I29" s="172">
        <f ca="1">IFERROR(__xludf.DUMMYFUNCTION("""COMPUTED_VALUE"""),1)</f>
        <v>1</v>
      </c>
      <c r="J29" s="172">
        <f ca="1">IFERROR(__xludf.DUMMYFUNCTION("""COMPUTED_VALUE"""),64)</f>
        <v>64</v>
      </c>
      <c r="K29" s="172"/>
      <c r="L29" s="172"/>
      <c r="M29" s="172"/>
      <c r="N29" s="172"/>
      <c r="O29" s="172"/>
      <c r="P29" s="172"/>
      <c r="Q29" s="172"/>
      <c r="R29" s="172"/>
      <c r="S29" s="172"/>
      <c r="T29" s="172"/>
      <c r="U29" s="172"/>
      <c r="V29" s="172"/>
      <c r="W29" s="172"/>
      <c r="X29" s="172"/>
      <c r="Y29" s="172"/>
      <c r="Z29" s="172"/>
      <c r="AA29" s="172"/>
    </row>
    <row r="30" spans="1:27" ht="16">
      <c r="A30" s="170" t="str">
        <f t="shared" ca="1" si="0"/>
        <v/>
      </c>
      <c r="B30" s="171" t="str">
        <f t="shared" ca="1" si="1"/>
        <v/>
      </c>
      <c r="C30" s="171" t="str">
        <f t="shared" ca="1" si="2"/>
        <v>A solid background in circuit theory is needed for the power electronics sequence. Assignments and exams were fair. If you don't have a background in EE, you might find this course (and the pathway) more difficult.</v>
      </c>
      <c r="D30" s="172">
        <f t="shared" ca="1" si="3"/>
        <v>1</v>
      </c>
      <c r="E30" s="172">
        <v>30</v>
      </c>
      <c r="F30" s="172"/>
      <c r="G30" s="174"/>
      <c r="H30" s="174"/>
      <c r="I30" s="172">
        <f ca="1">IFERROR(__xludf.DUMMYFUNCTION("""COMPUTED_VALUE"""),0)</f>
        <v>0</v>
      </c>
      <c r="J30" s="172"/>
      <c r="K30" s="172"/>
      <c r="L30" s="172"/>
      <c r="M30" s="172"/>
      <c r="N30" s="172"/>
      <c r="O30" s="172"/>
      <c r="P30" s="172"/>
      <c r="Q30" s="172"/>
      <c r="R30" s="172"/>
      <c r="S30" s="172"/>
      <c r="T30" s="172"/>
      <c r="U30" s="172"/>
      <c r="V30" s="172"/>
      <c r="W30" s="172"/>
      <c r="X30" s="172"/>
      <c r="Y30" s="172"/>
      <c r="Z30" s="172"/>
      <c r="AA30" s="172"/>
    </row>
    <row r="31" spans="1:27" ht="16">
      <c r="A31" s="170" t="str">
        <f t="shared" ca="1" si="0"/>
        <v/>
      </c>
      <c r="B31" s="171" t="str">
        <f t="shared" ca="1" si="1"/>
        <v/>
      </c>
      <c r="C31" s="171" t="str">
        <f t="shared" ca="1" si="2"/>
        <v xml:space="preserve">An understanding of the basics of control theory is strongly recommended. This is the hardest course in the power electronics pathway. Assignments and exam are difficult, but still fair if you devote time to studying. </v>
      </c>
      <c r="D31" s="172">
        <f t="shared" ca="1" si="3"/>
        <v>1</v>
      </c>
      <c r="E31" s="172">
        <v>32</v>
      </c>
      <c r="F31" s="172"/>
      <c r="G31" s="174"/>
      <c r="H31" s="174"/>
      <c r="I31" s="172">
        <f ca="1">IFERROR(__xludf.DUMMYFUNCTION("""COMPUTED_VALUE"""),0)</f>
        <v>0</v>
      </c>
      <c r="J31" s="172"/>
      <c r="K31" s="172"/>
      <c r="L31" s="172"/>
      <c r="M31" s="172"/>
      <c r="N31" s="172"/>
      <c r="O31" s="172"/>
      <c r="P31" s="172"/>
      <c r="Q31" s="172"/>
      <c r="R31" s="172"/>
      <c r="S31" s="172"/>
      <c r="T31" s="172"/>
      <c r="U31" s="172"/>
      <c r="V31" s="172"/>
      <c r="W31" s="172"/>
      <c r="X31" s="172"/>
      <c r="Y31" s="172"/>
      <c r="Z31" s="172"/>
      <c r="AA31" s="172"/>
    </row>
    <row r="32" spans="1:27" ht="16">
      <c r="A32" s="170" t="str">
        <f t="shared" ca="1" si="0"/>
        <v/>
      </c>
      <c r="B32" s="171" t="str">
        <f t="shared" ca="1" si="1"/>
        <v/>
      </c>
      <c r="C32" s="171" t="str">
        <f t="shared" ca="1" si="2"/>
        <v/>
      </c>
      <c r="D32" s="172">
        <f t="shared" ca="1" si="3"/>
        <v>0</v>
      </c>
      <c r="E32" s="172" t="s">
        <v>281</v>
      </c>
      <c r="F32" s="172"/>
      <c r="G32" s="174"/>
      <c r="H32" s="174"/>
      <c r="I32" s="172">
        <f ca="1">IFERROR(__xludf.DUMMYFUNCTION("""COMPUTED_VALUE"""),0)</f>
        <v>0</v>
      </c>
      <c r="J32" s="172"/>
      <c r="K32" s="172"/>
      <c r="L32" s="172"/>
      <c r="M32" s="172"/>
      <c r="N32" s="172"/>
      <c r="O32" s="172"/>
      <c r="P32" s="172"/>
      <c r="Q32" s="172"/>
      <c r="R32" s="172"/>
      <c r="S32" s="172"/>
      <c r="T32" s="172"/>
      <c r="U32" s="172"/>
      <c r="V32" s="172"/>
      <c r="W32" s="172"/>
      <c r="X32" s="172"/>
      <c r="Y32" s="172"/>
      <c r="Z32" s="172"/>
      <c r="AA32" s="172"/>
    </row>
    <row r="33" spans="1:27" ht="16">
      <c r="A33" s="170" t="str">
        <f t="shared" ca="1" si="0"/>
        <v/>
      </c>
      <c r="B33" s="171" t="str">
        <f t="shared" ca="1" si="1"/>
        <v/>
      </c>
      <c r="C33" s="171" t="str">
        <f t="shared" ca="1" si="2"/>
        <v/>
      </c>
      <c r="D33" s="172">
        <f t="shared" ca="1" si="3"/>
        <v>0</v>
      </c>
      <c r="E33" s="172" t="s">
        <v>281</v>
      </c>
      <c r="F33" s="172"/>
      <c r="G33" s="174"/>
      <c r="H33" s="174"/>
      <c r="I33" s="172">
        <f ca="1">IFERROR(__xludf.DUMMYFUNCTION("""COMPUTED_VALUE"""),0)</f>
        <v>0</v>
      </c>
      <c r="J33" s="172"/>
      <c r="K33" s="172"/>
      <c r="L33" s="172"/>
      <c r="M33" s="172"/>
      <c r="N33" s="172"/>
      <c r="O33" s="172"/>
      <c r="P33" s="172"/>
      <c r="Q33" s="172"/>
      <c r="R33" s="172"/>
      <c r="S33" s="172"/>
      <c r="T33" s="172"/>
      <c r="U33" s="172"/>
      <c r="V33" s="172"/>
      <c r="W33" s="172"/>
      <c r="X33" s="172"/>
      <c r="Y33" s="172"/>
      <c r="Z33" s="172"/>
      <c r="AA33" s="172"/>
    </row>
    <row r="34" spans="1:27" ht="16">
      <c r="A34" s="170" t="str">
        <f t="shared" ca="1" si="0"/>
        <v/>
      </c>
      <c r="B34" s="171" t="str">
        <f t="shared" ca="1" si="1"/>
        <v/>
      </c>
      <c r="C34" s="171" t="str">
        <f t="shared" ca="1" si="2"/>
        <v/>
      </c>
      <c r="D34" s="172">
        <f t="shared" ca="1" si="3"/>
        <v>0</v>
      </c>
      <c r="E34" s="172" t="s">
        <v>281</v>
      </c>
      <c r="F34" s="172"/>
      <c r="G34" s="174"/>
      <c r="H34" s="174"/>
      <c r="I34" s="172">
        <f ca="1">IFERROR(__xludf.DUMMYFUNCTION("""COMPUTED_VALUE"""),0)</f>
        <v>0</v>
      </c>
      <c r="J34" s="172"/>
      <c r="K34" s="172"/>
      <c r="L34" s="172"/>
      <c r="M34" s="172"/>
      <c r="N34" s="172"/>
      <c r="O34" s="172"/>
      <c r="P34" s="172"/>
      <c r="Q34" s="172"/>
      <c r="R34" s="172"/>
      <c r="S34" s="172"/>
      <c r="T34" s="172"/>
      <c r="U34" s="172"/>
      <c r="V34" s="172"/>
      <c r="W34" s="172"/>
      <c r="X34" s="172"/>
      <c r="Y34" s="172"/>
      <c r="Z34" s="172"/>
      <c r="AA34" s="172"/>
    </row>
    <row r="35" spans="1:27" ht="16">
      <c r="A35" s="170" t="str">
        <f t="shared" ca="1" si="0"/>
        <v/>
      </c>
      <c r="B35" s="171" t="str">
        <f t="shared" ca="1" si="1"/>
        <v/>
      </c>
      <c r="C35" s="171" t="str">
        <f t="shared" ca="1" si="2"/>
        <v/>
      </c>
      <c r="D35" s="172">
        <f t="shared" ca="1" si="3"/>
        <v>0</v>
      </c>
      <c r="E35" s="172" t="s">
        <v>281</v>
      </c>
      <c r="F35" s="172"/>
      <c r="G35" s="174"/>
      <c r="H35" s="174"/>
      <c r="I35" s="172">
        <f ca="1">IFERROR(__xludf.DUMMYFUNCTION("""COMPUTED_VALUE"""),0)</f>
        <v>0</v>
      </c>
      <c r="J35" s="172"/>
      <c r="K35" s="172"/>
      <c r="L35" s="172"/>
      <c r="M35" s="172"/>
      <c r="N35" s="172"/>
      <c r="O35" s="172"/>
      <c r="P35" s="172"/>
      <c r="Q35" s="172"/>
      <c r="R35" s="172"/>
      <c r="S35" s="172"/>
      <c r="T35" s="172"/>
      <c r="U35" s="172"/>
      <c r="V35" s="172"/>
      <c r="W35" s="172"/>
      <c r="X35" s="172"/>
      <c r="Y35" s="172"/>
      <c r="Z35" s="172"/>
      <c r="AA35" s="172"/>
    </row>
    <row r="36" spans="1:27" ht="16">
      <c r="A36" s="170" t="str">
        <f t="shared" ca="1" si="0"/>
        <v/>
      </c>
      <c r="B36" s="171" t="str">
        <f t="shared" ca="1" si="1"/>
        <v/>
      </c>
      <c r="C36" s="171" t="str">
        <f t="shared" ca="1" si="2"/>
        <v/>
      </c>
      <c r="D36" s="172">
        <f t="shared" ca="1" si="3"/>
        <v>0</v>
      </c>
      <c r="E36" s="172" t="s">
        <v>281</v>
      </c>
      <c r="F36" s="172"/>
      <c r="G36" s="174"/>
      <c r="H36" s="174"/>
      <c r="I36" s="172">
        <f ca="1">IFERROR(__xludf.DUMMYFUNCTION("""COMPUTED_VALUE"""),0)</f>
        <v>0</v>
      </c>
      <c r="J36" s="172"/>
      <c r="K36" s="172"/>
      <c r="L36" s="172"/>
      <c r="M36" s="172"/>
      <c r="N36" s="172"/>
      <c r="O36" s="172"/>
      <c r="P36" s="172"/>
      <c r="Q36" s="172"/>
      <c r="R36" s="172"/>
      <c r="S36" s="172"/>
      <c r="T36" s="172"/>
      <c r="U36" s="172"/>
      <c r="V36" s="172"/>
      <c r="W36" s="172"/>
      <c r="X36" s="172"/>
      <c r="Y36" s="172"/>
      <c r="Z36" s="172"/>
      <c r="AA36" s="172"/>
    </row>
    <row r="37" spans="1:27" ht="16">
      <c r="A37" s="170" t="str">
        <f t="shared" ca="1" si="0"/>
        <v/>
      </c>
      <c r="B37" s="171" t="str">
        <f t="shared" ca="1" si="1"/>
        <v/>
      </c>
      <c r="C37" s="171" t="str">
        <f t="shared" ca="1" si="2"/>
        <v/>
      </c>
      <c r="D37" s="172">
        <f t="shared" ca="1" si="3"/>
        <v>0</v>
      </c>
      <c r="E37" s="172" t="s">
        <v>281</v>
      </c>
      <c r="F37" s="172"/>
      <c r="G37" s="174"/>
      <c r="H37" s="174"/>
      <c r="I37" s="172">
        <f ca="1">IFERROR(__xludf.DUMMYFUNCTION("""COMPUTED_VALUE"""),0)</f>
        <v>0</v>
      </c>
      <c r="J37" s="172"/>
      <c r="K37" s="172"/>
      <c r="L37" s="172"/>
      <c r="M37" s="172"/>
      <c r="N37" s="172"/>
      <c r="O37" s="172"/>
      <c r="P37" s="172"/>
      <c r="Q37" s="172"/>
      <c r="R37" s="172"/>
      <c r="S37" s="172"/>
      <c r="T37" s="172"/>
      <c r="U37" s="172"/>
      <c r="V37" s="172"/>
      <c r="W37" s="172"/>
      <c r="X37" s="172"/>
      <c r="Y37" s="172"/>
      <c r="Z37" s="172"/>
      <c r="AA37" s="172"/>
    </row>
    <row r="38" spans="1:27" ht="16">
      <c r="A38" s="170" t="str">
        <f t="shared" ca="1" si="0"/>
        <v/>
      </c>
      <c r="B38" s="171" t="str">
        <f t="shared" ca="1" si="1"/>
        <v/>
      </c>
      <c r="C38" s="171" t="str">
        <f t="shared" ca="1" si="2"/>
        <v/>
      </c>
      <c r="D38" s="172">
        <f t="shared" ca="1" si="3"/>
        <v>0</v>
      </c>
      <c r="E38" s="172" t="s">
        <v>281</v>
      </c>
      <c r="F38" s="172"/>
      <c r="G38" s="174"/>
      <c r="H38" s="174"/>
      <c r="I38" s="172">
        <f ca="1">IFERROR(__xludf.DUMMYFUNCTION("""COMPUTED_VALUE"""),0)</f>
        <v>0</v>
      </c>
      <c r="J38" s="172"/>
      <c r="K38" s="172"/>
      <c r="L38" s="172"/>
      <c r="M38" s="172"/>
      <c r="N38" s="172"/>
      <c r="O38" s="172"/>
      <c r="P38" s="172"/>
      <c r="Q38" s="172"/>
      <c r="R38" s="172"/>
      <c r="S38" s="172"/>
      <c r="T38" s="172"/>
      <c r="U38" s="172"/>
      <c r="V38" s="172"/>
      <c r="W38" s="172"/>
      <c r="X38" s="172"/>
      <c r="Y38" s="172"/>
      <c r="Z38" s="172"/>
      <c r="AA38" s="172"/>
    </row>
    <row r="39" spans="1:27" ht="16">
      <c r="A39" s="170" t="str">
        <f t="shared" ca="1" si="0"/>
        <v/>
      </c>
      <c r="B39" s="171" t="str">
        <f t="shared" ca="1" si="1"/>
        <v/>
      </c>
      <c r="C39" s="171" t="str">
        <f t="shared" ca="1" si="2"/>
        <v xml:space="preserve">Course Prep: Make sure that you really understood the material from ECEA 5702, it is fundamental for this course. Other than that, I would recommend some revision of: operational amplifiers (ideal opamp, practical opamp, feedback and transfer functions), norton and thevenin's theorem, the properties of poles, zeroes, RHP zeroes, etc. 
Assignments and exams: Assignments for this module have a heavy simulation (matlab and ltspice) component. The exam is challenging but as long as you have mastered the feedback theorem and can work your way through obtaining the averaged-switch models then you will be fine.
Tips: If you haven't downloaded your copy of the book (fundamental of power electronics, springer) then you should do it now. It can be extremely helpful for complementing the video lectures and it has some examples not covered in the videos that can help you out a lot if you hit a roadblock when trying to solve the assignment questions related to null double injection. 
</v>
      </c>
      <c r="D39" s="172">
        <f t="shared" ca="1" si="3"/>
        <v>1</v>
      </c>
      <c r="E39" s="172">
        <v>34</v>
      </c>
      <c r="F39" s="172"/>
      <c r="G39" s="174"/>
      <c r="H39" s="174"/>
      <c r="I39" s="172">
        <f ca="1">IFERROR(__xludf.DUMMYFUNCTION("""COMPUTED_VALUE"""),0)</f>
        <v>0</v>
      </c>
      <c r="J39" s="172"/>
      <c r="K39" s="172"/>
      <c r="L39" s="172"/>
      <c r="M39" s="172"/>
      <c r="N39" s="172"/>
      <c r="O39" s="172"/>
      <c r="P39" s="172"/>
      <c r="Q39" s="172"/>
      <c r="R39" s="172"/>
      <c r="S39" s="172"/>
      <c r="T39" s="172"/>
      <c r="U39" s="172"/>
      <c r="V39" s="172"/>
      <c r="W39" s="172"/>
      <c r="X39" s="172"/>
      <c r="Y39" s="172"/>
      <c r="Z39" s="172"/>
      <c r="AA39" s="172"/>
    </row>
    <row r="40" spans="1:27" ht="16">
      <c r="A40" s="170" t="str">
        <f t="shared" ca="1" si="0"/>
        <v/>
      </c>
      <c r="B40" s="171" t="str">
        <f t="shared" ca="1" si="1"/>
        <v/>
      </c>
      <c r="C40" s="171" t="str">
        <f t="shared" ca="1" si="2"/>
        <v>Course preparation: Only take this course once you have mastered null double injection and completely understood the feedback theorem. The techniques covered in this course rely heavily on these 2 things.
Assignments and exams: Assignments have many questions that require matlab and ltspice. Lots of algebra but it doesn't get out of control. 
Tips for future students: If you are planning to take both this course and ECEA 5705 during the same session, I can confirm it is possible, but you will need to plan ahead. I recommend doing the following: Focus on 5705 first and finish week 1 &amp; 2 of that course. Week 1 should be relatively easy if you remember the material from 5702, if that's the case then you can probably finish in less than 3 days. The one you really need to focus on is week 2; take your time and make sure you understood the material from this week very well. Once you feel comfortable with it, you can go ahead and start 5706. From that point onwards, you can comfortably work your way through both 5705 and 5706.</v>
      </c>
      <c r="D40" s="172">
        <f t="shared" ca="1" si="3"/>
        <v>1</v>
      </c>
      <c r="E40" s="172">
        <v>35</v>
      </c>
      <c r="F40" s="172"/>
      <c r="G40" s="174"/>
      <c r="H40" s="174"/>
      <c r="I40" s="172">
        <f ca="1">IFERROR(__xludf.DUMMYFUNCTION("""COMPUTED_VALUE"""),0)</f>
        <v>0</v>
      </c>
      <c r="J40" s="172"/>
      <c r="K40" s="172"/>
      <c r="L40" s="172"/>
      <c r="M40" s="172"/>
      <c r="N40" s="172"/>
      <c r="O40" s="172"/>
      <c r="P40" s="172"/>
      <c r="Q40" s="172"/>
      <c r="R40" s="172"/>
      <c r="S40" s="172"/>
      <c r="T40" s="172"/>
      <c r="U40" s="172"/>
      <c r="V40" s="172"/>
      <c r="W40" s="172"/>
      <c r="X40" s="172"/>
      <c r="Y40" s="172"/>
      <c r="Z40" s="172"/>
      <c r="AA40" s="172"/>
    </row>
    <row r="41" spans="1:27" ht="16">
      <c r="A41" s="170" t="str">
        <f t="shared" ca="1" si="0"/>
        <v/>
      </c>
      <c r="B41" s="171" t="str">
        <f t="shared" ca="1" si="1"/>
        <v/>
      </c>
      <c r="C41" s="171" t="str">
        <f t="shared" ca="1" si="2"/>
        <v>Course preparation: You must be familiar with the feedback theorem, null double injection and the extra element theorem. Taking ECEA 5705 and 5706 before taking this one is necessary. 
Assignments and exams: The assignments are very practical, you will find yourself solving for specific component values rather than for expressions with specific variables. Make sure you understand where the equations come from and what conditions are associated with them, this will be extremely important for the exam.
Tips for students: Complementing the video lectures with the book chapter on input filter design is recommended. Other than that, try to work your way through the design process on your own when you get to the examples. If you were planning to take this one, 5705 and 5706 at the same time, it is possible as long as you have a plan and stick to it; focus on 5705 and once you finish week 2 then start 5706. You could start 5707 as soon as you finish week 1 of 5706, but I recommend to wait until you finish week 2 of 5706 since that will help you practice the extra element theorem enough to be able to work through 5707 comfortably.</v>
      </c>
      <c r="D41" s="172">
        <f t="shared" ca="1" si="3"/>
        <v>1</v>
      </c>
      <c r="E41" s="172">
        <v>36</v>
      </c>
      <c r="F41" s="172"/>
      <c r="G41" s="174"/>
      <c r="H41" s="174"/>
      <c r="I41" s="172">
        <f ca="1">IFERROR(__xludf.DUMMYFUNCTION("""COMPUTED_VALUE"""),0)</f>
        <v>0</v>
      </c>
      <c r="J41" s="172"/>
      <c r="K41" s="172"/>
      <c r="L41" s="172"/>
      <c r="M41" s="172"/>
      <c r="N41" s="172"/>
      <c r="O41" s="172"/>
      <c r="P41" s="172"/>
      <c r="Q41" s="172"/>
      <c r="R41" s="172"/>
      <c r="S41" s="172"/>
      <c r="T41" s="172"/>
      <c r="U41" s="172"/>
      <c r="V41" s="172"/>
      <c r="W41" s="172"/>
      <c r="X41" s="172"/>
      <c r="Y41" s="172"/>
      <c r="Z41" s="172"/>
      <c r="AA41" s="172"/>
    </row>
    <row r="42" spans="1:27" ht="16">
      <c r="A42" s="170" t="str">
        <f t="shared" ca="1" si="0"/>
        <v/>
      </c>
      <c r="B42" s="171" t="str">
        <f t="shared" ca="1" si="1"/>
        <v/>
      </c>
      <c r="C42" s="171" t="str">
        <f t="shared" ca="1" si="2"/>
        <v/>
      </c>
      <c r="D42" s="172">
        <f t="shared" ca="1" si="3"/>
        <v>0</v>
      </c>
      <c r="E42" s="172" t="s">
        <v>281</v>
      </c>
      <c r="F42" s="172"/>
      <c r="G42" s="174"/>
      <c r="H42" s="174"/>
      <c r="I42" s="172">
        <f ca="1">IFERROR(__xludf.DUMMYFUNCTION("""COMPUTED_VALUE"""),0)</f>
        <v>0</v>
      </c>
      <c r="J42" s="172"/>
      <c r="K42" s="172"/>
      <c r="L42" s="172"/>
      <c r="M42" s="172"/>
      <c r="N42" s="172"/>
      <c r="O42" s="172"/>
      <c r="P42" s="172"/>
      <c r="Q42" s="172"/>
      <c r="R42" s="172"/>
      <c r="S42" s="172"/>
      <c r="T42" s="172"/>
      <c r="U42" s="172"/>
      <c r="V42" s="172"/>
      <c r="W42" s="172"/>
      <c r="X42" s="172"/>
      <c r="Y42" s="172"/>
      <c r="Z42" s="172"/>
      <c r="AA42" s="172"/>
    </row>
    <row r="43" spans="1:27" ht="16">
      <c r="A43" s="170" t="str">
        <f t="shared" ca="1" si="0"/>
        <v/>
      </c>
      <c r="B43" s="171" t="str">
        <f t="shared" ca="1" si="1"/>
        <v/>
      </c>
      <c r="C43" s="171" t="str">
        <f t="shared" ca="1" si="2"/>
        <v/>
      </c>
      <c r="D43" s="172">
        <f t="shared" ca="1" si="3"/>
        <v>0</v>
      </c>
      <c r="E43" s="172" t="s">
        <v>281</v>
      </c>
      <c r="F43" s="172"/>
      <c r="G43" s="174"/>
      <c r="H43" s="174"/>
      <c r="I43" s="172">
        <f ca="1">IFERROR(__xludf.DUMMYFUNCTION("""COMPUTED_VALUE"""),0)</f>
        <v>0</v>
      </c>
      <c r="J43" s="172"/>
      <c r="K43" s="172"/>
      <c r="L43" s="172"/>
      <c r="M43" s="172"/>
      <c r="N43" s="172"/>
      <c r="O43" s="172"/>
      <c r="P43" s="172"/>
      <c r="Q43" s="172"/>
      <c r="R43" s="172"/>
      <c r="S43" s="172"/>
      <c r="T43" s="172"/>
      <c r="U43" s="172"/>
      <c r="V43" s="172"/>
      <c r="W43" s="172"/>
      <c r="X43" s="172"/>
      <c r="Y43" s="172"/>
      <c r="Z43" s="172"/>
      <c r="AA43" s="172"/>
    </row>
    <row r="44" spans="1:27" ht="16">
      <c r="A44" s="170" t="str">
        <f t="shared" ca="1" si="0"/>
        <v/>
      </c>
      <c r="B44" s="171" t="str">
        <f t="shared" ca="1" si="1"/>
        <v/>
      </c>
      <c r="C44" s="171" t="str">
        <f t="shared" ca="1" si="2"/>
        <v/>
      </c>
      <c r="D44" s="172">
        <f t="shared" ca="1" si="3"/>
        <v>0</v>
      </c>
      <c r="E44" s="172" t="s">
        <v>281</v>
      </c>
      <c r="F44" s="172"/>
      <c r="G44" s="174"/>
      <c r="H44" s="174"/>
      <c r="I44" s="172">
        <f ca="1">IFERROR(__xludf.DUMMYFUNCTION("""COMPUTED_VALUE"""),0)</f>
        <v>0</v>
      </c>
      <c r="J44" s="172"/>
      <c r="K44" s="172"/>
      <c r="L44" s="172"/>
      <c r="M44" s="172"/>
      <c r="N44" s="172"/>
      <c r="O44" s="172"/>
      <c r="P44" s="172"/>
      <c r="Q44" s="172"/>
      <c r="R44" s="172"/>
      <c r="S44" s="172"/>
      <c r="T44" s="172"/>
      <c r="U44" s="172"/>
      <c r="V44" s="172"/>
      <c r="W44" s="172"/>
      <c r="X44" s="172"/>
      <c r="Y44" s="172"/>
      <c r="Z44" s="172"/>
      <c r="AA44" s="172"/>
    </row>
    <row r="45" spans="1:27" ht="16">
      <c r="A45" s="170" t="str">
        <f t="shared" ca="1" si="0"/>
        <v/>
      </c>
      <c r="B45" s="171" t="str">
        <f t="shared" ca="1" si="1"/>
        <v/>
      </c>
      <c r="C45" s="171" t="str">
        <f t="shared" ca="1" si="2"/>
        <v/>
      </c>
      <c r="D45" s="172">
        <f t="shared" ca="1" si="3"/>
        <v>0</v>
      </c>
      <c r="E45" s="172" t="s">
        <v>281</v>
      </c>
      <c r="F45" s="172"/>
      <c r="G45" s="174"/>
      <c r="H45" s="174"/>
      <c r="I45" s="172">
        <f ca="1">IFERROR(__xludf.DUMMYFUNCTION("""COMPUTED_VALUE"""),0)</f>
        <v>0</v>
      </c>
      <c r="J45" s="172"/>
      <c r="K45" s="172"/>
      <c r="L45" s="172"/>
      <c r="M45" s="172"/>
      <c r="N45" s="172"/>
      <c r="O45" s="172"/>
      <c r="P45" s="172"/>
      <c r="Q45" s="172"/>
      <c r="R45" s="172"/>
      <c r="S45" s="172"/>
      <c r="T45" s="172"/>
      <c r="U45" s="172"/>
      <c r="V45" s="172"/>
      <c r="W45" s="172"/>
      <c r="X45" s="172"/>
      <c r="Y45" s="172"/>
      <c r="Z45" s="172"/>
      <c r="AA45" s="172"/>
    </row>
    <row r="46" spans="1:27" ht="16">
      <c r="A46" s="170" t="str">
        <f t="shared" ca="1" si="0"/>
        <v/>
      </c>
      <c r="B46" s="171" t="str">
        <f t="shared" ca="1" si="1"/>
        <v/>
      </c>
      <c r="C46" s="171" t="str">
        <f t="shared" ca="1" si="2"/>
        <v/>
      </c>
      <c r="D46" s="172">
        <f t="shared" ca="1" si="3"/>
        <v>0</v>
      </c>
      <c r="E46" s="172" t="s">
        <v>281</v>
      </c>
      <c r="F46" s="172"/>
      <c r="G46" s="174"/>
      <c r="H46" s="174"/>
      <c r="I46" s="172">
        <f ca="1">IFERROR(__xludf.DUMMYFUNCTION("""COMPUTED_VALUE"""),0)</f>
        <v>0</v>
      </c>
      <c r="J46" s="172"/>
      <c r="K46" s="172"/>
      <c r="L46" s="172"/>
      <c r="M46" s="172"/>
      <c r="N46" s="172"/>
      <c r="O46" s="172"/>
      <c r="P46" s="172"/>
      <c r="Q46" s="172"/>
      <c r="R46" s="172"/>
      <c r="S46" s="172"/>
      <c r="T46" s="172"/>
      <c r="U46" s="172"/>
      <c r="V46" s="172"/>
      <c r="W46" s="172"/>
      <c r="X46" s="172"/>
      <c r="Y46" s="172"/>
      <c r="Z46" s="172"/>
      <c r="AA46" s="172"/>
    </row>
    <row r="47" spans="1:27" ht="16">
      <c r="A47" s="170" t="str">
        <f t="shared" ca="1" si="0"/>
        <v/>
      </c>
      <c r="B47" s="171" t="str">
        <f t="shared" ca="1" si="1"/>
        <v/>
      </c>
      <c r="C47" s="171" t="str">
        <f t="shared" ca="1" si="2"/>
        <v/>
      </c>
      <c r="D47" s="172">
        <f t="shared" ca="1" si="3"/>
        <v>0</v>
      </c>
      <c r="E47" s="172" t="s">
        <v>281</v>
      </c>
      <c r="F47" s="172"/>
      <c r="G47" s="174"/>
      <c r="H47" s="174"/>
      <c r="I47" s="172">
        <f ca="1">IFERROR(__xludf.DUMMYFUNCTION("""COMPUTED_VALUE"""),0)</f>
        <v>0</v>
      </c>
      <c r="J47" s="172"/>
      <c r="K47" s="172"/>
      <c r="L47" s="172"/>
      <c r="M47" s="172"/>
      <c r="N47" s="172"/>
      <c r="O47" s="172"/>
      <c r="P47" s="172"/>
      <c r="Q47" s="172"/>
      <c r="R47" s="172"/>
      <c r="S47" s="172"/>
      <c r="T47" s="172"/>
      <c r="U47" s="172"/>
      <c r="V47" s="172"/>
      <c r="W47" s="172"/>
      <c r="X47" s="172"/>
      <c r="Y47" s="172"/>
      <c r="Z47" s="172"/>
      <c r="AA47" s="172"/>
    </row>
    <row r="48" spans="1:27" ht="16">
      <c r="A48" s="170" t="str">
        <f t="shared" ca="1" si="0"/>
        <v/>
      </c>
      <c r="B48" s="171" t="str">
        <f t="shared" ca="1" si="1"/>
        <v/>
      </c>
      <c r="C48" s="171" t="str">
        <f t="shared" ca="1" si="2"/>
        <v/>
      </c>
      <c r="D48" s="172">
        <f t="shared" ca="1" si="3"/>
        <v>0</v>
      </c>
      <c r="E48" s="172" t="s">
        <v>281</v>
      </c>
      <c r="F48" s="172"/>
      <c r="G48" s="174"/>
      <c r="H48" s="174"/>
      <c r="I48" s="172">
        <f ca="1">IFERROR(__xludf.DUMMYFUNCTION("""COMPUTED_VALUE"""),0)</f>
        <v>0</v>
      </c>
      <c r="J48" s="172"/>
      <c r="K48" s="172"/>
      <c r="L48" s="172"/>
      <c r="M48" s="172"/>
      <c r="N48" s="172"/>
      <c r="O48" s="172"/>
      <c r="P48" s="172"/>
      <c r="Q48" s="172"/>
      <c r="R48" s="172"/>
      <c r="S48" s="172"/>
      <c r="T48" s="172"/>
      <c r="U48" s="172"/>
      <c r="V48" s="172"/>
      <c r="W48" s="172"/>
      <c r="X48" s="172"/>
      <c r="Y48" s="172"/>
      <c r="Z48" s="172"/>
      <c r="AA48" s="172"/>
    </row>
    <row r="49" spans="1:27" ht="16">
      <c r="A49" s="170" t="str">
        <f t="shared" ca="1" si="0"/>
        <v/>
      </c>
      <c r="B49" s="171" t="str">
        <f t="shared" ca="1" si="1"/>
        <v/>
      </c>
      <c r="C49" s="171" t="str">
        <f t="shared" ca="1" si="2"/>
        <v>Very easy class. Mostly a review of a market research study. It also helps you learn some jargon regarding encryption.</v>
      </c>
      <c r="D49" s="172">
        <f t="shared" ca="1" si="3"/>
        <v>1</v>
      </c>
      <c r="E49" s="172">
        <v>14</v>
      </c>
      <c r="F49" s="172"/>
      <c r="G49" s="174"/>
      <c r="H49" s="174"/>
      <c r="I49" s="172">
        <f ca="1">IFERROR(__xludf.DUMMYFUNCTION("""COMPUTED_VALUE"""),0)</f>
        <v>0</v>
      </c>
      <c r="J49" s="172"/>
      <c r="K49" s="172"/>
      <c r="L49" s="172"/>
      <c r="M49" s="172"/>
      <c r="N49" s="172"/>
      <c r="O49" s="172"/>
      <c r="P49" s="172"/>
      <c r="Q49" s="172"/>
      <c r="R49" s="172"/>
      <c r="S49" s="172"/>
      <c r="T49" s="172"/>
      <c r="U49" s="172"/>
      <c r="V49" s="172"/>
      <c r="W49" s="172"/>
      <c r="X49" s="172"/>
      <c r="Y49" s="172"/>
      <c r="Z49" s="172"/>
      <c r="AA49" s="172"/>
    </row>
    <row r="50" spans="1:27" ht="16">
      <c r="A50" s="170" t="str">
        <f t="shared" ca="1" si="0"/>
        <v/>
      </c>
      <c r="B50" s="171" t="str">
        <f t="shared" ca="1" si="1"/>
        <v/>
      </c>
      <c r="C50" s="171" t="str">
        <f t="shared" ca="1" si="2"/>
        <v/>
      </c>
      <c r="D50" s="172">
        <f t="shared" ca="1" si="3"/>
        <v>0</v>
      </c>
      <c r="E50" s="172" t="s">
        <v>281</v>
      </c>
      <c r="F50" s="172"/>
      <c r="G50" s="174"/>
      <c r="H50" s="174"/>
      <c r="I50" s="172">
        <f ca="1">IFERROR(__xludf.DUMMYFUNCTION("""COMPUTED_VALUE"""),0)</f>
        <v>0</v>
      </c>
      <c r="J50" s="172"/>
      <c r="K50" s="172"/>
      <c r="L50" s="172"/>
      <c r="M50" s="172"/>
      <c r="N50" s="172"/>
      <c r="O50" s="172"/>
      <c r="P50" s="172"/>
      <c r="Q50" s="172"/>
      <c r="R50" s="172"/>
      <c r="S50" s="172"/>
      <c r="T50" s="172"/>
      <c r="U50" s="172"/>
      <c r="V50" s="172"/>
      <c r="W50" s="172"/>
      <c r="X50" s="172"/>
      <c r="Y50" s="172"/>
      <c r="Z50" s="172"/>
      <c r="AA50" s="172"/>
    </row>
    <row r="51" spans="1:27" ht="16">
      <c r="A51" s="170" t="str">
        <f t="shared" ca="1" si="0"/>
        <v/>
      </c>
      <c r="B51" s="171" t="str">
        <f t="shared" ca="1" si="1"/>
        <v/>
      </c>
      <c r="C51" s="171" t="str">
        <f t="shared" ca="1" si="2"/>
        <v/>
      </c>
      <c r="D51" s="172">
        <f t="shared" ca="1" si="3"/>
        <v>0</v>
      </c>
      <c r="E51" s="172" t="s">
        <v>281</v>
      </c>
      <c r="F51" s="172"/>
      <c r="G51" s="174"/>
      <c r="H51" s="174"/>
      <c r="I51" s="172">
        <f ca="1">IFERROR(__xludf.DUMMYFUNCTION("""COMPUTED_VALUE"""),0)</f>
        <v>0</v>
      </c>
      <c r="J51" s="172"/>
      <c r="K51" s="172"/>
      <c r="L51" s="172"/>
      <c r="M51" s="172"/>
      <c r="N51" s="172"/>
      <c r="O51" s="172"/>
      <c r="P51" s="172"/>
      <c r="Q51" s="172"/>
      <c r="R51" s="172"/>
      <c r="S51" s="172"/>
      <c r="T51" s="172"/>
      <c r="U51" s="172"/>
      <c r="V51" s="172"/>
      <c r="W51" s="172"/>
      <c r="X51" s="172"/>
      <c r="Y51" s="172"/>
      <c r="Z51" s="172"/>
      <c r="AA51" s="172"/>
    </row>
    <row r="52" spans="1:27" ht="16">
      <c r="A52" s="170" t="str">
        <f t="shared" ca="1" si="0"/>
        <v/>
      </c>
      <c r="B52" s="171" t="str">
        <f t="shared" ca="1" si="1"/>
        <v/>
      </c>
      <c r="C52" s="171" t="str">
        <f t="shared" ca="1" si="2"/>
        <v>just review the quizes</v>
      </c>
      <c r="D52" s="172">
        <f t="shared" ca="1" si="3"/>
        <v>1</v>
      </c>
      <c r="E52" s="172">
        <v>12</v>
      </c>
      <c r="F52" s="172"/>
      <c r="G52" s="174"/>
      <c r="H52" s="174"/>
      <c r="I52" s="172">
        <f ca="1">IFERROR(__xludf.DUMMYFUNCTION("""COMPUTED_VALUE"""),0)</f>
        <v>0</v>
      </c>
      <c r="J52" s="172"/>
      <c r="K52" s="172"/>
      <c r="L52" s="172"/>
      <c r="M52" s="172"/>
      <c r="N52" s="172"/>
      <c r="O52" s="172"/>
      <c r="P52" s="172"/>
      <c r="Q52" s="172"/>
      <c r="R52" s="172"/>
      <c r="S52" s="172"/>
      <c r="T52" s="172"/>
      <c r="U52" s="172"/>
      <c r="V52" s="172"/>
      <c r="W52" s="172"/>
      <c r="X52" s="172"/>
      <c r="Y52" s="172"/>
      <c r="Z52" s="172"/>
      <c r="AA52" s="172"/>
    </row>
    <row r="53" spans="1:27" ht="16">
      <c r="A53" s="170" t="str">
        <f t="shared" ca="1" si="0"/>
        <v/>
      </c>
      <c r="B53" s="171" t="str">
        <f t="shared" ca="1" si="1"/>
        <v/>
      </c>
      <c r="C53" s="171" t="str">
        <f t="shared" ca="1" si="2"/>
        <v>comfort in Verilog helps</v>
      </c>
      <c r="D53" s="172">
        <f t="shared" ca="1" si="3"/>
        <v>1</v>
      </c>
      <c r="E53" s="172">
        <v>13</v>
      </c>
      <c r="F53" s="172"/>
      <c r="G53" s="174"/>
      <c r="H53" s="174"/>
      <c r="I53" s="172">
        <f ca="1">IFERROR(__xludf.DUMMYFUNCTION("""COMPUTED_VALUE"""),0)</f>
        <v>0</v>
      </c>
      <c r="J53" s="172"/>
      <c r="K53" s="172"/>
      <c r="L53" s="172"/>
      <c r="M53" s="172"/>
      <c r="N53" s="172"/>
      <c r="O53" s="172"/>
      <c r="P53" s="172"/>
      <c r="Q53" s="172"/>
      <c r="R53" s="172"/>
      <c r="S53" s="172"/>
      <c r="T53" s="172"/>
      <c r="U53" s="172"/>
      <c r="V53" s="172"/>
      <c r="W53" s="172"/>
      <c r="X53" s="172"/>
      <c r="Y53" s="172"/>
      <c r="Z53" s="172"/>
      <c r="AA53" s="172"/>
    </row>
    <row r="54" spans="1:27" ht="16">
      <c r="A54" s="170" t="str">
        <f t="shared" ca="1" si="0"/>
        <v/>
      </c>
      <c r="B54" s="171" t="str">
        <f t="shared" ca="1" si="1"/>
        <v/>
      </c>
      <c r="C54" s="171" t="str">
        <f t="shared" ca="1" si="2"/>
        <v/>
      </c>
      <c r="D54" s="172">
        <f t="shared" ca="1" si="3"/>
        <v>0</v>
      </c>
      <c r="E54" s="172" t="s">
        <v>281</v>
      </c>
      <c r="F54" s="172"/>
      <c r="G54" s="174"/>
      <c r="H54" s="174"/>
      <c r="I54" s="172">
        <f ca="1">IFERROR(__xludf.DUMMYFUNCTION("""COMPUTED_VALUE"""),0)</f>
        <v>0</v>
      </c>
      <c r="J54" s="172"/>
      <c r="K54" s="172"/>
      <c r="L54" s="172"/>
      <c r="M54" s="172"/>
      <c r="N54" s="172"/>
      <c r="O54" s="172"/>
      <c r="P54" s="172"/>
      <c r="Q54" s="172"/>
      <c r="R54" s="172"/>
      <c r="S54" s="172"/>
      <c r="T54" s="172"/>
      <c r="U54" s="172"/>
      <c r="V54" s="172"/>
      <c r="W54" s="172"/>
      <c r="X54" s="172"/>
      <c r="Y54" s="172"/>
      <c r="Z54" s="172"/>
      <c r="AA54" s="172"/>
    </row>
    <row r="55" spans="1:27" ht="16">
      <c r="A55" s="170" t="str">
        <f t="shared" ca="1" si="0"/>
        <v/>
      </c>
      <c r="B55" s="171" t="str">
        <f t="shared" ca="1" si="1"/>
        <v/>
      </c>
      <c r="C55" s="171" t="str">
        <f t="shared" ca="1" si="2"/>
        <v/>
      </c>
      <c r="D55" s="172">
        <f t="shared" ca="1" si="3"/>
        <v>0</v>
      </c>
      <c r="E55" s="172" t="s">
        <v>281</v>
      </c>
      <c r="F55" s="172"/>
      <c r="G55" s="174"/>
      <c r="H55" s="174"/>
      <c r="I55" s="172">
        <f ca="1">IFERROR(__xludf.DUMMYFUNCTION("""COMPUTED_VALUE"""),0)</f>
        <v>0</v>
      </c>
      <c r="J55" s="172"/>
      <c r="K55" s="172"/>
      <c r="L55" s="172"/>
      <c r="M55" s="172"/>
      <c r="N55" s="172"/>
      <c r="O55" s="172"/>
      <c r="P55" s="172"/>
      <c r="Q55" s="172"/>
      <c r="R55" s="172"/>
      <c r="S55" s="172"/>
      <c r="T55" s="172"/>
      <c r="U55" s="172"/>
      <c r="V55" s="172"/>
      <c r="W55" s="172"/>
      <c r="X55" s="172"/>
      <c r="Y55" s="172"/>
      <c r="Z55" s="172"/>
      <c r="AA55" s="172"/>
    </row>
    <row r="56" spans="1:27" ht="16">
      <c r="A56" s="170" t="str">
        <f t="shared" ca="1" si="0"/>
        <v/>
      </c>
      <c r="B56" s="171" t="str">
        <f t="shared" ca="1" si="1"/>
        <v/>
      </c>
      <c r="C56" s="171" t="str">
        <f t="shared" ca="1" si="2"/>
        <v/>
      </c>
      <c r="D56" s="172">
        <f t="shared" ca="1" si="3"/>
        <v>0</v>
      </c>
      <c r="E56" s="172" t="s">
        <v>281</v>
      </c>
      <c r="F56" s="172"/>
      <c r="G56" s="174"/>
      <c r="H56" s="174"/>
      <c r="I56" s="172">
        <f ca="1">IFERROR(__xludf.DUMMYFUNCTION("""COMPUTED_VALUE"""),0)</f>
        <v>0</v>
      </c>
      <c r="J56" s="172"/>
      <c r="K56" s="172"/>
      <c r="L56" s="172"/>
      <c r="M56" s="172"/>
      <c r="N56" s="172"/>
      <c r="O56" s="172"/>
      <c r="P56" s="172"/>
      <c r="Q56" s="172"/>
      <c r="R56" s="172"/>
      <c r="S56" s="172"/>
      <c r="T56" s="172"/>
      <c r="U56" s="172"/>
      <c r="V56" s="172"/>
      <c r="W56" s="172"/>
      <c r="X56" s="172"/>
      <c r="Y56" s="172"/>
      <c r="Z56" s="172"/>
      <c r="AA56" s="172"/>
    </row>
    <row r="57" spans="1:27" ht="16">
      <c r="A57" s="170" t="str">
        <f t="shared" ca="1" si="0"/>
        <v/>
      </c>
      <c r="B57" s="171" t="str">
        <f t="shared" ca="1" si="1"/>
        <v/>
      </c>
      <c r="C57" s="171">
        <f t="shared" ca="1" si="2"/>
        <v>0</v>
      </c>
      <c r="D57" s="172">
        <f t="shared" ca="1" si="3"/>
        <v>1</v>
      </c>
      <c r="E57" s="172">
        <v>30</v>
      </c>
      <c r="F57" s="172"/>
      <c r="G57" s="174"/>
      <c r="H57" s="174"/>
      <c r="I57" s="172">
        <f ca="1">IFERROR(__xludf.DUMMYFUNCTION("""COMPUTED_VALUE"""),0)</f>
        <v>0</v>
      </c>
      <c r="J57" s="172"/>
      <c r="K57" s="172"/>
      <c r="L57" s="172"/>
      <c r="M57" s="172"/>
      <c r="N57" s="172"/>
      <c r="O57" s="172"/>
      <c r="P57" s="172"/>
      <c r="Q57" s="172"/>
      <c r="R57" s="172"/>
      <c r="S57" s="172"/>
      <c r="T57" s="172"/>
      <c r="U57" s="172"/>
      <c r="V57" s="172"/>
      <c r="W57" s="172"/>
      <c r="X57" s="172"/>
      <c r="Y57" s="172"/>
      <c r="Z57" s="172"/>
      <c r="AA57" s="172"/>
    </row>
    <row r="58" spans="1:27" ht="16">
      <c r="A58" s="170" t="str">
        <f t="shared" ca="1" si="0"/>
        <v/>
      </c>
      <c r="B58" s="171" t="str">
        <f t="shared" ca="1" si="1"/>
        <v/>
      </c>
      <c r="C58" s="171" t="str">
        <f t="shared" ca="1" si="2"/>
        <v xml:space="preserve">A basic understanding of digital logic will be beneficial prior to starting. Assignments are lazily put together mostly following the lecture videos step by step and submitting screenshots. My only advice is to start looking at the assignments and quizzes early on so you have time to retake them as much as you need. </v>
      </c>
      <c r="D58" s="172">
        <f t="shared" ca="1" si="3"/>
        <v>1</v>
      </c>
      <c r="E58" s="172">
        <v>10</v>
      </c>
      <c r="F58" s="172"/>
      <c r="G58" s="174"/>
      <c r="H58" s="174"/>
      <c r="I58" s="172">
        <f ca="1">IFERROR(__xludf.DUMMYFUNCTION("""COMPUTED_VALUE"""),0)</f>
        <v>0</v>
      </c>
      <c r="J58" s="172"/>
      <c r="K58" s="172"/>
      <c r="L58" s="172"/>
      <c r="M58" s="172"/>
      <c r="N58" s="172"/>
      <c r="O58" s="172"/>
      <c r="P58" s="172"/>
      <c r="Q58" s="172"/>
      <c r="R58" s="172"/>
      <c r="S58" s="172"/>
      <c r="T58" s="172"/>
      <c r="U58" s="172"/>
      <c r="V58" s="172"/>
      <c r="W58" s="172"/>
      <c r="X58" s="172"/>
      <c r="Y58" s="172"/>
      <c r="Z58" s="172"/>
      <c r="AA58" s="172"/>
    </row>
    <row r="59" spans="1:27" ht="16">
      <c r="A59" s="170" t="str">
        <f t="shared" ca="1" si="0"/>
        <v/>
      </c>
      <c r="B59" s="171" t="str">
        <f t="shared" ca="1" si="1"/>
        <v/>
      </c>
      <c r="C59" s="171" t="str">
        <f t="shared" ca="1" si="2"/>
        <v/>
      </c>
      <c r="D59" s="172">
        <f t="shared" ca="1" si="3"/>
        <v>0</v>
      </c>
      <c r="E59" s="172" t="s">
        <v>281</v>
      </c>
      <c r="F59" s="172"/>
      <c r="G59" s="174"/>
      <c r="H59" s="174"/>
      <c r="I59" s="172">
        <f ca="1">IFERROR(__xludf.DUMMYFUNCTION("""COMPUTED_VALUE"""),0)</f>
        <v>0</v>
      </c>
      <c r="J59" s="172"/>
      <c r="K59" s="172"/>
      <c r="L59" s="172"/>
      <c r="M59" s="172"/>
      <c r="N59" s="172"/>
      <c r="O59" s="172"/>
      <c r="P59" s="172"/>
      <c r="Q59" s="172"/>
      <c r="R59" s="172"/>
      <c r="S59" s="172"/>
      <c r="T59" s="172"/>
      <c r="U59" s="172"/>
      <c r="V59" s="172"/>
      <c r="W59" s="172"/>
      <c r="X59" s="172"/>
      <c r="Y59" s="172"/>
      <c r="Z59" s="172"/>
      <c r="AA59" s="172"/>
    </row>
    <row r="60" spans="1:27" ht="16">
      <c r="A60" s="170" t="str">
        <f t="shared" ca="1" si="0"/>
        <v/>
      </c>
      <c r="B60" s="171" t="str">
        <f t="shared" ca="1" si="1"/>
        <v/>
      </c>
      <c r="C60" s="171" t="str">
        <f t="shared" ca="1" si="2"/>
        <v/>
      </c>
      <c r="D60" s="172">
        <f t="shared" ca="1" si="3"/>
        <v>0</v>
      </c>
      <c r="E60" s="172" t="s">
        <v>281</v>
      </c>
      <c r="F60" s="172"/>
      <c r="G60" s="174"/>
      <c r="H60" s="174"/>
      <c r="I60" s="172">
        <f ca="1">IFERROR(__xludf.DUMMYFUNCTION("""COMPUTED_VALUE"""),0)</f>
        <v>0</v>
      </c>
      <c r="J60" s="172"/>
      <c r="K60" s="172"/>
      <c r="L60" s="172"/>
      <c r="M60" s="172"/>
      <c r="N60" s="172"/>
      <c r="O60" s="172"/>
      <c r="P60" s="172"/>
      <c r="Q60" s="172"/>
      <c r="R60" s="172"/>
      <c r="S60" s="172"/>
      <c r="T60" s="172"/>
      <c r="U60" s="172"/>
      <c r="V60" s="172"/>
      <c r="W60" s="172"/>
      <c r="X60" s="172"/>
      <c r="Y60" s="172"/>
      <c r="Z60" s="172"/>
      <c r="AA60" s="172"/>
    </row>
    <row r="61" spans="1:27" ht="16">
      <c r="A61" s="170" t="str">
        <f t="shared" ca="1" si="0"/>
        <v/>
      </c>
      <c r="B61" s="171" t="str">
        <f t="shared" ca="1" si="1"/>
        <v/>
      </c>
      <c r="C61" s="171" t="str">
        <f t="shared" ca="1" si="2"/>
        <v/>
      </c>
      <c r="D61" s="172">
        <f t="shared" ca="1" si="3"/>
        <v>0</v>
      </c>
      <c r="E61" s="172" t="s">
        <v>281</v>
      </c>
      <c r="F61" s="172"/>
      <c r="G61" s="174"/>
      <c r="H61" s="174"/>
      <c r="I61" s="172">
        <f ca="1">IFERROR(__xludf.DUMMYFUNCTION("""COMPUTED_VALUE"""),0)</f>
        <v>0</v>
      </c>
      <c r="J61" s="172"/>
      <c r="K61" s="172"/>
      <c r="L61" s="172"/>
      <c r="M61" s="172"/>
      <c r="N61" s="172"/>
      <c r="O61" s="172"/>
      <c r="P61" s="172"/>
      <c r="Q61" s="172"/>
      <c r="R61" s="172"/>
      <c r="S61" s="172"/>
      <c r="T61" s="172"/>
      <c r="U61" s="172"/>
      <c r="V61" s="172"/>
      <c r="W61" s="172"/>
      <c r="X61" s="172"/>
      <c r="Y61" s="172"/>
      <c r="Z61" s="172"/>
      <c r="AA61" s="172"/>
    </row>
    <row r="62" spans="1:27" ht="16">
      <c r="A62" s="170" t="str">
        <f t="shared" ca="1" si="0"/>
        <v/>
      </c>
      <c r="B62" s="171" t="str">
        <f t="shared" ca="1" si="1"/>
        <v/>
      </c>
      <c r="C62" s="171" t="str">
        <f t="shared" ca="1" si="2"/>
        <v/>
      </c>
      <c r="D62" s="172">
        <f t="shared" ca="1" si="3"/>
        <v>0</v>
      </c>
      <c r="E62" s="172" t="s">
        <v>281</v>
      </c>
      <c r="F62" s="172"/>
      <c r="G62" s="174"/>
      <c r="H62" s="174"/>
      <c r="I62" s="172">
        <f ca="1">IFERROR(__xludf.DUMMYFUNCTION("""COMPUTED_VALUE"""),0)</f>
        <v>0</v>
      </c>
      <c r="J62" s="172"/>
      <c r="K62" s="172"/>
      <c r="L62" s="172"/>
      <c r="M62" s="172"/>
      <c r="N62" s="172"/>
      <c r="O62" s="172"/>
      <c r="P62" s="172"/>
      <c r="Q62" s="172"/>
      <c r="R62" s="172"/>
      <c r="S62" s="172"/>
      <c r="T62" s="172"/>
      <c r="U62" s="172"/>
      <c r="V62" s="172"/>
      <c r="W62" s="172"/>
      <c r="X62" s="172"/>
      <c r="Y62" s="172"/>
      <c r="Z62" s="172"/>
      <c r="AA62" s="172"/>
    </row>
    <row r="63" spans="1:27" ht="16">
      <c r="A63" s="170" t="str">
        <f t="shared" ca="1" si="0"/>
        <v/>
      </c>
      <c r="B63" s="171" t="str">
        <f t="shared" ca="1" si="1"/>
        <v/>
      </c>
      <c r="C63" s="171" t="str">
        <f t="shared" ca="1" si="2"/>
        <v/>
      </c>
      <c r="D63" s="172">
        <f t="shared" ca="1" si="3"/>
        <v>0</v>
      </c>
      <c r="E63" s="172" t="s">
        <v>281</v>
      </c>
      <c r="F63" s="172"/>
      <c r="G63" s="174"/>
      <c r="H63" s="174"/>
      <c r="I63" s="172">
        <f ca="1">IFERROR(__xludf.DUMMYFUNCTION("""COMPUTED_VALUE"""),0)</f>
        <v>0</v>
      </c>
      <c r="J63" s="172"/>
      <c r="K63" s="172"/>
      <c r="L63" s="172"/>
      <c r="M63" s="172"/>
      <c r="N63" s="172"/>
      <c r="O63" s="172"/>
      <c r="P63" s="172"/>
      <c r="Q63" s="172"/>
      <c r="R63" s="172"/>
      <c r="S63" s="172"/>
      <c r="T63" s="172"/>
      <c r="U63" s="172"/>
      <c r="V63" s="172"/>
      <c r="W63" s="172"/>
      <c r="X63" s="172"/>
      <c r="Y63" s="172"/>
      <c r="Z63" s="172"/>
      <c r="AA63" s="172"/>
    </row>
    <row r="64" spans="1:27" ht="16">
      <c r="A64" s="170" t="str">
        <f t="shared" ca="1" si="0"/>
        <v/>
      </c>
      <c r="B64" s="171" t="str">
        <f t="shared" ca="1" si="1"/>
        <v/>
      </c>
      <c r="C64" s="171" t="str">
        <f t="shared" ca="1" si="2"/>
        <v xml:space="preserve">You need to review the power electronics courses. Specifically doing the hardware design for a dcdc converter. You need to start early with the assignments and plan when to test that involves having a pretty good amount of sunlight. Also a good soldering iron would do wonders. In the programming version be sure to use the same version of the CCS. trying to use the latest version would delay you because a lot of issues would show up. So as to not put you behind by several days get the older version that was tested. </v>
      </c>
      <c r="D64" s="172">
        <f t="shared" ca="1" si="3"/>
        <v>1</v>
      </c>
      <c r="E64" s="172">
        <v>45</v>
      </c>
      <c r="F64" s="172"/>
      <c r="G64" s="174"/>
      <c r="H64" s="174"/>
      <c r="I64" s="172">
        <f ca="1">IFERROR(__xludf.DUMMYFUNCTION("""COMPUTED_VALUE"""),0)</f>
        <v>0</v>
      </c>
      <c r="J64" s="172"/>
      <c r="K64" s="172"/>
      <c r="L64" s="172"/>
      <c r="M64" s="172"/>
      <c r="N64" s="172"/>
      <c r="O64" s="172"/>
      <c r="P64" s="172"/>
      <c r="Q64" s="172"/>
      <c r="R64" s="172"/>
      <c r="S64" s="172"/>
      <c r="T64" s="172"/>
      <c r="U64" s="172"/>
      <c r="V64" s="172"/>
      <c r="W64" s="172"/>
      <c r="X64" s="172"/>
      <c r="Y64" s="172"/>
      <c r="Z64" s="172"/>
      <c r="AA64" s="172"/>
    </row>
    <row r="65" spans="1:27" ht="16">
      <c r="A65" s="170" t="str">
        <f t="shared" ca="1" si="0"/>
        <v/>
      </c>
      <c r="B65" s="171" t="str">
        <f t="shared" ca="1" si="1"/>
        <v/>
      </c>
      <c r="C65" s="171" t="str">
        <f t="shared" ca="1" si="2"/>
        <v/>
      </c>
      <c r="D65" s="172">
        <f t="shared" ca="1" si="3"/>
        <v>0</v>
      </c>
      <c r="E65" s="172" t="s">
        <v>281</v>
      </c>
      <c r="F65" s="172"/>
      <c r="G65" s="174"/>
      <c r="H65" s="174"/>
      <c r="I65" s="172">
        <f ca="1">IFERROR(__xludf.DUMMYFUNCTION("""COMPUTED_VALUE"""),0)</f>
        <v>0</v>
      </c>
      <c r="J65" s="172"/>
      <c r="K65" s="172"/>
      <c r="L65" s="172"/>
      <c r="M65" s="172"/>
      <c r="N65" s="172"/>
      <c r="O65" s="172"/>
      <c r="P65" s="172"/>
      <c r="Q65" s="172"/>
      <c r="R65" s="172"/>
      <c r="S65" s="172"/>
      <c r="T65" s="172"/>
      <c r="U65" s="172"/>
      <c r="V65" s="172"/>
      <c r="W65" s="172"/>
      <c r="X65" s="172"/>
      <c r="Y65" s="172"/>
      <c r="Z65" s="172"/>
      <c r="AA65" s="172"/>
    </row>
    <row r="66" spans="1:27" ht="16">
      <c r="A66" s="170" t="str">
        <f t="shared" ca="1" si="0"/>
        <v/>
      </c>
      <c r="B66" s="171" t="str">
        <f t="shared" ca="1" si="1"/>
        <v/>
      </c>
      <c r="C66" s="171" t="str">
        <f t="shared" ca="1" si="2"/>
        <v/>
      </c>
      <c r="D66" s="172">
        <f t="shared" ca="1" si="3"/>
        <v>0</v>
      </c>
      <c r="E66" s="172" t="s">
        <v>281</v>
      </c>
      <c r="F66" s="172"/>
      <c r="G66" s="174"/>
      <c r="H66" s="174"/>
      <c r="I66" s="172">
        <f ca="1">IFERROR(__xludf.DUMMYFUNCTION("""COMPUTED_VALUE"""),0)</f>
        <v>0</v>
      </c>
      <c r="J66" s="172"/>
      <c r="K66" s="172"/>
      <c r="L66" s="172"/>
      <c r="M66" s="172"/>
      <c r="N66" s="172"/>
      <c r="O66" s="172"/>
      <c r="P66" s="172"/>
      <c r="Q66" s="172"/>
      <c r="R66" s="172"/>
      <c r="S66" s="172"/>
      <c r="T66" s="172"/>
      <c r="U66" s="172"/>
      <c r="V66" s="172"/>
      <c r="W66" s="172"/>
      <c r="X66" s="172"/>
      <c r="Y66" s="172"/>
      <c r="Z66" s="172"/>
      <c r="AA66" s="172"/>
    </row>
    <row r="67" spans="1:27" ht="16">
      <c r="A67" s="170" t="str">
        <f t="shared" ca="1" si="0"/>
        <v/>
      </c>
      <c r="B67" s="171" t="str">
        <f t="shared" ca="1" si="1"/>
        <v/>
      </c>
      <c r="C67" s="171" t="str">
        <f t="shared" ca="1" si="2"/>
        <v/>
      </c>
      <c r="D67" s="172">
        <f t="shared" ca="1" si="3"/>
        <v>0</v>
      </c>
      <c r="E67" s="172" t="s">
        <v>281</v>
      </c>
      <c r="F67" s="172"/>
      <c r="G67" s="174"/>
      <c r="H67" s="174"/>
      <c r="I67" s="172">
        <f ca="1">IFERROR(__xludf.DUMMYFUNCTION("""COMPUTED_VALUE"""),0)</f>
        <v>0</v>
      </c>
      <c r="J67" s="172"/>
      <c r="K67" s="172"/>
      <c r="L67" s="172"/>
      <c r="M67" s="172"/>
      <c r="N67" s="172"/>
      <c r="O67" s="172"/>
      <c r="P67" s="172"/>
      <c r="Q67" s="172"/>
      <c r="R67" s="172"/>
      <c r="S67" s="172"/>
      <c r="T67" s="172"/>
      <c r="U67" s="172"/>
      <c r="V67" s="172"/>
      <c r="W67" s="172"/>
      <c r="X67" s="172"/>
      <c r="Y67" s="172"/>
      <c r="Z67" s="172"/>
      <c r="AA67" s="172"/>
    </row>
    <row r="68" spans="1:27" ht="16">
      <c r="A68" s="170" t="str">
        <f t="shared" ca="1" si="0"/>
        <v/>
      </c>
      <c r="B68" s="171" t="str">
        <f t="shared" ca="1" si="1"/>
        <v/>
      </c>
      <c r="C68" s="171" t="str">
        <f t="shared" ca="1" si="2"/>
        <v/>
      </c>
      <c r="D68" s="172">
        <f t="shared" ca="1" si="3"/>
        <v>0</v>
      </c>
      <c r="E68" s="172" t="s">
        <v>281</v>
      </c>
      <c r="F68" s="172"/>
      <c r="G68" s="174"/>
      <c r="H68" s="174"/>
      <c r="I68" s="172">
        <f ca="1">IFERROR(__xludf.DUMMYFUNCTION("""COMPUTED_VALUE"""),0)</f>
        <v>0</v>
      </c>
      <c r="J68" s="172"/>
      <c r="K68" s="172"/>
      <c r="L68" s="172"/>
      <c r="M68" s="172"/>
      <c r="N68" s="172"/>
      <c r="O68" s="172"/>
      <c r="P68" s="172"/>
      <c r="Q68" s="172"/>
      <c r="R68" s="172"/>
      <c r="S68" s="172"/>
      <c r="T68" s="172"/>
      <c r="U68" s="172"/>
      <c r="V68" s="172"/>
      <c r="W68" s="172"/>
      <c r="X68" s="172"/>
      <c r="Y68" s="172"/>
      <c r="Z68" s="172"/>
      <c r="AA68" s="172"/>
    </row>
    <row r="69" spans="1:27" ht="16">
      <c r="A69" s="170" t="str">
        <f t="shared" ca="1" si="0"/>
        <v/>
      </c>
      <c r="B69" s="171" t="str">
        <f t="shared" ca="1" si="1"/>
        <v/>
      </c>
      <c r="C69" s="171" t="str">
        <f t="shared" ca="1" si="2"/>
        <v/>
      </c>
      <c r="D69" s="172">
        <f t="shared" ca="1" si="3"/>
        <v>0</v>
      </c>
      <c r="E69" s="172" t="s">
        <v>281</v>
      </c>
      <c r="F69" s="172"/>
      <c r="G69" s="174"/>
      <c r="H69" s="174"/>
      <c r="I69" s="172">
        <f ca="1">IFERROR(__xludf.DUMMYFUNCTION("""COMPUTED_VALUE"""),0)</f>
        <v>0</v>
      </c>
      <c r="J69" s="172"/>
      <c r="K69" s="172"/>
      <c r="L69" s="172"/>
      <c r="M69" s="172"/>
      <c r="N69" s="172"/>
      <c r="O69" s="172"/>
      <c r="P69" s="172"/>
      <c r="Q69" s="172"/>
      <c r="R69" s="172"/>
      <c r="S69" s="172"/>
      <c r="T69" s="172"/>
      <c r="U69" s="172"/>
      <c r="V69" s="172"/>
      <c r="W69" s="172"/>
      <c r="X69" s="172"/>
      <c r="Y69" s="172"/>
      <c r="Z69" s="172"/>
      <c r="AA69" s="172"/>
    </row>
    <row r="70" spans="1:27" ht="16">
      <c r="A70" s="170" t="str">
        <f t="shared" ca="1" si="0"/>
        <v/>
      </c>
      <c r="B70" s="171" t="str">
        <f t="shared" ca="1" si="1"/>
        <v/>
      </c>
      <c r="C70" s="171" t="str">
        <f t="shared" ca="1" si="2"/>
        <v/>
      </c>
      <c r="D70" s="172">
        <f t="shared" ca="1" si="3"/>
        <v>0</v>
      </c>
      <c r="E70" s="172" t="s">
        <v>281</v>
      </c>
      <c r="F70" s="172"/>
      <c r="G70" s="174"/>
      <c r="H70" s="174"/>
      <c r="I70" s="172">
        <f ca="1">IFERROR(__xludf.DUMMYFUNCTION("""COMPUTED_VALUE"""),0)</f>
        <v>0</v>
      </c>
      <c r="J70" s="172"/>
      <c r="K70" s="172"/>
      <c r="L70" s="172"/>
      <c r="M70" s="172"/>
      <c r="N70" s="172"/>
      <c r="O70" s="172"/>
      <c r="P70" s="172"/>
      <c r="Q70" s="172"/>
      <c r="R70" s="172"/>
      <c r="S70" s="172"/>
      <c r="T70" s="172"/>
      <c r="U70" s="172"/>
      <c r="V70" s="172"/>
      <c r="W70" s="172"/>
      <c r="X70" s="172"/>
      <c r="Y70" s="172"/>
      <c r="Z70" s="172"/>
      <c r="AA70" s="172"/>
    </row>
    <row r="71" spans="1:27" ht="16">
      <c r="A71" s="170" t="str">
        <f t="shared" ca="1" si="0"/>
        <v/>
      </c>
      <c r="B71" s="171" t="str">
        <f t="shared" ca="1" si="1"/>
        <v/>
      </c>
      <c r="C71" s="171" t="str">
        <f t="shared" ca="1" si="2"/>
        <v xml:space="preserve">I came in with zero electrical engineering knowledge but was able to do fairly well by having strong math skills and doing independent review of basic electrical engineering concepts. The homework was significantly harder than the exam. Got stuck on some homework questions and spent significant amount of time working on that, but if you get through the homework the exam is easy. </v>
      </c>
      <c r="D71" s="172">
        <f t="shared" ca="1" si="3"/>
        <v>1</v>
      </c>
      <c r="E71" s="172">
        <v>30</v>
      </c>
      <c r="F71" s="172"/>
      <c r="G71" s="174"/>
      <c r="H71" s="174"/>
      <c r="I71" s="172">
        <f ca="1">IFERROR(__xludf.DUMMYFUNCTION("""COMPUTED_VALUE"""),0)</f>
        <v>0</v>
      </c>
      <c r="J71" s="172"/>
      <c r="K71" s="172"/>
      <c r="L71" s="172"/>
      <c r="M71" s="172"/>
      <c r="N71" s="172"/>
      <c r="O71" s="172"/>
      <c r="P71" s="172"/>
      <c r="Q71" s="172"/>
      <c r="R71" s="172"/>
      <c r="S71" s="172"/>
      <c r="T71" s="172"/>
      <c r="U71" s="172"/>
      <c r="V71" s="172"/>
      <c r="W71" s="172"/>
      <c r="X71" s="172"/>
      <c r="Y71" s="172"/>
      <c r="Z71" s="172"/>
      <c r="AA71" s="172"/>
    </row>
    <row r="72" spans="1:27" ht="16">
      <c r="A72" s="170" t="str">
        <f t="shared" ca="1" si="0"/>
        <v/>
      </c>
      <c r="B72" s="171" t="str">
        <f t="shared" ca="1" si="1"/>
        <v/>
      </c>
      <c r="C72" s="171" t="str">
        <f t="shared" ca="1" si="2"/>
        <v/>
      </c>
      <c r="D72" s="172">
        <f t="shared" ca="1" si="3"/>
        <v>0</v>
      </c>
      <c r="E72" s="172" t="s">
        <v>281</v>
      </c>
      <c r="F72" s="172"/>
      <c r="G72" s="174"/>
      <c r="H72" s="174"/>
      <c r="I72" s="172">
        <f ca="1">IFERROR(__xludf.DUMMYFUNCTION("""COMPUTED_VALUE"""),0)</f>
        <v>0</v>
      </c>
      <c r="J72" s="172"/>
      <c r="K72" s="172"/>
      <c r="L72" s="172"/>
      <c r="M72" s="172"/>
      <c r="N72" s="172"/>
      <c r="O72" s="172"/>
      <c r="P72" s="172"/>
      <c r="Q72" s="172"/>
      <c r="R72" s="172"/>
      <c r="S72" s="172"/>
      <c r="T72" s="172"/>
      <c r="U72" s="172"/>
      <c r="V72" s="172"/>
      <c r="W72" s="172"/>
      <c r="X72" s="172"/>
      <c r="Y72" s="172"/>
      <c r="Z72" s="172"/>
      <c r="AA72" s="172"/>
    </row>
    <row r="73" spans="1:27" ht="16">
      <c r="A73" s="170" t="str">
        <f t="shared" ca="1" si="0"/>
        <v/>
      </c>
      <c r="B73" s="171" t="str">
        <f t="shared" ca="1" si="1"/>
        <v/>
      </c>
      <c r="C73" s="171" t="str">
        <f t="shared" ca="1" si="2"/>
        <v/>
      </c>
      <c r="D73" s="172">
        <f t="shared" ca="1" si="3"/>
        <v>0</v>
      </c>
      <c r="E73" s="172" t="s">
        <v>281</v>
      </c>
      <c r="F73" s="172"/>
      <c r="G73" s="174"/>
      <c r="H73" s="174"/>
      <c r="I73" s="172">
        <f ca="1">IFERROR(__xludf.DUMMYFUNCTION("""COMPUTED_VALUE"""),0)</f>
        <v>0</v>
      </c>
      <c r="J73" s="172"/>
      <c r="K73" s="172"/>
      <c r="L73" s="172"/>
      <c r="M73" s="172"/>
      <c r="N73" s="172"/>
      <c r="O73" s="172"/>
      <c r="P73" s="172"/>
      <c r="Q73" s="172"/>
      <c r="R73" s="172"/>
      <c r="S73" s="172"/>
      <c r="T73" s="172"/>
      <c r="U73" s="172"/>
      <c r="V73" s="172"/>
      <c r="W73" s="172"/>
      <c r="X73" s="172"/>
      <c r="Y73" s="172"/>
      <c r="Z73" s="172"/>
      <c r="AA73" s="172"/>
    </row>
    <row r="74" spans="1:27" ht="16">
      <c r="A74" s="170" t="str">
        <f t="shared" ca="1" si="0"/>
        <v/>
      </c>
      <c r="B74" s="171" t="str">
        <f t="shared" ca="1" si="1"/>
        <v/>
      </c>
      <c r="C74" s="171" t="str">
        <f t="shared" ca="1" si="2"/>
        <v/>
      </c>
      <c r="D74" s="172">
        <f t="shared" ca="1" si="3"/>
        <v>0</v>
      </c>
      <c r="E74" s="172" t="s">
        <v>281</v>
      </c>
      <c r="F74" s="172"/>
      <c r="G74" s="174"/>
      <c r="H74" s="174"/>
      <c r="I74" s="172">
        <f ca="1">IFERROR(__xludf.DUMMYFUNCTION("""COMPUTED_VALUE"""),0)</f>
        <v>0</v>
      </c>
      <c r="J74" s="172"/>
      <c r="K74" s="172"/>
      <c r="L74" s="172"/>
      <c r="M74" s="172"/>
      <c r="N74" s="172"/>
      <c r="O74" s="172"/>
      <c r="P74" s="172"/>
      <c r="Q74" s="172"/>
      <c r="R74" s="172"/>
      <c r="S74" s="172"/>
      <c r="T74" s="172"/>
      <c r="U74" s="172"/>
      <c r="V74" s="172"/>
      <c r="W74" s="172"/>
      <c r="X74" s="172"/>
      <c r="Y74" s="172"/>
      <c r="Z74" s="172"/>
      <c r="AA74" s="172"/>
    </row>
    <row r="75" spans="1:27" ht="16">
      <c r="A75" s="170" t="str">
        <f t="shared" ca="1" si="0"/>
        <v/>
      </c>
      <c r="B75" s="171" t="str">
        <f t="shared" ca="1" si="1"/>
        <v/>
      </c>
      <c r="C75" s="171" t="str">
        <f t="shared" ca="1" si="2"/>
        <v>Prep: None needed, the content from lectures will be what you need for quizzes/final (theory).    Assignments and Exams: Quizzes with ability to retake, Final, and Peer reviewed paper.  If you listen to lectures and take advantage of re-takes, very easy.  Final follows quizzes and is mostly trivia.   Tips for future students:  Have fun with the paper.  This is where I got into praxis (actually doing something) using the Cryptopals challenges and it taught me a lot about the limitations of AES.  Other research topics are possible and you get out what you put in.   This class is easily stack-able with others.</v>
      </c>
      <c r="D75" s="172">
        <f t="shared" ca="1" si="3"/>
        <v>1</v>
      </c>
      <c r="E75" s="172">
        <v>14</v>
      </c>
      <c r="F75" s="172"/>
      <c r="G75" s="174"/>
      <c r="H75" s="174"/>
      <c r="I75" s="172">
        <f ca="1">IFERROR(__xludf.DUMMYFUNCTION("""COMPUTED_VALUE"""),0)</f>
        <v>0</v>
      </c>
      <c r="J75" s="172"/>
      <c r="K75" s="172"/>
      <c r="L75" s="172"/>
      <c r="M75" s="172"/>
      <c r="N75" s="172"/>
      <c r="O75" s="172"/>
      <c r="P75" s="172"/>
      <c r="Q75" s="172"/>
      <c r="R75" s="172"/>
      <c r="S75" s="172"/>
      <c r="T75" s="172"/>
      <c r="U75" s="172"/>
      <c r="V75" s="172"/>
      <c r="W75" s="172"/>
      <c r="X75" s="172"/>
      <c r="Y75" s="172"/>
      <c r="Z75" s="172"/>
      <c r="AA75" s="172"/>
    </row>
    <row r="76" spans="1:27" ht="16">
      <c r="A76" s="170" t="str">
        <f t="shared" ca="1" si="0"/>
        <v/>
      </c>
      <c r="B76" s="171" t="str">
        <f t="shared" ca="1" si="1"/>
        <v/>
      </c>
      <c r="C76" s="171" t="str">
        <f t="shared" ca="1" si="2"/>
        <v/>
      </c>
      <c r="D76" s="172">
        <f t="shared" ca="1" si="3"/>
        <v>0</v>
      </c>
      <c r="E76" s="172" t="s">
        <v>281</v>
      </c>
      <c r="F76" s="172"/>
      <c r="G76" s="174"/>
      <c r="H76" s="174"/>
      <c r="I76" s="172">
        <f ca="1">IFERROR(__xludf.DUMMYFUNCTION("""COMPUTED_VALUE"""),0)</f>
        <v>0</v>
      </c>
      <c r="J76" s="172"/>
      <c r="K76" s="172"/>
      <c r="L76" s="172"/>
      <c r="M76" s="172"/>
      <c r="N76" s="172"/>
      <c r="O76" s="172"/>
      <c r="P76" s="172"/>
      <c r="Q76" s="172"/>
      <c r="R76" s="172"/>
      <c r="S76" s="172"/>
      <c r="T76" s="172"/>
      <c r="U76" s="172"/>
      <c r="V76" s="172"/>
      <c r="W76" s="172"/>
      <c r="X76" s="172"/>
      <c r="Y76" s="172"/>
      <c r="Z76" s="172"/>
      <c r="AA76" s="172"/>
    </row>
    <row r="77" spans="1:27" ht="16">
      <c r="A77" s="170" t="str">
        <f t="shared" ca="1" si="0"/>
        <v/>
      </c>
      <c r="B77" s="171" t="str">
        <f t="shared" ca="1" si="1"/>
        <v/>
      </c>
      <c r="C77" s="171" t="str">
        <f t="shared" ca="1" si="2"/>
        <v/>
      </c>
      <c r="D77" s="172">
        <f t="shared" ca="1" si="3"/>
        <v>0</v>
      </c>
      <c r="E77" s="172" t="s">
        <v>281</v>
      </c>
      <c r="F77" s="172"/>
      <c r="G77" s="174"/>
      <c r="H77" s="174"/>
      <c r="I77" s="172">
        <f ca="1">IFERROR(__xludf.DUMMYFUNCTION("""COMPUTED_VALUE"""),0)</f>
        <v>0</v>
      </c>
      <c r="J77" s="172"/>
      <c r="K77" s="172"/>
      <c r="L77" s="172"/>
      <c r="M77" s="172"/>
      <c r="N77" s="172"/>
      <c r="O77" s="172"/>
      <c r="P77" s="172"/>
      <c r="Q77" s="172"/>
      <c r="R77" s="172"/>
      <c r="S77" s="172"/>
      <c r="T77" s="172"/>
      <c r="U77" s="172"/>
      <c r="V77" s="172"/>
      <c r="W77" s="172"/>
      <c r="X77" s="172"/>
      <c r="Y77" s="172"/>
      <c r="Z77" s="172"/>
      <c r="AA77" s="172"/>
    </row>
    <row r="78" spans="1:27" ht="16">
      <c r="A78" s="170" t="str">
        <f t="shared" ca="1" si="0"/>
        <v/>
      </c>
      <c r="B78" s="171" t="str">
        <f t="shared" ca="1" si="1"/>
        <v/>
      </c>
      <c r="C78" s="171" t="str">
        <f t="shared" ca="1" si="2"/>
        <v/>
      </c>
      <c r="D78" s="172">
        <f t="shared" ca="1" si="3"/>
        <v>0</v>
      </c>
      <c r="E78" s="172" t="s">
        <v>281</v>
      </c>
      <c r="F78" s="172"/>
      <c r="G78" s="174"/>
      <c r="H78" s="174"/>
      <c r="I78" s="172">
        <f ca="1">IFERROR(__xludf.DUMMYFUNCTION("""COMPUTED_VALUE"""),0)</f>
        <v>0</v>
      </c>
      <c r="J78" s="172"/>
      <c r="K78" s="172"/>
      <c r="L78" s="172"/>
      <c r="M78" s="172"/>
      <c r="N78" s="172"/>
      <c r="O78" s="172"/>
      <c r="P78" s="172"/>
      <c r="Q78" s="172"/>
      <c r="R78" s="172"/>
      <c r="S78" s="172"/>
      <c r="T78" s="172"/>
      <c r="U78" s="172"/>
      <c r="V78" s="172"/>
      <c r="W78" s="172"/>
      <c r="X78" s="172"/>
      <c r="Y78" s="172"/>
      <c r="Z78" s="172"/>
      <c r="AA78" s="172"/>
    </row>
    <row r="79" spans="1:27" ht="16">
      <c r="A79" s="170" t="str">
        <f t="shared" ca="1" si="0"/>
        <v/>
      </c>
      <c r="B79" s="171" t="str">
        <f t="shared" ca="1" si="1"/>
        <v/>
      </c>
      <c r="C79" s="171" t="str">
        <f t="shared" ca="1" si="2"/>
        <v/>
      </c>
      <c r="D79" s="172">
        <f t="shared" ca="1" si="3"/>
        <v>0</v>
      </c>
      <c r="E79" s="172" t="s">
        <v>281</v>
      </c>
      <c r="F79" s="172"/>
      <c r="G79" s="174"/>
      <c r="H79" s="174"/>
      <c r="I79" s="172">
        <f ca="1">IFERROR(__xludf.DUMMYFUNCTION("""COMPUTED_VALUE"""),0)</f>
        <v>0</v>
      </c>
      <c r="J79" s="172"/>
      <c r="K79" s="172"/>
      <c r="L79" s="172"/>
      <c r="M79" s="172"/>
      <c r="N79" s="172"/>
      <c r="O79" s="172"/>
      <c r="P79" s="172"/>
      <c r="Q79" s="172"/>
      <c r="R79" s="172"/>
      <c r="S79" s="172"/>
      <c r="T79" s="172"/>
      <c r="U79" s="172"/>
      <c r="V79" s="172"/>
      <c r="W79" s="172"/>
      <c r="X79" s="172"/>
      <c r="Y79" s="172"/>
      <c r="Z79" s="172"/>
      <c r="AA79" s="172"/>
    </row>
    <row r="80" spans="1:27" ht="16">
      <c r="A80" s="170" t="str">
        <f t="shared" ca="1" si="0"/>
        <v/>
      </c>
      <c r="B80" s="171" t="str">
        <f t="shared" ca="1" si="1"/>
        <v/>
      </c>
      <c r="C80" s="171" t="str">
        <f t="shared" ca="1" si="2"/>
        <v/>
      </c>
      <c r="D80" s="172">
        <f t="shared" ca="1" si="3"/>
        <v>0</v>
      </c>
      <c r="E80" s="172" t="s">
        <v>281</v>
      </c>
      <c r="F80" s="172"/>
      <c r="G80" s="174"/>
      <c r="H80" s="174"/>
      <c r="I80" s="172">
        <f ca="1">IFERROR(__xludf.DUMMYFUNCTION("""COMPUTED_VALUE"""),0)</f>
        <v>0</v>
      </c>
      <c r="J80" s="172"/>
      <c r="K80" s="172"/>
      <c r="L80" s="172"/>
      <c r="M80" s="172"/>
      <c r="N80" s="172"/>
      <c r="O80" s="172"/>
      <c r="P80" s="172"/>
      <c r="Q80" s="172"/>
      <c r="R80" s="172"/>
      <c r="S80" s="172"/>
      <c r="T80" s="172"/>
      <c r="U80" s="172"/>
      <c r="V80" s="172"/>
      <c r="W80" s="172"/>
      <c r="X80" s="172"/>
      <c r="Y80" s="172"/>
      <c r="Z80" s="172"/>
      <c r="AA80" s="172"/>
    </row>
    <row r="81" spans="1:27" ht="16">
      <c r="A81" s="170" t="str">
        <f t="shared" ca="1" si="0"/>
        <v/>
      </c>
      <c r="B81" s="171" t="str">
        <f t="shared" ca="1" si="1"/>
        <v/>
      </c>
      <c r="C81" s="171" t="str">
        <f t="shared" ca="1" si="2"/>
        <v/>
      </c>
      <c r="D81" s="172">
        <f t="shared" ca="1" si="3"/>
        <v>0</v>
      </c>
      <c r="E81" s="172" t="s">
        <v>281</v>
      </c>
      <c r="F81" s="172"/>
      <c r="G81" s="174"/>
      <c r="H81" s="174"/>
      <c r="I81" s="172">
        <f ca="1">IFERROR(__xludf.DUMMYFUNCTION("""COMPUTED_VALUE"""),0)</f>
        <v>0</v>
      </c>
      <c r="J81" s="172"/>
      <c r="K81" s="172"/>
      <c r="L81" s="172"/>
      <c r="M81" s="172"/>
      <c r="N81" s="172"/>
      <c r="O81" s="172"/>
      <c r="P81" s="172"/>
      <c r="Q81" s="172"/>
      <c r="R81" s="172"/>
      <c r="S81" s="172"/>
      <c r="T81" s="172"/>
      <c r="U81" s="172"/>
      <c r="V81" s="172"/>
      <c r="W81" s="172"/>
      <c r="X81" s="172"/>
      <c r="Y81" s="172"/>
      <c r="Z81" s="172"/>
      <c r="AA81" s="172"/>
    </row>
    <row r="82" spans="1:27" ht="16">
      <c r="A82" s="170" t="str">
        <f t="shared" ca="1" si="0"/>
        <v/>
      </c>
      <c r="B82" s="171" t="str">
        <f t="shared" ca="1" si="1"/>
        <v/>
      </c>
      <c r="C82" s="171" t="str">
        <f t="shared" ca="1" si="2"/>
        <v/>
      </c>
      <c r="D82" s="172">
        <f t="shared" ca="1" si="3"/>
        <v>0</v>
      </c>
      <c r="E82" s="172" t="s">
        <v>281</v>
      </c>
      <c r="F82" s="172"/>
      <c r="G82" s="174"/>
      <c r="H82" s="174"/>
      <c r="I82" s="172">
        <f ca="1">IFERROR(__xludf.DUMMYFUNCTION("""COMPUTED_VALUE"""),0)</f>
        <v>0</v>
      </c>
      <c r="J82" s="172"/>
      <c r="K82" s="172"/>
      <c r="L82" s="172"/>
      <c r="M82" s="172"/>
      <c r="N82" s="172"/>
      <c r="O82" s="172"/>
      <c r="P82" s="172"/>
      <c r="Q82" s="172"/>
      <c r="R82" s="172"/>
      <c r="S82" s="172"/>
      <c r="T82" s="172"/>
      <c r="U82" s="172"/>
      <c r="V82" s="172"/>
      <c r="W82" s="172"/>
      <c r="X82" s="172"/>
      <c r="Y82" s="172"/>
      <c r="Z82" s="172"/>
      <c r="AA82" s="172"/>
    </row>
    <row r="83" spans="1:27" ht="16">
      <c r="A83" s="170" t="str">
        <f t="shared" ca="1" si="0"/>
        <v/>
      </c>
      <c r="B83" s="171" t="str">
        <f t="shared" ca="1" si="1"/>
        <v/>
      </c>
      <c r="C83" s="171" t="str">
        <f t="shared" ca="1" si="2"/>
        <v/>
      </c>
      <c r="D83" s="172">
        <f t="shared" ca="1" si="3"/>
        <v>0</v>
      </c>
      <c r="E83" s="172" t="s">
        <v>281</v>
      </c>
      <c r="F83" s="172"/>
      <c r="G83" s="174"/>
      <c r="H83" s="174"/>
      <c r="I83" s="172">
        <f ca="1">IFERROR(__xludf.DUMMYFUNCTION("""COMPUTED_VALUE"""),0)</f>
        <v>0</v>
      </c>
      <c r="J83" s="172"/>
      <c r="K83" s="172"/>
      <c r="L83" s="172"/>
      <c r="M83" s="172"/>
      <c r="N83" s="172"/>
      <c r="O83" s="172"/>
      <c r="P83" s="172"/>
      <c r="Q83" s="172"/>
      <c r="R83" s="172"/>
      <c r="S83" s="172"/>
      <c r="T83" s="172"/>
      <c r="U83" s="172"/>
      <c r="V83" s="172"/>
      <c r="W83" s="172"/>
      <c r="X83" s="172"/>
      <c r="Y83" s="172"/>
      <c r="Z83" s="172"/>
      <c r="AA83" s="172"/>
    </row>
    <row r="84" spans="1:27" ht="16">
      <c r="A84" s="170" t="str">
        <f t="shared" ca="1" si="0"/>
        <v/>
      </c>
      <c r="B84" s="171" t="str">
        <f t="shared" ca="1" si="1"/>
        <v/>
      </c>
      <c r="C84" s="171" t="str">
        <f t="shared" ca="1" si="2"/>
        <v/>
      </c>
      <c r="D84" s="172">
        <f t="shared" ca="1" si="3"/>
        <v>0</v>
      </c>
      <c r="E84" s="172" t="s">
        <v>281</v>
      </c>
      <c r="F84" s="172"/>
      <c r="G84" s="174"/>
      <c r="H84" s="174"/>
      <c r="I84" s="172">
        <f ca="1">IFERROR(__xludf.DUMMYFUNCTION("""COMPUTED_VALUE"""),0)</f>
        <v>0</v>
      </c>
      <c r="J84" s="172"/>
      <c r="K84" s="172"/>
      <c r="L84" s="172"/>
      <c r="M84" s="172"/>
      <c r="N84" s="172"/>
      <c r="O84" s="172"/>
      <c r="P84" s="172"/>
      <c r="Q84" s="172"/>
      <c r="R84" s="172"/>
      <c r="S84" s="172"/>
      <c r="T84" s="172"/>
      <c r="U84" s="172"/>
      <c r="V84" s="172"/>
      <c r="W84" s="172"/>
      <c r="X84" s="172"/>
      <c r="Y84" s="172"/>
      <c r="Z84" s="172"/>
      <c r="AA84" s="172"/>
    </row>
    <row r="85" spans="1:27" ht="16">
      <c r="A85" s="170" t="str">
        <f t="shared" ca="1" si="0"/>
        <v/>
      </c>
      <c r="B85" s="171" t="str">
        <f t="shared" ca="1" si="1"/>
        <v/>
      </c>
      <c r="C85" s="171" t="str">
        <f t="shared" ca="1" si="2"/>
        <v>1. Good to have a sophomore EE background in circuit analysis (KCL, KVL) and knowing calculus I and II at least to have a better understanding of the algebra involving inductors and capacitors. A physics background in electromagnetism would be good to have although not necessary.
2. The assignments were a lot tougher than the final exam. I think the process of figuring out the assignments and getting help will get the student to better understand how to arrive to that answer and will prepare them for the final exam.
3. Make sure your algebraic manipulations (solving quadratic equations, etc.) are good to minimize frustration when trying to input formulas into the Coursera platform. Also attend office hours and try to get help from other students who have taken the course before as it can be very frustrating not knowing if your approach/technique is wrong or if it's merely a typo from inputting your answer into Coursera</v>
      </c>
      <c r="D85" s="172">
        <f t="shared" ca="1" si="3"/>
        <v>1</v>
      </c>
      <c r="E85" s="172">
        <v>30</v>
      </c>
      <c r="F85" s="172"/>
      <c r="G85" s="174"/>
      <c r="H85" s="174"/>
      <c r="I85" s="172">
        <f ca="1">IFERROR(__xludf.DUMMYFUNCTION("""COMPUTED_VALUE"""),0)</f>
        <v>0</v>
      </c>
      <c r="J85" s="172"/>
      <c r="K85" s="172"/>
      <c r="L85" s="172"/>
      <c r="M85" s="172"/>
      <c r="N85" s="172"/>
      <c r="O85" s="172"/>
      <c r="P85" s="172"/>
      <c r="Q85" s="172"/>
      <c r="R85" s="172"/>
      <c r="S85" s="172"/>
      <c r="T85" s="172"/>
      <c r="U85" s="172"/>
      <c r="V85" s="172"/>
      <c r="W85" s="172"/>
      <c r="X85" s="172"/>
      <c r="Y85" s="172"/>
      <c r="Z85" s="172"/>
      <c r="AA85" s="172"/>
    </row>
    <row r="86" spans="1:27" ht="16">
      <c r="A86" s="170" t="str">
        <f t="shared" ca="1" si="0"/>
        <v/>
      </c>
      <c r="B86" s="171" t="str">
        <f t="shared" ca="1" si="1"/>
        <v/>
      </c>
      <c r="C86" s="171" t="str">
        <f t="shared" ca="1" si="2"/>
        <v/>
      </c>
      <c r="D86" s="172">
        <f t="shared" ca="1" si="3"/>
        <v>0</v>
      </c>
      <c r="E86" s="172" t="s">
        <v>281</v>
      </c>
      <c r="F86" s="172"/>
      <c r="G86" s="174"/>
      <c r="H86" s="174"/>
      <c r="I86" s="172">
        <f ca="1">IFERROR(__xludf.DUMMYFUNCTION("""COMPUTED_VALUE"""),0)</f>
        <v>0</v>
      </c>
      <c r="J86" s="172"/>
      <c r="K86" s="172"/>
      <c r="L86" s="172"/>
      <c r="M86" s="172"/>
      <c r="N86" s="172"/>
      <c r="O86" s="172"/>
      <c r="P86" s="172"/>
      <c r="Q86" s="172"/>
      <c r="R86" s="172"/>
      <c r="S86" s="172"/>
      <c r="T86" s="172"/>
      <c r="U86" s="172"/>
      <c r="V86" s="172"/>
      <c r="W86" s="172"/>
      <c r="X86" s="172"/>
      <c r="Y86" s="172"/>
      <c r="Z86" s="172"/>
      <c r="AA86" s="172"/>
    </row>
    <row r="87" spans="1:27" ht="16">
      <c r="A87" s="170" t="str">
        <f t="shared" ca="1" si="0"/>
        <v/>
      </c>
      <c r="B87" s="171" t="str">
        <f t="shared" ca="1" si="1"/>
        <v/>
      </c>
      <c r="C87" s="171" t="str">
        <f t="shared" ca="1" si="2"/>
        <v/>
      </c>
      <c r="D87" s="172">
        <f t="shared" ca="1" si="3"/>
        <v>0</v>
      </c>
      <c r="E87" s="172" t="s">
        <v>281</v>
      </c>
      <c r="F87" s="172"/>
      <c r="G87" s="174"/>
      <c r="H87" s="174"/>
      <c r="I87" s="172">
        <f ca="1">IFERROR(__xludf.DUMMYFUNCTION("""COMPUTED_VALUE"""),0)</f>
        <v>0</v>
      </c>
      <c r="J87" s="172"/>
      <c r="K87" s="172"/>
      <c r="L87" s="172"/>
      <c r="M87" s="172"/>
      <c r="N87" s="172"/>
      <c r="O87" s="172"/>
      <c r="P87" s="172"/>
      <c r="Q87" s="172"/>
      <c r="R87" s="172"/>
      <c r="S87" s="172"/>
      <c r="T87" s="172"/>
      <c r="U87" s="172"/>
      <c r="V87" s="172"/>
      <c r="W87" s="172"/>
      <c r="X87" s="172"/>
      <c r="Y87" s="172"/>
      <c r="Z87" s="172"/>
      <c r="AA87" s="172"/>
    </row>
    <row r="88" spans="1:27" ht="16">
      <c r="A88" s="170" t="str">
        <f t="shared" ca="1" si="0"/>
        <v/>
      </c>
      <c r="B88" s="171" t="str">
        <f t="shared" ca="1" si="1"/>
        <v/>
      </c>
      <c r="C88" s="171" t="str">
        <f t="shared" ca="1" si="2"/>
        <v/>
      </c>
      <c r="D88" s="172">
        <f t="shared" ca="1" si="3"/>
        <v>0</v>
      </c>
      <c r="E88" s="172" t="s">
        <v>281</v>
      </c>
      <c r="F88" s="172"/>
      <c r="G88" s="174"/>
      <c r="H88" s="174"/>
      <c r="I88" s="172">
        <f ca="1">IFERROR(__xludf.DUMMYFUNCTION("""COMPUTED_VALUE"""),0)</f>
        <v>0</v>
      </c>
      <c r="J88" s="172"/>
      <c r="K88" s="172"/>
      <c r="L88" s="172"/>
      <c r="M88" s="172"/>
      <c r="N88" s="172"/>
      <c r="O88" s="172"/>
      <c r="P88" s="172"/>
      <c r="Q88" s="172"/>
      <c r="R88" s="172"/>
      <c r="S88" s="172"/>
      <c r="T88" s="172"/>
      <c r="U88" s="172"/>
      <c r="V88" s="172"/>
      <c r="W88" s="172"/>
      <c r="X88" s="172"/>
      <c r="Y88" s="172"/>
      <c r="Z88" s="172"/>
      <c r="AA88" s="172"/>
    </row>
    <row r="89" spans="1:27" ht="16">
      <c r="A89" s="170" t="str">
        <f t="shared" ca="1" si="0"/>
        <v/>
      </c>
      <c r="B89" s="171" t="str">
        <f t="shared" ca="1" si="1"/>
        <v/>
      </c>
      <c r="C89" s="171" t="str">
        <f t="shared" ca="1" si="2"/>
        <v/>
      </c>
      <c r="D89" s="172">
        <f t="shared" ca="1" si="3"/>
        <v>0</v>
      </c>
      <c r="E89" s="172" t="s">
        <v>281</v>
      </c>
      <c r="F89" s="172"/>
      <c r="G89" s="174"/>
      <c r="H89" s="174"/>
      <c r="I89" s="172">
        <f ca="1">IFERROR(__xludf.DUMMYFUNCTION("""COMPUTED_VALUE"""),0)</f>
        <v>0</v>
      </c>
      <c r="J89" s="172"/>
      <c r="K89" s="172"/>
      <c r="L89" s="172"/>
      <c r="M89" s="172"/>
      <c r="N89" s="172"/>
      <c r="O89" s="172"/>
      <c r="P89" s="172"/>
      <c r="Q89" s="172"/>
      <c r="R89" s="172"/>
      <c r="S89" s="172"/>
      <c r="T89" s="172"/>
      <c r="U89" s="172"/>
      <c r="V89" s="172"/>
      <c r="W89" s="172"/>
      <c r="X89" s="172"/>
      <c r="Y89" s="172"/>
      <c r="Z89" s="172"/>
      <c r="AA89" s="172"/>
    </row>
    <row r="90" spans="1:27" ht="16">
      <c r="A90" s="170" t="str">
        <f t="shared" ca="1" si="0"/>
        <v/>
      </c>
      <c r="B90" s="171" t="str">
        <f t="shared" ca="1" si="1"/>
        <v/>
      </c>
      <c r="C90" s="171">
        <f t="shared" ca="1" si="2"/>
        <v>0</v>
      </c>
      <c r="D90" s="172">
        <f t="shared" ca="1" si="3"/>
        <v>1</v>
      </c>
      <c r="E90" s="172">
        <v>3</v>
      </c>
      <c r="F90" s="172"/>
      <c r="G90" s="174"/>
      <c r="H90" s="174"/>
      <c r="I90" s="172">
        <f ca="1">IFERROR(__xludf.DUMMYFUNCTION("""COMPUTED_VALUE"""),0)</f>
        <v>0</v>
      </c>
      <c r="J90" s="172"/>
      <c r="K90" s="172"/>
      <c r="L90" s="172"/>
      <c r="M90" s="172"/>
      <c r="N90" s="172"/>
      <c r="O90" s="172"/>
      <c r="P90" s="172"/>
      <c r="Q90" s="172"/>
      <c r="R90" s="172"/>
      <c r="S90" s="172"/>
      <c r="T90" s="172"/>
      <c r="U90" s="172"/>
      <c r="V90" s="172"/>
      <c r="W90" s="172"/>
      <c r="X90" s="172"/>
      <c r="Y90" s="172"/>
      <c r="Z90" s="172"/>
      <c r="AA90" s="172"/>
    </row>
    <row r="91" spans="1:27" ht="16">
      <c r="A91" s="170" t="str">
        <f t="shared" ca="1" si="0"/>
        <v/>
      </c>
      <c r="B91" s="171" t="str">
        <f t="shared" ca="1" si="1"/>
        <v/>
      </c>
      <c r="C91" s="171" t="str">
        <f t="shared" ca="1" si="2"/>
        <v>Prior course covers all you need to know</v>
      </c>
      <c r="D91" s="172">
        <f t="shared" ca="1" si="3"/>
        <v>1</v>
      </c>
      <c r="E91" s="172">
        <v>32</v>
      </c>
      <c r="F91" s="172"/>
      <c r="G91" s="174"/>
      <c r="H91" s="174"/>
      <c r="I91" s="172">
        <f ca="1">IFERROR(__xludf.DUMMYFUNCTION("""COMPUTED_VALUE"""),0)</f>
        <v>0</v>
      </c>
      <c r="J91" s="172"/>
      <c r="K91" s="172"/>
      <c r="L91" s="172"/>
      <c r="M91" s="172"/>
      <c r="N91" s="172"/>
      <c r="O91" s="172"/>
      <c r="P91" s="172"/>
      <c r="Q91" s="172"/>
      <c r="R91" s="172"/>
      <c r="S91" s="172"/>
      <c r="T91" s="172"/>
      <c r="U91" s="172"/>
      <c r="V91" s="172"/>
      <c r="W91" s="172"/>
      <c r="X91" s="172"/>
      <c r="Y91" s="172"/>
      <c r="Z91" s="172"/>
      <c r="AA91" s="172"/>
    </row>
    <row r="92" spans="1:27" ht="16">
      <c r="A92" s="170" t="str">
        <f t="shared" ca="1" si="0"/>
        <v/>
      </c>
      <c r="B92" s="171" t="str">
        <f t="shared" ca="1" si="1"/>
        <v/>
      </c>
      <c r="C92" s="171">
        <f t="shared" ca="1" si="2"/>
        <v>0</v>
      </c>
      <c r="D92" s="172">
        <f t="shared" ca="1" si="3"/>
        <v>1</v>
      </c>
      <c r="E92" s="172">
        <v>52</v>
      </c>
      <c r="F92" s="172"/>
      <c r="G92" s="174"/>
      <c r="H92" s="174"/>
      <c r="I92" s="172">
        <f ca="1">IFERROR(__xludf.DUMMYFUNCTION("""COMPUTED_VALUE"""),0)</f>
        <v>0</v>
      </c>
      <c r="J92" s="172"/>
      <c r="K92" s="172"/>
      <c r="L92" s="172"/>
      <c r="M92" s="172"/>
      <c r="N92" s="172"/>
      <c r="O92" s="172"/>
      <c r="P92" s="172"/>
      <c r="Q92" s="172"/>
      <c r="R92" s="172"/>
      <c r="S92" s="172"/>
      <c r="T92" s="172"/>
      <c r="U92" s="172"/>
      <c r="V92" s="172"/>
      <c r="W92" s="172"/>
      <c r="X92" s="172"/>
      <c r="Y92" s="172"/>
      <c r="Z92" s="172"/>
      <c r="AA92" s="172"/>
    </row>
    <row r="93" spans="1:27" ht="16">
      <c r="A93" s="170" t="str">
        <f t="shared" ca="1" si="0"/>
        <v/>
      </c>
      <c r="B93" s="171" t="str">
        <f t="shared" ca="1" si="1"/>
        <v/>
      </c>
      <c r="C93" s="171" t="str">
        <f t="shared" ca="1" si="2"/>
        <v>Some knowledge of Fourier transform needed</v>
      </c>
      <c r="D93" s="172">
        <f t="shared" ca="1" si="3"/>
        <v>1</v>
      </c>
      <c r="E93" s="172">
        <v>53</v>
      </c>
      <c r="F93" s="172"/>
      <c r="G93" s="174"/>
      <c r="H93" s="174"/>
      <c r="I93" s="172">
        <f ca="1">IFERROR(__xludf.DUMMYFUNCTION("""COMPUTED_VALUE"""),0)</f>
        <v>0</v>
      </c>
      <c r="J93" s="172"/>
      <c r="K93" s="172"/>
      <c r="L93" s="172"/>
      <c r="M93" s="172"/>
      <c r="N93" s="172"/>
      <c r="O93" s="172"/>
      <c r="P93" s="172"/>
      <c r="Q93" s="172"/>
      <c r="R93" s="172"/>
      <c r="S93" s="172"/>
      <c r="T93" s="172"/>
      <c r="U93" s="172"/>
      <c r="V93" s="172"/>
      <c r="W93" s="172"/>
      <c r="X93" s="172"/>
      <c r="Y93" s="172"/>
      <c r="Z93" s="172"/>
      <c r="AA93" s="172"/>
    </row>
    <row r="94" spans="1:27" ht="16">
      <c r="A94" s="170" t="str">
        <f t="shared" ca="1" si="0"/>
        <v/>
      </c>
      <c r="B94" s="171" t="str">
        <f t="shared" ca="1" si="1"/>
        <v/>
      </c>
      <c r="C94" s="171" t="str">
        <f t="shared" ca="1" si="2"/>
        <v>Great instructor</v>
      </c>
      <c r="D94" s="172">
        <f t="shared" ca="1" si="3"/>
        <v>1</v>
      </c>
      <c r="E94" s="172">
        <v>54</v>
      </c>
      <c r="F94" s="172"/>
      <c r="G94" s="174"/>
      <c r="H94" s="174"/>
      <c r="I94" s="172">
        <f ca="1">IFERROR(__xludf.DUMMYFUNCTION("""COMPUTED_VALUE"""),0)</f>
        <v>0</v>
      </c>
      <c r="J94" s="172"/>
      <c r="K94" s="172"/>
      <c r="L94" s="172"/>
      <c r="M94" s="172"/>
      <c r="N94" s="172"/>
      <c r="O94" s="172"/>
      <c r="P94" s="172"/>
      <c r="Q94" s="172"/>
      <c r="R94" s="172"/>
      <c r="S94" s="172"/>
      <c r="T94" s="172"/>
      <c r="U94" s="172"/>
      <c r="V94" s="172"/>
      <c r="W94" s="172"/>
      <c r="X94" s="172"/>
      <c r="Y94" s="172"/>
      <c r="Z94" s="172"/>
      <c r="AA94" s="172"/>
    </row>
    <row r="95" spans="1:27" ht="16">
      <c r="A95" s="170" t="str">
        <f t="shared" ca="1" si="0"/>
        <v/>
      </c>
      <c r="B95" s="171" t="str">
        <f t="shared" ca="1" si="1"/>
        <v/>
      </c>
      <c r="C95" s="171" t="str">
        <f t="shared" ca="1" si="2"/>
        <v>Know Poisson’s equation. Challenging HW assignments</v>
      </c>
      <c r="D95" s="172">
        <f t="shared" ca="1" si="3"/>
        <v>1</v>
      </c>
      <c r="E95" s="172">
        <v>55</v>
      </c>
      <c r="F95" s="172"/>
      <c r="G95" s="174"/>
      <c r="H95" s="174"/>
      <c r="I95" s="172">
        <f ca="1">IFERROR(__xludf.DUMMYFUNCTION("""COMPUTED_VALUE"""),0)</f>
        <v>0</v>
      </c>
      <c r="J95" s="172"/>
      <c r="K95" s="172"/>
      <c r="L95" s="172"/>
      <c r="M95" s="172"/>
      <c r="N95" s="172"/>
      <c r="O95" s="172"/>
      <c r="P95" s="172"/>
      <c r="Q95" s="172"/>
      <c r="R95" s="172"/>
      <c r="S95" s="172"/>
      <c r="T95" s="172"/>
      <c r="U95" s="172"/>
      <c r="V95" s="172"/>
      <c r="W95" s="172"/>
      <c r="X95" s="172"/>
      <c r="Y95" s="172"/>
      <c r="Z95" s="172"/>
      <c r="AA95" s="172"/>
    </row>
    <row r="96" spans="1:27" ht="16">
      <c r="A96" s="170" t="str">
        <f t="shared" ca="1" si="0"/>
        <v/>
      </c>
      <c r="B96" s="171" t="str">
        <f t="shared" ca="1" si="1"/>
        <v/>
      </c>
      <c r="C96" s="171" t="str">
        <f t="shared" ca="1" si="2"/>
        <v>Expect to do do some learning from outside content like YouTube to get a better understanding</v>
      </c>
      <c r="D96" s="172">
        <f t="shared" ca="1" si="3"/>
        <v>1</v>
      </c>
      <c r="E96" s="172">
        <v>56</v>
      </c>
      <c r="F96" s="172"/>
      <c r="G96" s="174"/>
      <c r="H96" s="174"/>
      <c r="I96" s="172">
        <f ca="1">IFERROR(__xludf.DUMMYFUNCTION("""COMPUTED_VALUE"""),0)</f>
        <v>0</v>
      </c>
      <c r="J96" s="172"/>
      <c r="K96" s="172"/>
      <c r="L96" s="172"/>
      <c r="M96" s="172"/>
      <c r="N96" s="172"/>
      <c r="O96" s="172"/>
      <c r="P96" s="172"/>
      <c r="Q96" s="172"/>
      <c r="R96" s="172"/>
      <c r="S96" s="172"/>
      <c r="T96" s="172"/>
      <c r="U96" s="172"/>
      <c r="V96" s="172"/>
      <c r="W96" s="172"/>
      <c r="X96" s="172"/>
      <c r="Y96" s="172"/>
      <c r="Z96" s="172"/>
      <c r="AA96" s="172"/>
    </row>
    <row r="97" spans="1:27" ht="16">
      <c r="A97" s="170" t="str">
        <f t="shared" ca="1" si="0"/>
        <v/>
      </c>
      <c r="B97" s="171" t="str">
        <f t="shared" ca="1" si="1"/>
        <v/>
      </c>
      <c r="C97" s="171" t="str">
        <f t="shared" ca="1" si="2"/>
        <v>Lighter course load than the previous 2 courses in the series</v>
      </c>
      <c r="D97" s="172">
        <f t="shared" ca="1" si="3"/>
        <v>1</v>
      </c>
      <c r="E97" s="172">
        <v>57</v>
      </c>
      <c r="F97" s="172"/>
      <c r="G97" s="174"/>
      <c r="H97" s="174"/>
      <c r="I97" s="172">
        <f ca="1">IFERROR(__xludf.DUMMYFUNCTION("""COMPUTED_VALUE"""),0)</f>
        <v>0</v>
      </c>
      <c r="J97" s="172"/>
      <c r="K97" s="172"/>
      <c r="L97" s="172"/>
      <c r="M97" s="172"/>
      <c r="N97" s="172"/>
      <c r="O97" s="172"/>
      <c r="P97" s="172"/>
      <c r="Q97" s="172"/>
      <c r="R97" s="172"/>
      <c r="S97" s="172"/>
      <c r="T97" s="172"/>
      <c r="U97" s="172"/>
      <c r="V97" s="172"/>
      <c r="W97" s="172"/>
      <c r="X97" s="172"/>
      <c r="Y97" s="172"/>
      <c r="Z97" s="172"/>
      <c r="AA97" s="172"/>
    </row>
    <row r="98" spans="1:27" ht="16">
      <c r="A98" s="170" t="str">
        <f t="shared" ca="1" si="0"/>
        <v/>
      </c>
      <c r="B98" s="171" t="str">
        <f t="shared" ca="1" si="1"/>
        <v/>
      </c>
      <c r="C98" s="171" t="str">
        <f t="shared" ca="1" si="2"/>
        <v/>
      </c>
      <c r="D98" s="172">
        <f t="shared" ca="1" si="3"/>
        <v>0</v>
      </c>
      <c r="E98" s="172" t="s">
        <v>281</v>
      </c>
      <c r="F98" s="172"/>
      <c r="G98" s="174"/>
      <c r="H98" s="174"/>
      <c r="I98" s="172">
        <f ca="1">IFERROR(__xludf.DUMMYFUNCTION("""COMPUTED_VALUE"""),0)</f>
        <v>0</v>
      </c>
      <c r="J98" s="172"/>
      <c r="K98" s="172"/>
      <c r="L98" s="172"/>
      <c r="M98" s="172"/>
      <c r="N98" s="172"/>
      <c r="O98" s="172"/>
      <c r="P98" s="172"/>
      <c r="Q98" s="172"/>
      <c r="R98" s="172"/>
      <c r="S98" s="172"/>
      <c r="T98" s="172"/>
      <c r="U98" s="172"/>
      <c r="V98" s="172"/>
      <c r="W98" s="172"/>
      <c r="X98" s="172"/>
      <c r="Y98" s="172"/>
      <c r="Z98" s="172"/>
      <c r="AA98" s="172"/>
    </row>
    <row r="99" spans="1:27" ht="16">
      <c r="A99" s="170" t="str">
        <f t="shared" ca="1" si="0"/>
        <v/>
      </c>
      <c r="B99" s="171" t="str">
        <f t="shared" ca="1" si="1"/>
        <v/>
      </c>
      <c r="C99" s="171" t="str">
        <f t="shared" ca="1" si="2"/>
        <v/>
      </c>
      <c r="D99" s="172">
        <f t="shared" ca="1" si="3"/>
        <v>0</v>
      </c>
      <c r="E99" s="172" t="s">
        <v>281</v>
      </c>
      <c r="F99" s="172"/>
      <c r="G99" s="174"/>
      <c r="H99" s="174"/>
      <c r="I99" s="172">
        <f ca="1">IFERROR(__xludf.DUMMYFUNCTION("""COMPUTED_VALUE"""),0)</f>
        <v>0</v>
      </c>
      <c r="J99" s="172"/>
      <c r="K99" s="172"/>
      <c r="L99" s="172"/>
      <c r="M99" s="172"/>
      <c r="N99" s="172"/>
      <c r="O99" s="172"/>
      <c r="P99" s="172"/>
      <c r="Q99" s="172"/>
      <c r="R99" s="172"/>
      <c r="S99" s="172"/>
      <c r="T99" s="172"/>
      <c r="U99" s="172"/>
      <c r="V99" s="172"/>
      <c r="W99" s="172"/>
      <c r="X99" s="172"/>
      <c r="Y99" s="172"/>
      <c r="Z99" s="172"/>
      <c r="AA99" s="172"/>
    </row>
    <row r="100" spans="1:27" ht="16">
      <c r="A100" s="170" t="str">
        <f t="shared" ca="1" si="0"/>
        <v/>
      </c>
      <c r="B100" s="171" t="str">
        <f t="shared" ca="1" si="1"/>
        <v/>
      </c>
      <c r="C100" s="171" t="str">
        <f t="shared" ca="1" si="2"/>
        <v>Whirlwind tour of industrial sensors.  The instructor is corny and the material in lecture does not prepare you for the homework or the quiz.   Several Questions on each homework come up very frequently during office hours.  Make sure to do office hours if confused because those hardest questions show up on the final.   The lab is using PSoC with a thermistor.  The content for doing this is full of mistakes, half sorted in the post-edit.  Rely on slack for corrections.  Tip:  Take immaculate notes on hw/quizzes.  You can use them on exam and it makes a heavy lift of 32 questions in 2 hrs easier.</v>
      </c>
      <c r="D100" s="172">
        <f t="shared" ca="1" si="3"/>
        <v>1</v>
      </c>
      <c r="E100" s="172">
        <v>6</v>
      </c>
      <c r="F100" s="172"/>
      <c r="G100" s="174"/>
      <c r="H100" s="174"/>
      <c r="I100" s="172">
        <f ca="1">IFERROR(__xludf.DUMMYFUNCTION("""COMPUTED_VALUE"""),0)</f>
        <v>0</v>
      </c>
      <c r="J100" s="172"/>
      <c r="K100" s="172"/>
      <c r="L100" s="172"/>
      <c r="M100" s="172"/>
      <c r="N100" s="172"/>
      <c r="O100" s="172"/>
      <c r="P100" s="172"/>
      <c r="Q100" s="172"/>
      <c r="R100" s="172"/>
      <c r="S100" s="172"/>
      <c r="T100" s="172"/>
      <c r="U100" s="172"/>
      <c r="V100" s="172"/>
      <c r="W100" s="172"/>
      <c r="X100" s="172"/>
      <c r="Y100" s="172"/>
      <c r="Z100" s="172"/>
      <c r="AA100" s="172"/>
    </row>
    <row r="101" spans="1:27" ht="16">
      <c r="A101" s="170" t="str">
        <f t="shared" ca="1" si="0"/>
        <v/>
      </c>
      <c r="B101" s="171" t="str">
        <f t="shared" ca="1" si="1"/>
        <v/>
      </c>
      <c r="C101" s="171" t="str">
        <f t="shared" ca="1" si="2"/>
        <v>Course Prep: Good to have previous two courses, but could do this standalone.  Assignments and Exams: Just quizzes and the final.  Final follows same material from quizzes.  Tips for future students: Just go through the content and go over weekly quizzes a couple of times before the final.   I finished in 2 weeks.</v>
      </c>
      <c r="D101" s="172">
        <f t="shared" ca="1" si="3"/>
        <v>1</v>
      </c>
      <c r="E101" s="172">
        <v>16</v>
      </c>
      <c r="F101" s="172"/>
      <c r="G101" s="174"/>
      <c r="H101" s="174"/>
      <c r="I101" s="172">
        <f ca="1">IFERROR(__xludf.DUMMYFUNCTION("""COMPUTED_VALUE"""),0)</f>
        <v>0</v>
      </c>
      <c r="J101" s="172"/>
      <c r="K101" s="172"/>
      <c r="L101" s="172"/>
      <c r="M101" s="172"/>
      <c r="N101" s="172"/>
      <c r="O101" s="172"/>
      <c r="P101" s="172"/>
      <c r="Q101" s="172"/>
      <c r="R101" s="172"/>
      <c r="S101" s="172"/>
      <c r="T101" s="172"/>
      <c r="U101" s="172"/>
      <c r="V101" s="172"/>
      <c r="W101" s="172"/>
      <c r="X101" s="172"/>
      <c r="Y101" s="172"/>
      <c r="Z101" s="172"/>
      <c r="AA101" s="172"/>
    </row>
    <row r="102" spans="1:27" ht="16">
      <c r="A102" s="170" t="str">
        <f t="shared" ca="1" si="0"/>
        <v/>
      </c>
      <c r="B102" s="171" t="str">
        <f t="shared" ca="1" si="1"/>
        <v/>
      </c>
      <c r="C102" s="171" t="str">
        <f t="shared" ca="1" si="2"/>
        <v/>
      </c>
      <c r="D102" s="172">
        <f t="shared" ca="1" si="3"/>
        <v>0</v>
      </c>
      <c r="E102" s="172" t="s">
        <v>281</v>
      </c>
      <c r="F102" s="172"/>
      <c r="G102" s="174"/>
      <c r="H102" s="174"/>
      <c r="I102" s="172">
        <f ca="1">IFERROR(__xludf.DUMMYFUNCTION("""COMPUTED_VALUE"""),0)</f>
        <v>0</v>
      </c>
      <c r="J102" s="172"/>
      <c r="K102" s="172"/>
      <c r="L102" s="172"/>
      <c r="M102" s="172"/>
      <c r="N102" s="172"/>
      <c r="O102" s="172"/>
      <c r="P102" s="172"/>
      <c r="Q102" s="172"/>
      <c r="R102" s="172"/>
      <c r="S102" s="172"/>
      <c r="T102" s="172"/>
      <c r="U102" s="172"/>
      <c r="V102" s="172"/>
      <c r="W102" s="172"/>
      <c r="X102" s="172"/>
      <c r="Y102" s="172"/>
      <c r="Z102" s="172"/>
      <c r="AA102" s="172"/>
    </row>
    <row r="103" spans="1:27" ht="16">
      <c r="A103" s="170" t="str">
        <f t="shared" ca="1" si="0"/>
        <v/>
      </c>
      <c r="B103" s="171" t="str">
        <f t="shared" ca="1" si="1"/>
        <v/>
      </c>
      <c r="C103" s="171" t="str">
        <f t="shared" ca="1" si="2"/>
        <v/>
      </c>
      <c r="D103" s="172">
        <f t="shared" ca="1" si="3"/>
        <v>0</v>
      </c>
      <c r="E103" s="172" t="s">
        <v>281</v>
      </c>
      <c r="F103" s="172"/>
      <c r="G103" s="174"/>
      <c r="H103" s="174"/>
      <c r="I103" s="172">
        <f ca="1">IFERROR(__xludf.DUMMYFUNCTION("""COMPUTED_VALUE"""),0)</f>
        <v>0</v>
      </c>
      <c r="J103" s="172"/>
      <c r="K103" s="172"/>
      <c r="L103" s="172"/>
      <c r="M103" s="172"/>
      <c r="N103" s="172"/>
      <c r="O103" s="172"/>
      <c r="P103" s="172"/>
      <c r="Q103" s="172"/>
      <c r="R103" s="172"/>
      <c r="S103" s="172"/>
      <c r="T103" s="172"/>
      <c r="U103" s="172"/>
      <c r="V103" s="172"/>
      <c r="W103" s="172"/>
      <c r="X103" s="172"/>
      <c r="Y103" s="172"/>
      <c r="Z103" s="172"/>
      <c r="AA103" s="172"/>
    </row>
    <row r="104" spans="1:27" ht="16">
      <c r="A104" s="170" t="str">
        <f t="shared" ca="1" si="0"/>
        <v/>
      </c>
      <c r="B104" s="171" t="str">
        <f t="shared" ca="1" si="1"/>
        <v/>
      </c>
      <c r="C104" s="171" t="str">
        <f t="shared" ca="1" si="2"/>
        <v>no prior knowledge necessary</v>
      </c>
      <c r="D104" s="172">
        <f t="shared" ca="1" si="3"/>
        <v>1</v>
      </c>
      <c r="E104" s="172">
        <v>40</v>
      </c>
      <c r="F104" s="172"/>
      <c r="G104" s="174"/>
      <c r="H104" s="174"/>
      <c r="I104" s="172">
        <f ca="1">IFERROR(__xludf.DUMMYFUNCTION("""COMPUTED_VALUE"""),0)</f>
        <v>0</v>
      </c>
      <c r="J104" s="172"/>
      <c r="K104" s="172"/>
      <c r="L104" s="172"/>
      <c r="M104" s="172"/>
      <c r="N104" s="172"/>
      <c r="O104" s="172"/>
      <c r="P104" s="172"/>
      <c r="Q104" s="172"/>
      <c r="R104" s="172"/>
      <c r="S104" s="172"/>
      <c r="T104" s="172"/>
      <c r="U104" s="172"/>
      <c r="V104" s="172"/>
      <c r="W104" s="172"/>
      <c r="X104" s="172"/>
      <c r="Y104" s="172"/>
      <c r="Z104" s="172"/>
      <c r="AA104" s="172"/>
    </row>
    <row r="105" spans="1:27" ht="16">
      <c r="A105" s="170" t="str">
        <f t="shared" ca="1" si="0"/>
        <v/>
      </c>
      <c r="B105" s="171" t="str">
        <f t="shared" ca="1" si="1"/>
        <v/>
      </c>
      <c r="C105" s="171" t="str">
        <f t="shared" ca="1" si="2"/>
        <v/>
      </c>
      <c r="D105" s="172">
        <f t="shared" ca="1" si="3"/>
        <v>0</v>
      </c>
      <c r="E105" s="172" t="s">
        <v>281</v>
      </c>
      <c r="F105" s="172"/>
      <c r="G105" s="174"/>
      <c r="H105" s="174"/>
      <c r="I105" s="172">
        <f ca="1">IFERROR(__xludf.DUMMYFUNCTION("""COMPUTED_VALUE"""),0)</f>
        <v>0</v>
      </c>
      <c r="J105" s="172"/>
      <c r="K105" s="172"/>
      <c r="L105" s="172"/>
      <c r="M105" s="172"/>
      <c r="N105" s="172"/>
      <c r="O105" s="172"/>
      <c r="P105" s="172"/>
      <c r="Q105" s="172"/>
      <c r="R105" s="172"/>
      <c r="S105" s="172"/>
      <c r="T105" s="172"/>
      <c r="U105" s="172"/>
      <c r="V105" s="172"/>
      <c r="W105" s="172"/>
      <c r="X105" s="172"/>
      <c r="Y105" s="172"/>
      <c r="Z105" s="172"/>
      <c r="AA105" s="172"/>
    </row>
    <row r="106" spans="1:27" ht="16">
      <c r="A106" s="170" t="str">
        <f t="shared" ca="1" si="0"/>
        <v/>
      </c>
      <c r="B106" s="171" t="str">
        <f t="shared" ca="1" si="1"/>
        <v/>
      </c>
      <c r="C106" s="171" t="str">
        <f t="shared" ca="1" si="2"/>
        <v/>
      </c>
      <c r="D106" s="172">
        <f t="shared" ca="1" si="3"/>
        <v>0</v>
      </c>
      <c r="E106" s="172" t="s">
        <v>281</v>
      </c>
      <c r="F106" s="172"/>
      <c r="G106" s="174"/>
      <c r="H106" s="174"/>
      <c r="I106" s="172">
        <f ca="1">IFERROR(__xludf.DUMMYFUNCTION("""COMPUTED_VALUE"""),0)</f>
        <v>0</v>
      </c>
      <c r="J106" s="172"/>
      <c r="K106" s="172"/>
      <c r="L106" s="172"/>
      <c r="M106" s="172"/>
      <c r="N106" s="172"/>
      <c r="O106" s="172"/>
      <c r="P106" s="172"/>
      <c r="Q106" s="172"/>
      <c r="R106" s="172"/>
      <c r="S106" s="172"/>
      <c r="T106" s="172"/>
      <c r="U106" s="172"/>
      <c r="V106" s="172"/>
      <c r="W106" s="172"/>
      <c r="X106" s="172"/>
      <c r="Y106" s="172"/>
      <c r="Z106" s="172"/>
      <c r="AA106" s="172"/>
    </row>
    <row r="107" spans="1:27" ht="16">
      <c r="A107" s="170" t="str">
        <f t="shared" ca="1" si="0"/>
        <v/>
      </c>
      <c r="B107" s="171" t="str">
        <f t="shared" ca="1" si="1"/>
        <v/>
      </c>
      <c r="C107" s="171" t="str">
        <f t="shared" ca="1" si="2"/>
        <v/>
      </c>
      <c r="D107" s="172">
        <f t="shared" ca="1" si="3"/>
        <v>0</v>
      </c>
      <c r="E107" s="172" t="s">
        <v>281</v>
      </c>
      <c r="F107" s="172"/>
      <c r="G107" s="174"/>
      <c r="H107" s="174"/>
      <c r="I107" s="172">
        <f ca="1">IFERROR(__xludf.DUMMYFUNCTION("""COMPUTED_VALUE"""),0)</f>
        <v>0</v>
      </c>
      <c r="J107" s="172"/>
      <c r="K107" s="172"/>
      <c r="L107" s="172"/>
      <c r="M107" s="172"/>
      <c r="N107" s="172"/>
      <c r="O107" s="172"/>
      <c r="P107" s="172"/>
      <c r="Q107" s="172"/>
      <c r="R107" s="172"/>
      <c r="S107" s="172"/>
      <c r="T107" s="172"/>
      <c r="U107" s="172"/>
      <c r="V107" s="172"/>
      <c r="W107" s="172"/>
      <c r="X107" s="172"/>
      <c r="Y107" s="172"/>
      <c r="Z107" s="172"/>
      <c r="AA107" s="172"/>
    </row>
    <row r="108" spans="1:27" ht="16">
      <c r="A108" s="170" t="str">
        <f t="shared" ca="1" si="0"/>
        <v/>
      </c>
      <c r="B108" s="171" t="str">
        <f t="shared" ca="1" si="1"/>
        <v/>
      </c>
      <c r="C108" s="171" t="str">
        <f t="shared" ca="1" si="2"/>
        <v/>
      </c>
      <c r="D108" s="172">
        <f t="shared" ca="1" si="3"/>
        <v>0</v>
      </c>
      <c r="E108" s="172" t="s">
        <v>281</v>
      </c>
      <c r="F108" s="172"/>
      <c r="G108" s="174"/>
      <c r="H108" s="174"/>
      <c r="I108" s="172">
        <f ca="1">IFERROR(__xludf.DUMMYFUNCTION("""COMPUTED_VALUE"""),0)</f>
        <v>0</v>
      </c>
      <c r="J108" s="172"/>
      <c r="K108" s="172"/>
      <c r="L108" s="172"/>
      <c r="M108" s="172"/>
      <c r="N108" s="172"/>
      <c r="O108" s="172"/>
      <c r="P108" s="172"/>
      <c r="Q108" s="172"/>
      <c r="R108" s="172"/>
      <c r="S108" s="172"/>
      <c r="T108" s="172"/>
      <c r="U108" s="172"/>
      <c r="V108" s="172"/>
      <c r="W108" s="172"/>
      <c r="X108" s="172"/>
      <c r="Y108" s="172"/>
      <c r="Z108" s="172"/>
      <c r="AA108" s="172"/>
    </row>
    <row r="109" spans="1:27" ht="16">
      <c r="A109" s="170" t="str">
        <f t="shared" ca="1" si="0"/>
        <v/>
      </c>
      <c r="B109" s="171" t="str">
        <f t="shared" ca="1" si="1"/>
        <v/>
      </c>
      <c r="C109" s="171" t="str">
        <f t="shared" ca="1" si="2"/>
        <v/>
      </c>
      <c r="D109" s="172">
        <f t="shared" ca="1" si="3"/>
        <v>0</v>
      </c>
      <c r="E109" s="172" t="s">
        <v>281</v>
      </c>
      <c r="F109" s="172"/>
      <c r="G109" s="174"/>
      <c r="H109" s="174"/>
      <c r="I109" s="172">
        <f ca="1">IFERROR(__xludf.DUMMYFUNCTION("""COMPUTED_VALUE"""),0)</f>
        <v>0</v>
      </c>
      <c r="J109" s="172"/>
      <c r="K109" s="172"/>
      <c r="L109" s="172"/>
      <c r="M109" s="172"/>
      <c r="N109" s="172"/>
      <c r="O109" s="172"/>
      <c r="P109" s="172"/>
      <c r="Q109" s="172"/>
      <c r="R109" s="172"/>
      <c r="S109" s="172"/>
      <c r="T109" s="172"/>
      <c r="U109" s="172"/>
      <c r="V109" s="172"/>
      <c r="W109" s="172"/>
      <c r="X109" s="172"/>
      <c r="Y109" s="172"/>
      <c r="Z109" s="172"/>
      <c r="AA109" s="172"/>
    </row>
    <row r="110" spans="1:27" ht="16">
      <c r="A110" s="170" t="str">
        <f t="shared" ca="1" si="0"/>
        <v/>
      </c>
      <c r="B110" s="171" t="str">
        <f t="shared" ca="1" si="1"/>
        <v/>
      </c>
      <c r="C110" s="171" t="str">
        <f t="shared" ca="1" si="2"/>
        <v/>
      </c>
      <c r="D110" s="172">
        <f t="shared" ca="1" si="3"/>
        <v>0</v>
      </c>
      <c r="E110" s="172" t="s">
        <v>281</v>
      </c>
      <c r="F110" s="172"/>
      <c r="G110" s="174"/>
      <c r="H110" s="174"/>
      <c r="I110" s="172">
        <f ca="1">IFERROR(__xludf.DUMMYFUNCTION("""COMPUTED_VALUE"""),0)</f>
        <v>0</v>
      </c>
      <c r="J110" s="172"/>
      <c r="K110" s="172"/>
      <c r="L110" s="172"/>
      <c r="M110" s="172"/>
      <c r="N110" s="172"/>
      <c r="O110" s="172"/>
      <c r="P110" s="172"/>
      <c r="Q110" s="172"/>
      <c r="R110" s="172"/>
      <c r="S110" s="172"/>
      <c r="T110" s="172"/>
      <c r="U110" s="172"/>
      <c r="V110" s="172"/>
      <c r="W110" s="172"/>
      <c r="X110" s="172"/>
      <c r="Y110" s="172"/>
      <c r="Z110" s="172"/>
      <c r="AA110" s="172"/>
    </row>
    <row r="111" spans="1:27" ht="16">
      <c r="A111" s="170" t="str">
        <f t="shared" ca="1" si="0"/>
        <v/>
      </c>
      <c r="B111" s="171" t="str">
        <f t="shared" ca="1" si="1"/>
        <v/>
      </c>
      <c r="C111" s="171" t="str">
        <f t="shared" ca="1" si="2"/>
        <v/>
      </c>
      <c r="D111" s="172">
        <f t="shared" ca="1" si="3"/>
        <v>0</v>
      </c>
      <c r="E111" s="172" t="s">
        <v>281</v>
      </c>
      <c r="F111" s="172"/>
      <c r="G111" s="174"/>
      <c r="H111" s="174"/>
      <c r="I111" s="172">
        <f ca="1">IFERROR(__xludf.DUMMYFUNCTION("""COMPUTED_VALUE"""),0)</f>
        <v>0</v>
      </c>
      <c r="J111" s="172"/>
      <c r="K111" s="172"/>
      <c r="L111" s="172"/>
      <c r="M111" s="172"/>
      <c r="N111" s="172"/>
      <c r="O111" s="172"/>
      <c r="P111" s="172"/>
      <c r="Q111" s="172"/>
      <c r="R111" s="172"/>
      <c r="S111" s="172"/>
      <c r="T111" s="172"/>
      <c r="U111" s="172"/>
      <c r="V111" s="172"/>
      <c r="W111" s="172"/>
      <c r="X111" s="172"/>
      <c r="Y111" s="172"/>
      <c r="Z111" s="172"/>
      <c r="AA111" s="172"/>
    </row>
    <row r="112" spans="1:27" ht="16">
      <c r="A112" s="170" t="str">
        <f t="shared" ca="1" si="0"/>
        <v/>
      </c>
      <c r="B112" s="171" t="str">
        <f t="shared" ca="1" si="1"/>
        <v/>
      </c>
      <c r="C112" s="171" t="str">
        <f t="shared" ca="1" si="2"/>
        <v/>
      </c>
      <c r="D112" s="172">
        <f t="shared" ca="1" si="3"/>
        <v>0</v>
      </c>
      <c r="E112" s="172" t="s">
        <v>281</v>
      </c>
      <c r="F112" s="172"/>
      <c r="G112" s="174"/>
      <c r="H112" s="174"/>
      <c r="I112" s="172">
        <f ca="1">IFERROR(__xludf.DUMMYFUNCTION("""COMPUTED_VALUE"""),0)</f>
        <v>0</v>
      </c>
      <c r="J112" s="172"/>
      <c r="K112" s="172"/>
      <c r="L112" s="172"/>
      <c r="M112" s="172"/>
      <c r="N112" s="172"/>
      <c r="O112" s="172"/>
      <c r="P112" s="172"/>
      <c r="Q112" s="172"/>
      <c r="R112" s="172"/>
      <c r="S112" s="172"/>
      <c r="T112" s="172"/>
      <c r="U112" s="172"/>
      <c r="V112" s="172"/>
      <c r="W112" s="172"/>
      <c r="X112" s="172"/>
      <c r="Y112" s="172"/>
      <c r="Z112" s="172"/>
      <c r="AA112" s="172"/>
    </row>
    <row r="113" spans="1:27" ht="16">
      <c r="A113" s="170" t="str">
        <f t="shared" ca="1" si="0"/>
        <v/>
      </c>
      <c r="B113" s="171" t="str">
        <f t="shared" ca="1" si="1"/>
        <v/>
      </c>
      <c r="C113" s="171" t="str">
        <f t="shared" ca="1" si="2"/>
        <v/>
      </c>
      <c r="D113" s="172">
        <f t="shared" ca="1" si="3"/>
        <v>0</v>
      </c>
      <c r="E113" s="172" t="s">
        <v>281</v>
      </c>
      <c r="F113" s="172"/>
      <c r="G113" s="174"/>
      <c r="H113" s="174"/>
      <c r="I113" s="172">
        <f ca="1">IFERROR(__xludf.DUMMYFUNCTION("""COMPUTED_VALUE"""),0)</f>
        <v>0</v>
      </c>
      <c r="J113" s="172"/>
      <c r="K113" s="172"/>
      <c r="L113" s="172"/>
      <c r="M113" s="172"/>
      <c r="N113" s="172"/>
      <c r="O113" s="172"/>
      <c r="P113" s="172"/>
      <c r="Q113" s="172"/>
      <c r="R113" s="172"/>
      <c r="S113" s="172"/>
      <c r="T113" s="172"/>
      <c r="U113" s="172"/>
      <c r="V113" s="172"/>
      <c r="W113" s="172"/>
      <c r="X113" s="172"/>
      <c r="Y113" s="172"/>
      <c r="Z113" s="172"/>
      <c r="AA113" s="172"/>
    </row>
    <row r="114" spans="1:27" ht="16">
      <c r="A114" s="170" t="str">
        <f t="shared" ca="1" si="0"/>
        <v/>
      </c>
      <c r="B114" s="171" t="str">
        <f t="shared" ca="1" si="1"/>
        <v/>
      </c>
      <c r="C114" s="171" t="str">
        <f t="shared" ca="1" si="2"/>
        <v/>
      </c>
      <c r="D114" s="172">
        <f t="shared" ca="1" si="3"/>
        <v>0</v>
      </c>
      <c r="E114" s="172" t="s">
        <v>281</v>
      </c>
      <c r="F114" s="172"/>
      <c r="G114" s="174"/>
      <c r="H114" s="174"/>
      <c r="I114" s="172">
        <f ca="1">IFERROR(__xludf.DUMMYFUNCTION("""COMPUTED_VALUE"""),0)</f>
        <v>0</v>
      </c>
      <c r="J114" s="172"/>
      <c r="K114" s="172"/>
      <c r="L114" s="172"/>
      <c r="M114" s="172"/>
      <c r="N114" s="172"/>
      <c r="O114" s="172"/>
      <c r="P114" s="172"/>
      <c r="Q114" s="172"/>
      <c r="R114" s="172"/>
      <c r="S114" s="172"/>
      <c r="T114" s="172"/>
      <c r="U114" s="172"/>
      <c r="V114" s="172"/>
      <c r="W114" s="172"/>
      <c r="X114" s="172"/>
      <c r="Y114" s="172"/>
      <c r="Z114" s="172"/>
      <c r="AA114" s="172"/>
    </row>
    <row r="115" spans="1:27" ht="16">
      <c r="A115" s="170" t="str">
        <f t="shared" ca="1" si="0"/>
        <v/>
      </c>
      <c r="B115" s="171" t="str">
        <f t="shared" ca="1" si="1"/>
        <v/>
      </c>
      <c r="C115" s="171" t="str">
        <f t="shared" ca="1" si="2"/>
        <v/>
      </c>
      <c r="D115" s="172">
        <f t="shared" ca="1" si="3"/>
        <v>0</v>
      </c>
      <c r="E115" s="172" t="s">
        <v>281</v>
      </c>
      <c r="F115" s="172"/>
      <c r="G115" s="174"/>
      <c r="H115" s="174"/>
      <c r="I115" s="172">
        <f ca="1">IFERROR(__xludf.DUMMYFUNCTION("""COMPUTED_VALUE"""),0)</f>
        <v>0</v>
      </c>
      <c r="J115" s="172"/>
      <c r="K115" s="172"/>
      <c r="L115" s="172"/>
      <c r="M115" s="172"/>
      <c r="N115" s="172"/>
      <c r="O115" s="172"/>
      <c r="P115" s="172"/>
      <c r="Q115" s="172"/>
      <c r="R115" s="172"/>
      <c r="S115" s="172"/>
      <c r="T115" s="172"/>
      <c r="U115" s="172"/>
      <c r="V115" s="172"/>
      <c r="W115" s="172"/>
      <c r="X115" s="172"/>
      <c r="Y115" s="172"/>
      <c r="Z115" s="172"/>
      <c r="AA115" s="172"/>
    </row>
    <row r="116" spans="1:27" ht="16">
      <c r="A116" s="170" t="str">
        <f t="shared" ca="1" si="0"/>
        <v/>
      </c>
      <c r="B116" s="171" t="str">
        <f t="shared" ca="1" si="1"/>
        <v/>
      </c>
      <c r="C116" s="171" t="str">
        <f t="shared" ca="1" si="2"/>
        <v/>
      </c>
      <c r="D116" s="172">
        <f t="shared" ca="1" si="3"/>
        <v>0</v>
      </c>
      <c r="E116" s="172" t="s">
        <v>281</v>
      </c>
      <c r="F116" s="172"/>
      <c r="G116" s="174"/>
      <c r="H116" s="174"/>
      <c r="I116" s="172">
        <f ca="1">IFERROR(__xludf.DUMMYFUNCTION("""COMPUTED_VALUE"""),0)</f>
        <v>0</v>
      </c>
      <c r="J116" s="172"/>
      <c r="K116" s="172"/>
      <c r="L116" s="172"/>
      <c r="M116" s="172"/>
      <c r="N116" s="172"/>
      <c r="O116" s="172"/>
      <c r="P116" s="172"/>
      <c r="Q116" s="172"/>
      <c r="R116" s="172"/>
      <c r="S116" s="172"/>
      <c r="T116" s="172"/>
      <c r="U116" s="172"/>
      <c r="V116" s="172"/>
      <c r="W116" s="172"/>
      <c r="X116" s="172"/>
      <c r="Y116" s="172"/>
      <c r="Z116" s="172"/>
      <c r="AA116" s="172"/>
    </row>
    <row r="117" spans="1:27" ht="16">
      <c r="A117" s="170" t="str">
        <f t="shared" ca="1" si="0"/>
        <v/>
      </c>
      <c r="B117" s="171" t="str">
        <f t="shared" ca="1" si="1"/>
        <v/>
      </c>
      <c r="C117" s="171" t="str">
        <f t="shared" ca="1" si="2"/>
        <v/>
      </c>
      <c r="D117" s="172">
        <f t="shared" ca="1" si="3"/>
        <v>0</v>
      </c>
      <c r="E117" s="172" t="s">
        <v>281</v>
      </c>
      <c r="F117" s="172"/>
      <c r="G117" s="174"/>
      <c r="H117" s="174"/>
      <c r="I117" s="172">
        <f ca="1">IFERROR(__xludf.DUMMYFUNCTION("""COMPUTED_VALUE"""),0)</f>
        <v>0</v>
      </c>
      <c r="J117" s="172"/>
      <c r="K117" s="172"/>
      <c r="L117" s="172"/>
      <c r="M117" s="172"/>
      <c r="N117" s="172"/>
      <c r="O117" s="172"/>
      <c r="P117" s="172"/>
      <c r="Q117" s="172"/>
      <c r="R117" s="172"/>
      <c r="S117" s="172"/>
      <c r="T117" s="172"/>
      <c r="U117" s="172"/>
      <c r="V117" s="172"/>
      <c r="W117" s="172"/>
      <c r="X117" s="172"/>
      <c r="Y117" s="172"/>
      <c r="Z117" s="172"/>
      <c r="AA117" s="172"/>
    </row>
    <row r="118" spans="1:27" ht="16">
      <c r="A118" s="170" t="str">
        <f t="shared" ca="1" si="0"/>
        <v/>
      </c>
      <c r="B118" s="171" t="str">
        <f t="shared" ca="1" si="1"/>
        <v/>
      </c>
      <c r="C118" s="171" t="str">
        <f t="shared" ca="1" si="2"/>
        <v/>
      </c>
      <c r="D118" s="172">
        <f t="shared" ca="1" si="3"/>
        <v>0</v>
      </c>
      <c r="E118" s="172" t="s">
        <v>281</v>
      </c>
      <c r="F118" s="172"/>
      <c r="G118" s="174"/>
      <c r="H118" s="174"/>
      <c r="I118" s="172">
        <f ca="1">IFERROR(__xludf.DUMMYFUNCTION("""COMPUTED_VALUE"""),0)</f>
        <v>0</v>
      </c>
      <c r="J118" s="172"/>
      <c r="K118" s="172"/>
      <c r="L118" s="172"/>
      <c r="M118" s="172"/>
      <c r="N118" s="172"/>
      <c r="O118" s="172"/>
      <c r="P118" s="172"/>
      <c r="Q118" s="172"/>
      <c r="R118" s="172"/>
      <c r="S118" s="172"/>
      <c r="T118" s="172"/>
      <c r="U118" s="172"/>
      <c r="V118" s="172"/>
      <c r="W118" s="172"/>
      <c r="X118" s="172"/>
      <c r="Y118" s="172"/>
      <c r="Z118" s="172"/>
      <c r="AA118" s="172"/>
    </row>
    <row r="119" spans="1:27" ht="16">
      <c r="A119" s="170" t="str">
        <f t="shared" ca="1" si="0"/>
        <v/>
      </c>
      <c r="B119" s="171" t="str">
        <f t="shared" ca="1" si="1"/>
        <v/>
      </c>
      <c r="C119" s="171" t="str">
        <f t="shared" ca="1" si="2"/>
        <v/>
      </c>
      <c r="D119" s="172">
        <f t="shared" ca="1" si="3"/>
        <v>0</v>
      </c>
      <c r="E119" s="172" t="s">
        <v>281</v>
      </c>
      <c r="F119" s="172"/>
      <c r="G119" s="174"/>
      <c r="H119" s="174"/>
      <c r="I119" s="172">
        <f ca="1">IFERROR(__xludf.DUMMYFUNCTION("""COMPUTED_VALUE"""),0)</f>
        <v>0</v>
      </c>
      <c r="J119" s="172"/>
      <c r="K119" s="172"/>
      <c r="L119" s="172"/>
      <c r="M119" s="172"/>
      <c r="N119" s="172"/>
      <c r="O119" s="172"/>
      <c r="P119" s="172"/>
      <c r="Q119" s="172"/>
      <c r="R119" s="172"/>
      <c r="S119" s="172"/>
      <c r="T119" s="172"/>
      <c r="U119" s="172"/>
      <c r="V119" s="172"/>
      <c r="W119" s="172"/>
      <c r="X119" s="172"/>
      <c r="Y119" s="172"/>
      <c r="Z119" s="172"/>
      <c r="AA119" s="172"/>
    </row>
    <row r="120" spans="1:27" ht="16">
      <c r="A120" s="170" t="str">
        <f t="shared" ca="1" si="0"/>
        <v/>
      </c>
      <c r="B120" s="171" t="str">
        <f t="shared" ca="1" si="1"/>
        <v/>
      </c>
      <c r="C120" s="171" t="str">
        <f t="shared" ca="1" si="2"/>
        <v/>
      </c>
      <c r="D120" s="172">
        <f t="shared" ca="1" si="3"/>
        <v>0</v>
      </c>
      <c r="E120" s="172" t="s">
        <v>281</v>
      </c>
      <c r="F120" s="172"/>
      <c r="G120" s="174"/>
      <c r="H120" s="174"/>
      <c r="I120" s="172">
        <f ca="1">IFERROR(__xludf.DUMMYFUNCTION("""COMPUTED_VALUE"""),0)</f>
        <v>0</v>
      </c>
      <c r="J120" s="172"/>
      <c r="K120" s="172"/>
      <c r="L120" s="172"/>
      <c r="M120" s="172"/>
      <c r="N120" s="172"/>
      <c r="O120" s="172"/>
      <c r="P120" s="172"/>
      <c r="Q120" s="172"/>
      <c r="R120" s="172"/>
      <c r="S120" s="172"/>
      <c r="T120" s="172"/>
      <c r="U120" s="172"/>
      <c r="V120" s="172"/>
      <c r="W120" s="172"/>
      <c r="X120" s="172"/>
      <c r="Y120" s="172"/>
      <c r="Z120" s="172"/>
      <c r="AA120" s="172"/>
    </row>
    <row r="121" spans="1:27" ht="16">
      <c r="A121" s="170" t="str">
        <f t="shared" ca="1" si="0"/>
        <v/>
      </c>
      <c r="B121" s="171" t="str">
        <f t="shared" ca="1" si="1"/>
        <v/>
      </c>
      <c r="C121" s="171" t="str">
        <f t="shared" ca="1" si="2"/>
        <v/>
      </c>
      <c r="D121" s="172">
        <f t="shared" ca="1" si="3"/>
        <v>0</v>
      </c>
      <c r="E121" s="172" t="s">
        <v>281</v>
      </c>
      <c r="F121" s="172"/>
      <c r="G121" s="174"/>
      <c r="H121" s="174"/>
      <c r="I121" s="172">
        <f ca="1">IFERROR(__xludf.DUMMYFUNCTION("""COMPUTED_VALUE"""),0)</f>
        <v>0</v>
      </c>
      <c r="J121" s="172"/>
      <c r="K121" s="172"/>
      <c r="L121" s="172"/>
      <c r="M121" s="172"/>
      <c r="N121" s="172"/>
      <c r="O121" s="172"/>
      <c r="P121" s="172"/>
      <c r="Q121" s="172"/>
      <c r="R121" s="172"/>
      <c r="S121" s="172"/>
      <c r="T121" s="172"/>
      <c r="U121" s="172"/>
      <c r="V121" s="172"/>
      <c r="W121" s="172"/>
      <c r="X121" s="172"/>
      <c r="Y121" s="172"/>
      <c r="Z121" s="172"/>
      <c r="AA121" s="172"/>
    </row>
    <row r="122" spans="1:27" ht="16">
      <c r="A122" s="170" t="str">
        <f t="shared" ca="1" si="0"/>
        <v/>
      </c>
      <c r="B122" s="171" t="str">
        <f t="shared" ca="1" si="1"/>
        <v/>
      </c>
      <c r="C122" s="171" t="str">
        <f t="shared" ca="1" si="2"/>
        <v/>
      </c>
      <c r="D122" s="172">
        <f t="shared" ca="1" si="3"/>
        <v>0</v>
      </c>
      <c r="E122" s="172" t="s">
        <v>281</v>
      </c>
      <c r="F122" s="172"/>
      <c r="G122" s="174"/>
      <c r="H122" s="174"/>
      <c r="I122" s="172">
        <f ca="1">IFERROR(__xludf.DUMMYFUNCTION("""COMPUTED_VALUE"""),0)</f>
        <v>0</v>
      </c>
      <c r="J122" s="172"/>
      <c r="K122" s="172"/>
      <c r="L122" s="172"/>
      <c r="M122" s="172"/>
      <c r="N122" s="172"/>
      <c r="O122" s="172"/>
      <c r="P122" s="172"/>
      <c r="Q122" s="172"/>
      <c r="R122" s="172"/>
      <c r="S122" s="172"/>
      <c r="T122" s="172"/>
      <c r="U122" s="172"/>
      <c r="V122" s="172"/>
      <c r="W122" s="172"/>
      <c r="X122" s="172"/>
      <c r="Y122" s="172"/>
      <c r="Z122" s="172"/>
      <c r="AA122" s="172"/>
    </row>
    <row r="123" spans="1:27" ht="16">
      <c r="A123" s="170" t="str">
        <f t="shared" ca="1" si="0"/>
        <v/>
      </c>
      <c r="B123" s="171" t="str">
        <f t="shared" ca="1" si="1"/>
        <v/>
      </c>
      <c r="C123" s="171" t="str">
        <f t="shared" ca="1" si="2"/>
        <v/>
      </c>
      <c r="D123" s="172">
        <f t="shared" ca="1" si="3"/>
        <v>0</v>
      </c>
      <c r="E123" s="172" t="s">
        <v>281</v>
      </c>
      <c r="F123" s="172"/>
      <c r="G123" s="174"/>
      <c r="H123" s="174"/>
      <c r="I123" s="172">
        <f ca="1">IFERROR(__xludf.DUMMYFUNCTION("""COMPUTED_VALUE"""),0)</f>
        <v>0</v>
      </c>
      <c r="J123" s="172"/>
      <c r="K123" s="172"/>
      <c r="L123" s="172"/>
      <c r="M123" s="172"/>
      <c r="N123" s="172"/>
      <c r="O123" s="172"/>
      <c r="P123" s="172"/>
      <c r="Q123" s="172"/>
      <c r="R123" s="172"/>
      <c r="S123" s="172"/>
      <c r="T123" s="172"/>
      <c r="U123" s="172"/>
      <c r="V123" s="172"/>
      <c r="W123" s="172"/>
      <c r="X123" s="172"/>
      <c r="Y123" s="172"/>
      <c r="Z123" s="172"/>
      <c r="AA123" s="172"/>
    </row>
    <row r="124" spans="1:27" ht="16">
      <c r="A124" s="170" t="str">
        <f t="shared" ca="1" si="0"/>
        <v/>
      </c>
      <c r="B124" s="171" t="str">
        <f t="shared" ca="1" si="1"/>
        <v/>
      </c>
      <c r="C124" s="171" t="str">
        <f t="shared" ca="1" si="2"/>
        <v/>
      </c>
      <c r="D124" s="172">
        <f t="shared" ca="1" si="3"/>
        <v>0</v>
      </c>
      <c r="E124" s="172" t="s">
        <v>281</v>
      </c>
      <c r="F124" s="172"/>
      <c r="G124" s="174"/>
      <c r="H124" s="174"/>
      <c r="I124" s="172">
        <f ca="1">IFERROR(__xludf.DUMMYFUNCTION("""COMPUTED_VALUE"""),0)</f>
        <v>0</v>
      </c>
      <c r="J124" s="172"/>
      <c r="K124" s="172"/>
      <c r="L124" s="172"/>
      <c r="M124" s="172"/>
      <c r="N124" s="172"/>
      <c r="O124" s="172"/>
      <c r="P124" s="172"/>
      <c r="Q124" s="172"/>
      <c r="R124" s="172"/>
      <c r="S124" s="172"/>
      <c r="T124" s="172"/>
      <c r="U124" s="172"/>
      <c r="V124" s="172"/>
      <c r="W124" s="172"/>
      <c r="X124" s="172"/>
      <c r="Y124" s="172"/>
      <c r="Z124" s="172"/>
      <c r="AA124" s="172"/>
    </row>
    <row r="125" spans="1:27" ht="16">
      <c r="A125" s="170" t="str">
        <f t="shared" ca="1" si="0"/>
        <v/>
      </c>
      <c r="B125" s="171" t="str">
        <f t="shared" ca="1" si="1"/>
        <v/>
      </c>
      <c r="C125" s="171" t="str">
        <f t="shared" ca="1" si="2"/>
        <v/>
      </c>
      <c r="D125" s="172">
        <f t="shared" ca="1" si="3"/>
        <v>0</v>
      </c>
      <c r="E125" s="172" t="s">
        <v>281</v>
      </c>
      <c r="F125" s="172"/>
      <c r="G125" s="174"/>
      <c r="H125" s="174"/>
      <c r="I125" s="172">
        <f ca="1">IFERROR(__xludf.DUMMYFUNCTION("""COMPUTED_VALUE"""),0)</f>
        <v>0</v>
      </c>
      <c r="J125" s="172"/>
      <c r="K125" s="172"/>
      <c r="L125" s="172"/>
      <c r="M125" s="172"/>
      <c r="N125" s="172"/>
      <c r="O125" s="172"/>
      <c r="P125" s="172"/>
      <c r="Q125" s="172"/>
      <c r="R125" s="172"/>
      <c r="S125" s="172"/>
      <c r="T125" s="172"/>
      <c r="U125" s="172"/>
      <c r="V125" s="172"/>
      <c r="W125" s="172"/>
      <c r="X125" s="172"/>
      <c r="Y125" s="172"/>
      <c r="Z125" s="172"/>
      <c r="AA125" s="172"/>
    </row>
    <row r="126" spans="1:27" ht="16">
      <c r="A126" s="170" t="str">
        <f t="shared" ca="1" si="0"/>
        <v/>
      </c>
      <c r="B126" s="171" t="str">
        <f t="shared" ca="1" si="1"/>
        <v/>
      </c>
      <c r="C126" s="171" t="str">
        <f t="shared" ca="1" si="2"/>
        <v/>
      </c>
      <c r="D126" s="172">
        <f t="shared" ca="1" si="3"/>
        <v>0</v>
      </c>
      <c r="E126" s="172" t="s">
        <v>281</v>
      </c>
      <c r="F126" s="172"/>
      <c r="G126" s="174"/>
      <c r="H126" s="174"/>
      <c r="I126" s="172">
        <f ca="1">IFERROR(__xludf.DUMMYFUNCTION("""COMPUTED_VALUE"""),0)</f>
        <v>0</v>
      </c>
      <c r="J126" s="172"/>
      <c r="K126" s="172"/>
      <c r="L126" s="172"/>
      <c r="M126" s="172"/>
      <c r="N126" s="172"/>
      <c r="O126" s="172"/>
      <c r="P126" s="172"/>
      <c r="Q126" s="172"/>
      <c r="R126" s="172"/>
      <c r="S126" s="172"/>
      <c r="T126" s="172"/>
      <c r="U126" s="172"/>
      <c r="V126" s="172"/>
      <c r="W126" s="172"/>
      <c r="X126" s="172"/>
      <c r="Y126" s="172"/>
      <c r="Z126" s="172"/>
      <c r="AA126" s="172"/>
    </row>
    <row r="127" spans="1:27" ht="16">
      <c r="A127" s="170" t="str">
        <f t="shared" ca="1" si="0"/>
        <v/>
      </c>
      <c r="B127" s="171" t="str">
        <f t="shared" ca="1" si="1"/>
        <v/>
      </c>
      <c r="C127" s="171" t="str">
        <f t="shared" ca="1" si="2"/>
        <v/>
      </c>
      <c r="D127" s="172">
        <f t="shared" ca="1" si="3"/>
        <v>0</v>
      </c>
      <c r="E127" s="172" t="s">
        <v>281</v>
      </c>
      <c r="F127" s="172"/>
      <c r="G127" s="174"/>
      <c r="H127" s="174"/>
      <c r="I127" s="172">
        <f ca="1">IFERROR(__xludf.DUMMYFUNCTION("""COMPUTED_VALUE"""),0)</f>
        <v>0</v>
      </c>
      <c r="J127" s="172"/>
      <c r="K127" s="172"/>
      <c r="L127" s="172"/>
      <c r="M127" s="172"/>
      <c r="N127" s="172"/>
      <c r="O127" s="172"/>
      <c r="P127" s="172"/>
      <c r="Q127" s="172"/>
      <c r="R127" s="172"/>
      <c r="S127" s="172"/>
      <c r="T127" s="172"/>
      <c r="U127" s="172"/>
      <c r="V127" s="172"/>
      <c r="W127" s="172"/>
      <c r="X127" s="172"/>
      <c r="Y127" s="172"/>
      <c r="Z127" s="172"/>
      <c r="AA127" s="172"/>
    </row>
    <row r="128" spans="1:27" ht="16">
      <c r="A128" s="170" t="str">
        <f t="shared" ca="1" si="0"/>
        <v/>
      </c>
      <c r="B128" s="171" t="str">
        <f t="shared" ca="1" si="1"/>
        <v/>
      </c>
      <c r="C128" s="171" t="str">
        <f t="shared" ca="1" si="2"/>
        <v/>
      </c>
      <c r="D128" s="172">
        <f t="shared" ca="1" si="3"/>
        <v>0</v>
      </c>
      <c r="E128" s="172" t="s">
        <v>281</v>
      </c>
      <c r="F128" s="172"/>
      <c r="G128" s="174"/>
      <c r="H128" s="174"/>
      <c r="I128" s="172">
        <f ca="1">IFERROR(__xludf.DUMMYFUNCTION("""COMPUTED_VALUE"""),0)</f>
        <v>0</v>
      </c>
      <c r="J128" s="172"/>
      <c r="K128" s="172"/>
      <c r="L128" s="172"/>
      <c r="M128" s="172"/>
      <c r="N128" s="172"/>
      <c r="O128" s="172"/>
      <c r="P128" s="172"/>
      <c r="Q128" s="172"/>
      <c r="R128" s="172"/>
      <c r="S128" s="172"/>
      <c r="T128" s="172"/>
      <c r="U128" s="172"/>
      <c r="V128" s="172"/>
      <c r="W128" s="172"/>
      <c r="X128" s="172"/>
      <c r="Y128" s="172"/>
      <c r="Z128" s="172"/>
      <c r="AA128" s="172"/>
    </row>
    <row r="129" spans="1:27" ht="16">
      <c r="A129" s="170" t="str">
        <f t="shared" ca="1" si="0"/>
        <v/>
      </c>
      <c r="B129" s="171" t="str">
        <f t="shared" ca="1" si="1"/>
        <v/>
      </c>
      <c r="C129" s="171" t="str">
        <f t="shared" ca="1" si="2"/>
        <v/>
      </c>
      <c r="D129" s="172">
        <f t="shared" ca="1" si="3"/>
        <v>0</v>
      </c>
      <c r="E129" s="172" t="s">
        <v>281</v>
      </c>
      <c r="F129" s="172"/>
      <c r="G129" s="174"/>
      <c r="H129" s="174"/>
      <c r="I129" s="172">
        <f ca="1">IFERROR(__xludf.DUMMYFUNCTION("""COMPUTED_VALUE"""),0)</f>
        <v>0</v>
      </c>
      <c r="J129" s="172"/>
      <c r="K129" s="172"/>
      <c r="L129" s="172"/>
      <c r="M129" s="172"/>
      <c r="N129" s="172"/>
      <c r="O129" s="172"/>
      <c r="P129" s="172"/>
      <c r="Q129" s="172"/>
      <c r="R129" s="172"/>
      <c r="S129" s="172"/>
      <c r="T129" s="172"/>
      <c r="U129" s="172"/>
      <c r="V129" s="172"/>
      <c r="W129" s="172"/>
      <c r="X129" s="172"/>
      <c r="Y129" s="172"/>
      <c r="Z129" s="172"/>
      <c r="AA129" s="172"/>
    </row>
    <row r="130" spans="1:27" ht="16">
      <c r="A130" s="170" t="str">
        <f t="shared" ca="1" si="0"/>
        <v/>
      </c>
      <c r="B130" s="171" t="str">
        <f t="shared" ca="1" si="1"/>
        <v/>
      </c>
      <c r="C130" s="171" t="str">
        <f t="shared" ca="1" si="2"/>
        <v/>
      </c>
      <c r="D130" s="172">
        <f t="shared" ca="1" si="3"/>
        <v>0</v>
      </c>
      <c r="E130" s="172" t="s">
        <v>281</v>
      </c>
      <c r="F130" s="172"/>
      <c r="G130" s="174"/>
      <c r="H130" s="174"/>
      <c r="I130" s="172">
        <f ca="1">IFERROR(__xludf.DUMMYFUNCTION("""COMPUTED_VALUE"""),0)</f>
        <v>0</v>
      </c>
      <c r="J130" s="172"/>
      <c r="K130" s="172"/>
      <c r="L130" s="172"/>
      <c r="M130" s="172"/>
      <c r="N130" s="172"/>
      <c r="O130" s="172"/>
      <c r="P130" s="172"/>
      <c r="Q130" s="172"/>
      <c r="R130" s="172"/>
      <c r="S130" s="172"/>
      <c r="T130" s="172"/>
      <c r="U130" s="172"/>
      <c r="V130" s="172"/>
      <c r="W130" s="172"/>
      <c r="X130" s="172"/>
      <c r="Y130" s="172"/>
      <c r="Z130" s="172"/>
      <c r="AA130" s="172"/>
    </row>
    <row r="131" spans="1:27" ht="16">
      <c r="A131" s="170" t="str">
        <f t="shared" ca="1" si="0"/>
        <v/>
      </c>
      <c r="B131" s="171" t="str">
        <f t="shared" ca="1" si="1"/>
        <v/>
      </c>
      <c r="C131" s="171" t="str">
        <f t="shared" ca="1" si="2"/>
        <v/>
      </c>
      <c r="D131" s="172">
        <f t="shared" ca="1" si="3"/>
        <v>0</v>
      </c>
      <c r="E131" s="172" t="s">
        <v>281</v>
      </c>
      <c r="F131" s="172"/>
      <c r="G131" s="174"/>
      <c r="H131" s="174"/>
      <c r="I131" s="172">
        <f ca="1">IFERROR(__xludf.DUMMYFUNCTION("""COMPUTED_VALUE"""),0)</f>
        <v>0</v>
      </c>
      <c r="J131" s="172"/>
      <c r="K131" s="172"/>
      <c r="L131" s="172"/>
      <c r="M131" s="172"/>
      <c r="N131" s="172"/>
      <c r="O131" s="172"/>
      <c r="P131" s="172"/>
      <c r="Q131" s="172"/>
      <c r="R131" s="172"/>
      <c r="S131" s="172"/>
      <c r="T131" s="172"/>
      <c r="U131" s="172"/>
      <c r="V131" s="172"/>
      <c r="W131" s="172"/>
      <c r="X131" s="172"/>
      <c r="Y131" s="172"/>
      <c r="Z131" s="172"/>
      <c r="AA131" s="172"/>
    </row>
    <row r="132" spans="1:27" ht="16">
      <c r="A132" s="170" t="str">
        <f t="shared" ca="1" si="0"/>
        <v/>
      </c>
      <c r="B132" s="171" t="str">
        <f t="shared" ca="1" si="1"/>
        <v/>
      </c>
      <c r="C132" s="171" t="str">
        <f t="shared" ca="1" si="2"/>
        <v/>
      </c>
      <c r="D132" s="172">
        <f t="shared" ca="1" si="3"/>
        <v>0</v>
      </c>
      <c r="E132" s="172" t="s">
        <v>281</v>
      </c>
      <c r="F132" s="172"/>
      <c r="G132" s="174"/>
      <c r="H132" s="174"/>
      <c r="I132" s="172">
        <f ca="1">IFERROR(__xludf.DUMMYFUNCTION("""COMPUTED_VALUE"""),0)</f>
        <v>0</v>
      </c>
      <c r="J132" s="172"/>
      <c r="K132" s="172"/>
      <c r="L132" s="172"/>
      <c r="M132" s="172"/>
      <c r="N132" s="172"/>
      <c r="O132" s="172"/>
      <c r="P132" s="172"/>
      <c r="Q132" s="172"/>
      <c r="R132" s="172"/>
      <c r="S132" s="172"/>
      <c r="T132" s="172"/>
      <c r="U132" s="172"/>
      <c r="V132" s="172"/>
      <c r="W132" s="172"/>
      <c r="X132" s="172"/>
      <c r="Y132" s="172"/>
      <c r="Z132" s="172"/>
      <c r="AA132" s="172"/>
    </row>
    <row r="133" spans="1:27" ht="16">
      <c r="A133" s="170" t="str">
        <f t="shared" ca="1" si="0"/>
        <v/>
      </c>
      <c r="B133" s="171" t="str">
        <f t="shared" ca="1" si="1"/>
        <v/>
      </c>
      <c r="C133" s="171" t="str">
        <f t="shared" ca="1" si="2"/>
        <v/>
      </c>
      <c r="D133" s="172">
        <f t="shared" ca="1" si="3"/>
        <v>0</v>
      </c>
      <c r="E133" s="172" t="s">
        <v>281</v>
      </c>
      <c r="F133" s="172"/>
      <c r="G133" s="174"/>
      <c r="H133" s="174"/>
      <c r="I133" s="172">
        <f ca="1">IFERROR(__xludf.DUMMYFUNCTION("""COMPUTED_VALUE"""),0)</f>
        <v>0</v>
      </c>
      <c r="J133" s="172"/>
      <c r="K133" s="172"/>
      <c r="L133" s="172"/>
      <c r="M133" s="172"/>
      <c r="N133" s="172"/>
      <c r="O133" s="172"/>
      <c r="P133" s="172"/>
      <c r="Q133" s="172"/>
      <c r="R133" s="172"/>
      <c r="S133" s="172"/>
      <c r="T133" s="172"/>
      <c r="U133" s="172"/>
      <c r="V133" s="172"/>
      <c r="W133" s="172"/>
      <c r="X133" s="172"/>
      <c r="Y133" s="172"/>
      <c r="Z133" s="172"/>
      <c r="AA133" s="172"/>
    </row>
    <row r="134" spans="1:27" ht="16">
      <c r="A134" s="170" t="str">
        <f t="shared" ca="1" si="0"/>
        <v/>
      </c>
      <c r="B134" s="171" t="str">
        <f t="shared" ca="1" si="1"/>
        <v/>
      </c>
      <c r="C134" s="171" t="str">
        <f t="shared" ca="1" si="2"/>
        <v/>
      </c>
      <c r="D134" s="172">
        <f t="shared" ca="1" si="3"/>
        <v>0</v>
      </c>
      <c r="E134" s="172" t="s">
        <v>281</v>
      </c>
      <c r="F134" s="172"/>
      <c r="G134" s="174"/>
      <c r="H134" s="174"/>
      <c r="I134" s="172">
        <f ca="1">IFERROR(__xludf.DUMMYFUNCTION("""COMPUTED_VALUE"""),0)</f>
        <v>0</v>
      </c>
      <c r="J134" s="172"/>
      <c r="K134" s="172"/>
      <c r="L134" s="172"/>
      <c r="M134" s="172"/>
      <c r="N134" s="172"/>
      <c r="O134" s="172"/>
      <c r="P134" s="172"/>
      <c r="Q134" s="172"/>
      <c r="R134" s="172"/>
      <c r="S134" s="172"/>
      <c r="T134" s="172"/>
      <c r="U134" s="172"/>
      <c r="V134" s="172"/>
      <c r="W134" s="172"/>
      <c r="X134" s="172"/>
      <c r="Y134" s="172"/>
      <c r="Z134" s="172"/>
      <c r="AA134" s="172"/>
    </row>
    <row r="135" spans="1:27" ht="16">
      <c r="A135" s="170" t="str">
        <f t="shared" ca="1" si="0"/>
        <v/>
      </c>
      <c r="B135" s="171" t="str">
        <f t="shared" ca="1" si="1"/>
        <v/>
      </c>
      <c r="C135" s="171" t="str">
        <f t="shared" ca="1" si="2"/>
        <v/>
      </c>
      <c r="D135" s="172">
        <f t="shared" ca="1" si="3"/>
        <v>0</v>
      </c>
      <c r="E135" s="172" t="s">
        <v>281</v>
      </c>
      <c r="F135" s="172"/>
      <c r="G135" s="174"/>
      <c r="H135" s="174"/>
      <c r="I135" s="172">
        <f ca="1">IFERROR(__xludf.DUMMYFUNCTION("""COMPUTED_VALUE"""),0)</f>
        <v>0</v>
      </c>
      <c r="J135" s="172"/>
      <c r="K135" s="172"/>
      <c r="L135" s="172"/>
      <c r="M135" s="172"/>
      <c r="N135" s="172"/>
      <c r="O135" s="172"/>
      <c r="P135" s="172"/>
      <c r="Q135" s="172"/>
      <c r="R135" s="172"/>
      <c r="S135" s="172"/>
      <c r="T135" s="172"/>
      <c r="U135" s="172"/>
      <c r="V135" s="172"/>
      <c r="W135" s="172"/>
      <c r="X135" s="172"/>
      <c r="Y135" s="172"/>
      <c r="Z135" s="172"/>
      <c r="AA135" s="172"/>
    </row>
    <row r="136" spans="1:27" ht="16">
      <c r="A136" s="170" t="str">
        <f t="shared" ca="1" si="0"/>
        <v/>
      </c>
      <c r="B136" s="171" t="str">
        <f t="shared" ca="1" si="1"/>
        <v/>
      </c>
      <c r="C136" s="171" t="str">
        <f t="shared" ca="1" si="2"/>
        <v/>
      </c>
      <c r="D136" s="172">
        <f t="shared" ca="1" si="3"/>
        <v>0</v>
      </c>
      <c r="E136" s="172" t="s">
        <v>281</v>
      </c>
      <c r="F136" s="172"/>
      <c r="G136" s="174"/>
      <c r="H136" s="174"/>
      <c r="I136" s="172">
        <f ca="1">IFERROR(__xludf.DUMMYFUNCTION("""COMPUTED_VALUE"""),0)</f>
        <v>0</v>
      </c>
      <c r="J136" s="172"/>
      <c r="K136" s="172"/>
      <c r="L136" s="172"/>
      <c r="M136" s="172"/>
      <c r="N136" s="172"/>
      <c r="O136" s="172"/>
      <c r="P136" s="172"/>
      <c r="Q136" s="172"/>
      <c r="R136" s="172"/>
      <c r="S136" s="172"/>
      <c r="T136" s="172"/>
      <c r="U136" s="172"/>
      <c r="V136" s="172"/>
      <c r="W136" s="172"/>
      <c r="X136" s="172"/>
      <c r="Y136" s="172"/>
      <c r="Z136" s="172"/>
      <c r="AA136" s="172"/>
    </row>
    <row r="137" spans="1:27" ht="16">
      <c r="A137" s="170" t="str">
        <f t="shared" ca="1" si="0"/>
        <v/>
      </c>
      <c r="B137" s="171" t="str">
        <f t="shared" ca="1" si="1"/>
        <v/>
      </c>
      <c r="C137" s="171" t="str">
        <f t="shared" ca="1" si="2"/>
        <v/>
      </c>
      <c r="D137" s="172">
        <f t="shared" ca="1" si="3"/>
        <v>0</v>
      </c>
      <c r="E137" s="172" t="s">
        <v>281</v>
      </c>
      <c r="F137" s="172"/>
      <c r="G137" s="174"/>
      <c r="H137" s="174"/>
      <c r="I137" s="172">
        <f ca="1">IFERROR(__xludf.DUMMYFUNCTION("""COMPUTED_VALUE"""),0)</f>
        <v>0</v>
      </c>
      <c r="J137" s="172"/>
      <c r="K137" s="172"/>
      <c r="L137" s="172"/>
      <c r="M137" s="172"/>
      <c r="N137" s="172"/>
      <c r="O137" s="172"/>
      <c r="P137" s="172"/>
      <c r="Q137" s="172"/>
      <c r="R137" s="172"/>
      <c r="S137" s="172"/>
      <c r="T137" s="172"/>
      <c r="U137" s="172"/>
      <c r="V137" s="172"/>
      <c r="W137" s="172"/>
      <c r="X137" s="172"/>
      <c r="Y137" s="172"/>
      <c r="Z137" s="172"/>
      <c r="AA137" s="172"/>
    </row>
    <row r="138" spans="1:27" ht="16">
      <c r="A138" s="170" t="str">
        <f t="shared" ca="1" si="0"/>
        <v/>
      </c>
      <c r="B138" s="171" t="str">
        <f t="shared" ca="1" si="1"/>
        <v/>
      </c>
      <c r="C138" s="171" t="str">
        <f t="shared" ca="1" si="2"/>
        <v/>
      </c>
      <c r="D138" s="172">
        <f t="shared" ca="1" si="3"/>
        <v>0</v>
      </c>
      <c r="E138" s="172" t="s">
        <v>281</v>
      </c>
      <c r="F138" s="172"/>
      <c r="G138" s="174"/>
      <c r="H138" s="174"/>
      <c r="I138" s="172">
        <f ca="1">IFERROR(__xludf.DUMMYFUNCTION("""COMPUTED_VALUE"""),0)</f>
        <v>0</v>
      </c>
      <c r="J138" s="172"/>
      <c r="K138" s="172"/>
      <c r="L138" s="172"/>
      <c r="M138" s="172"/>
      <c r="N138" s="172"/>
      <c r="O138" s="172"/>
      <c r="P138" s="172"/>
      <c r="Q138" s="172"/>
      <c r="R138" s="172"/>
      <c r="S138" s="172"/>
      <c r="T138" s="172"/>
      <c r="U138" s="172"/>
      <c r="V138" s="172"/>
      <c r="W138" s="172"/>
      <c r="X138" s="172"/>
      <c r="Y138" s="172"/>
      <c r="Z138" s="172"/>
      <c r="AA138" s="172"/>
    </row>
    <row r="139" spans="1:27" ht="16">
      <c r="A139" s="170" t="str">
        <f t="shared" ca="1" si="0"/>
        <v/>
      </c>
      <c r="B139" s="171" t="str">
        <f t="shared" ca="1" si="1"/>
        <v/>
      </c>
      <c r="C139" s="171" t="str">
        <f t="shared" ca="1" si="2"/>
        <v/>
      </c>
      <c r="D139" s="172">
        <f t="shared" ca="1" si="3"/>
        <v>0</v>
      </c>
      <c r="E139" s="172" t="s">
        <v>281</v>
      </c>
      <c r="F139" s="172"/>
      <c r="G139" s="174"/>
      <c r="H139" s="174"/>
      <c r="I139" s="172">
        <f ca="1">IFERROR(__xludf.DUMMYFUNCTION("""COMPUTED_VALUE"""),0)</f>
        <v>0</v>
      </c>
      <c r="J139" s="172"/>
      <c r="K139" s="172"/>
      <c r="L139" s="172"/>
      <c r="M139" s="172"/>
      <c r="N139" s="172"/>
      <c r="O139" s="172"/>
      <c r="P139" s="172"/>
      <c r="Q139" s="172"/>
      <c r="R139" s="172"/>
      <c r="S139" s="172"/>
      <c r="T139" s="172"/>
      <c r="U139" s="172"/>
      <c r="V139" s="172"/>
      <c r="W139" s="172"/>
      <c r="X139" s="172"/>
      <c r="Y139" s="172"/>
      <c r="Z139" s="172"/>
      <c r="AA139" s="172"/>
    </row>
    <row r="140" spans="1:27" ht="16">
      <c r="A140" s="170" t="str">
        <f t="shared" ca="1" si="0"/>
        <v/>
      </c>
      <c r="B140" s="171" t="str">
        <f t="shared" ca="1" si="1"/>
        <v/>
      </c>
      <c r="C140" s="171" t="str">
        <f t="shared" ca="1" si="2"/>
        <v/>
      </c>
      <c r="D140" s="172">
        <f t="shared" ca="1" si="3"/>
        <v>0</v>
      </c>
      <c r="E140" s="172" t="s">
        <v>281</v>
      </c>
      <c r="F140" s="172"/>
      <c r="G140" s="174"/>
      <c r="H140" s="174"/>
      <c r="I140" s="172">
        <f ca="1">IFERROR(__xludf.DUMMYFUNCTION("""COMPUTED_VALUE"""),0)</f>
        <v>0</v>
      </c>
      <c r="J140" s="172"/>
      <c r="K140" s="172"/>
      <c r="L140" s="172"/>
      <c r="M140" s="172"/>
      <c r="N140" s="172"/>
      <c r="O140" s="172"/>
      <c r="P140" s="172"/>
      <c r="Q140" s="172"/>
      <c r="R140" s="172"/>
      <c r="S140" s="172"/>
      <c r="T140" s="172"/>
      <c r="U140" s="172"/>
      <c r="V140" s="172"/>
      <c r="W140" s="172"/>
      <c r="X140" s="172"/>
      <c r="Y140" s="172"/>
      <c r="Z140" s="172"/>
      <c r="AA140" s="172"/>
    </row>
    <row r="141" spans="1:27" ht="16">
      <c r="A141" s="170" t="str">
        <f t="shared" ca="1" si="0"/>
        <v/>
      </c>
      <c r="B141" s="171" t="str">
        <f t="shared" ca="1" si="1"/>
        <v/>
      </c>
      <c r="C141" s="171" t="str">
        <f t="shared" ca="1" si="2"/>
        <v/>
      </c>
      <c r="D141" s="172">
        <f t="shared" ca="1" si="3"/>
        <v>0</v>
      </c>
      <c r="E141" s="172" t="s">
        <v>281</v>
      </c>
      <c r="F141" s="172"/>
      <c r="G141" s="174"/>
      <c r="H141" s="174"/>
      <c r="I141" s="172">
        <f ca="1">IFERROR(__xludf.DUMMYFUNCTION("""COMPUTED_VALUE"""),0)</f>
        <v>0</v>
      </c>
      <c r="J141" s="172"/>
      <c r="K141" s="172"/>
      <c r="L141" s="172"/>
      <c r="M141" s="172"/>
      <c r="N141" s="172"/>
      <c r="O141" s="172"/>
      <c r="P141" s="172"/>
      <c r="Q141" s="172"/>
      <c r="R141" s="172"/>
      <c r="S141" s="172"/>
      <c r="T141" s="172"/>
      <c r="U141" s="172"/>
      <c r="V141" s="172"/>
      <c r="W141" s="172"/>
      <c r="X141" s="172"/>
      <c r="Y141" s="172"/>
      <c r="Z141" s="172"/>
      <c r="AA141" s="172"/>
    </row>
    <row r="142" spans="1:27" ht="16">
      <c r="A142" s="170" t="str">
        <f t="shared" ca="1" si="0"/>
        <v/>
      </c>
      <c r="B142" s="171" t="str">
        <f t="shared" ca="1" si="1"/>
        <v/>
      </c>
      <c r="C142" s="171" t="str">
        <f t="shared" ca="1" si="2"/>
        <v/>
      </c>
      <c r="D142" s="172">
        <f t="shared" ca="1" si="3"/>
        <v>0</v>
      </c>
      <c r="E142" s="172" t="s">
        <v>281</v>
      </c>
      <c r="F142" s="172"/>
      <c r="G142" s="174"/>
      <c r="H142" s="174"/>
      <c r="I142" s="172">
        <f ca="1">IFERROR(__xludf.DUMMYFUNCTION("""COMPUTED_VALUE"""),0)</f>
        <v>0</v>
      </c>
      <c r="J142" s="172"/>
      <c r="K142" s="172"/>
      <c r="L142" s="172"/>
      <c r="M142" s="172"/>
      <c r="N142" s="172"/>
      <c r="O142" s="172"/>
      <c r="P142" s="172"/>
      <c r="Q142" s="172"/>
      <c r="R142" s="172"/>
      <c r="S142" s="172"/>
      <c r="T142" s="172"/>
      <c r="U142" s="172"/>
      <c r="V142" s="172"/>
      <c r="W142" s="172"/>
      <c r="X142" s="172"/>
      <c r="Y142" s="172"/>
      <c r="Z142" s="172"/>
      <c r="AA142" s="172"/>
    </row>
    <row r="143" spans="1:27" ht="16">
      <c r="A143" s="170" t="str">
        <f t="shared" ca="1" si="0"/>
        <v/>
      </c>
      <c r="B143" s="171" t="str">
        <f t="shared" ref="B143:B327" ca="1" si="4">IFERROR(_xludf.IFS(
  NOT(ISBLANK(INDIRECT("'Outside Review Form Responses'!D" &amp; ROW()))), INDIRECT("'Outside Review Form Responses'!D" &amp; ROW())
),"")</f>
        <v/>
      </c>
      <c r="C143" s="171" t="str">
        <f t="shared" ref="C143:C183" ca="1" si="5">IF(ISBLANK(INDIRECT("'Outside Review Form Responses'!D" &amp; ROW())), "", INDIRECT("'Outside Review Form Responses'!J" &amp; ROW()))</f>
        <v/>
      </c>
      <c r="D143" s="172">
        <f t="shared" ca="1" si="3"/>
        <v>0</v>
      </c>
      <c r="E143" s="172" t="s">
        <v>281</v>
      </c>
      <c r="F143" s="172"/>
      <c r="G143" s="174"/>
      <c r="H143" s="174"/>
      <c r="I143" s="172">
        <f ca="1">IFERROR(__xludf.DUMMYFUNCTION("""COMPUTED_VALUE"""),0)</f>
        <v>0</v>
      </c>
      <c r="J143" s="172"/>
      <c r="K143" s="172"/>
      <c r="L143" s="172"/>
      <c r="M143" s="172"/>
      <c r="N143" s="172"/>
      <c r="O143" s="172"/>
      <c r="P143" s="172"/>
      <c r="Q143" s="172"/>
      <c r="R143" s="172"/>
      <c r="S143" s="172"/>
      <c r="T143" s="172"/>
      <c r="U143" s="172"/>
      <c r="V143" s="172"/>
      <c r="W143" s="172"/>
      <c r="X143" s="172"/>
      <c r="Y143" s="172"/>
      <c r="Z143" s="172"/>
      <c r="AA143" s="172"/>
    </row>
    <row r="144" spans="1:27" ht="16">
      <c r="A144" s="170" t="str">
        <f t="shared" ca="1" si="0"/>
        <v/>
      </c>
      <c r="B144" s="171" t="str">
        <f t="shared" ca="1" si="4"/>
        <v/>
      </c>
      <c r="C144" s="171" t="str">
        <f t="shared" ca="1" si="5"/>
        <v/>
      </c>
      <c r="D144" s="172">
        <f t="shared" ca="1" si="3"/>
        <v>0</v>
      </c>
      <c r="E144" s="172" t="s">
        <v>281</v>
      </c>
      <c r="F144" s="172"/>
      <c r="G144" s="174"/>
      <c r="H144" s="174"/>
      <c r="I144" s="172">
        <f ca="1">IFERROR(__xludf.DUMMYFUNCTION("""COMPUTED_VALUE"""),0)</f>
        <v>0</v>
      </c>
      <c r="J144" s="172"/>
      <c r="K144" s="172"/>
      <c r="L144" s="172"/>
      <c r="M144" s="172"/>
      <c r="N144" s="172"/>
      <c r="O144" s="172"/>
      <c r="P144" s="172"/>
      <c r="Q144" s="172"/>
      <c r="R144" s="172"/>
      <c r="S144" s="172"/>
      <c r="T144" s="172"/>
      <c r="U144" s="172"/>
      <c r="V144" s="172"/>
      <c r="W144" s="172"/>
      <c r="X144" s="172"/>
      <c r="Y144" s="172"/>
      <c r="Z144" s="172"/>
      <c r="AA144" s="172"/>
    </row>
    <row r="145" spans="1:27" ht="16">
      <c r="A145" s="170" t="str">
        <f t="shared" ca="1" si="0"/>
        <v/>
      </c>
      <c r="B145" s="171" t="str">
        <f t="shared" ca="1" si="4"/>
        <v/>
      </c>
      <c r="C145" s="171" t="str">
        <f t="shared" ca="1" si="5"/>
        <v/>
      </c>
      <c r="D145" s="172">
        <f t="shared" ca="1" si="3"/>
        <v>0</v>
      </c>
      <c r="E145" s="172" t="s">
        <v>281</v>
      </c>
      <c r="F145" s="172"/>
      <c r="G145" s="174"/>
      <c r="H145" s="174"/>
      <c r="I145" s="172">
        <f ca="1">IFERROR(__xludf.DUMMYFUNCTION("""COMPUTED_VALUE"""),0)</f>
        <v>0</v>
      </c>
      <c r="J145" s="172"/>
      <c r="K145" s="172"/>
      <c r="L145" s="172"/>
      <c r="M145" s="172"/>
      <c r="N145" s="172"/>
      <c r="O145" s="172"/>
      <c r="P145" s="172"/>
      <c r="Q145" s="172"/>
      <c r="R145" s="172"/>
      <c r="S145" s="172"/>
      <c r="T145" s="172"/>
      <c r="U145" s="172"/>
      <c r="V145" s="172"/>
      <c r="W145" s="172"/>
      <c r="X145" s="172"/>
      <c r="Y145" s="172"/>
      <c r="Z145" s="172"/>
      <c r="AA145" s="172"/>
    </row>
    <row r="146" spans="1:27" ht="16">
      <c r="A146" s="170" t="str">
        <f t="shared" ca="1" si="0"/>
        <v/>
      </c>
      <c r="B146" s="171" t="str">
        <f t="shared" ca="1" si="4"/>
        <v/>
      </c>
      <c r="C146" s="171" t="str">
        <f t="shared" ca="1" si="5"/>
        <v/>
      </c>
      <c r="D146" s="172">
        <f t="shared" ca="1" si="3"/>
        <v>0</v>
      </c>
      <c r="E146" s="172" t="s">
        <v>281</v>
      </c>
      <c r="F146" s="172"/>
      <c r="G146" s="174"/>
      <c r="H146" s="174"/>
      <c r="I146" s="172">
        <f ca="1">IFERROR(__xludf.DUMMYFUNCTION("""COMPUTED_VALUE"""),0)</f>
        <v>0</v>
      </c>
      <c r="J146" s="172"/>
      <c r="K146" s="172"/>
      <c r="L146" s="172"/>
      <c r="M146" s="172"/>
      <c r="N146" s="172"/>
      <c r="O146" s="172"/>
      <c r="P146" s="172"/>
      <c r="Q146" s="172"/>
      <c r="R146" s="172"/>
      <c r="S146" s="172"/>
      <c r="T146" s="172"/>
      <c r="U146" s="172"/>
      <c r="V146" s="172"/>
      <c r="W146" s="172"/>
      <c r="X146" s="172"/>
      <c r="Y146" s="172"/>
      <c r="Z146" s="172"/>
      <c r="AA146" s="172"/>
    </row>
    <row r="147" spans="1:27" ht="16">
      <c r="A147" s="170" t="str">
        <f t="shared" ca="1" si="0"/>
        <v/>
      </c>
      <c r="B147" s="171" t="str">
        <f t="shared" ca="1" si="4"/>
        <v/>
      </c>
      <c r="C147" s="171" t="str">
        <f t="shared" ca="1" si="5"/>
        <v/>
      </c>
      <c r="D147" s="172">
        <f t="shared" ca="1" si="3"/>
        <v>0</v>
      </c>
      <c r="E147" s="172" t="s">
        <v>281</v>
      </c>
      <c r="F147" s="172"/>
      <c r="G147" s="174"/>
      <c r="H147" s="174"/>
      <c r="I147" s="172">
        <f ca="1">IFERROR(__xludf.DUMMYFUNCTION("""COMPUTED_VALUE"""),0)</f>
        <v>0</v>
      </c>
      <c r="J147" s="172"/>
      <c r="K147" s="172"/>
      <c r="L147" s="172"/>
      <c r="M147" s="172"/>
      <c r="N147" s="172"/>
      <c r="O147" s="172"/>
      <c r="P147" s="172"/>
      <c r="Q147" s="172"/>
      <c r="R147" s="172"/>
      <c r="S147" s="172"/>
      <c r="T147" s="172"/>
      <c r="U147" s="172"/>
      <c r="V147" s="172"/>
      <c r="W147" s="172"/>
      <c r="X147" s="172"/>
      <c r="Y147" s="172"/>
      <c r="Z147" s="172"/>
      <c r="AA147" s="172"/>
    </row>
    <row r="148" spans="1:27" ht="16">
      <c r="A148" s="170" t="str">
        <f t="shared" ca="1" si="0"/>
        <v/>
      </c>
      <c r="B148" s="171" t="str">
        <f t="shared" ca="1" si="4"/>
        <v/>
      </c>
      <c r="C148" s="171" t="str">
        <f t="shared" ca="1" si="5"/>
        <v/>
      </c>
      <c r="D148" s="172">
        <f t="shared" ca="1" si="3"/>
        <v>0</v>
      </c>
      <c r="E148" s="172" t="s">
        <v>281</v>
      </c>
      <c r="F148" s="172"/>
      <c r="G148" s="174"/>
      <c r="H148" s="174"/>
      <c r="I148" s="172">
        <f ca="1">IFERROR(__xludf.DUMMYFUNCTION("""COMPUTED_VALUE"""),0)</f>
        <v>0</v>
      </c>
      <c r="J148" s="172"/>
      <c r="K148" s="172"/>
      <c r="L148" s="172"/>
      <c r="M148" s="172"/>
      <c r="N148" s="172"/>
      <c r="O148" s="172"/>
      <c r="P148" s="172"/>
      <c r="Q148" s="172"/>
      <c r="R148" s="172"/>
      <c r="S148" s="172"/>
      <c r="T148" s="172"/>
      <c r="U148" s="172"/>
      <c r="V148" s="172"/>
      <c r="W148" s="172"/>
      <c r="X148" s="172"/>
      <c r="Y148" s="172"/>
      <c r="Z148" s="172"/>
      <c r="AA148" s="172"/>
    </row>
    <row r="149" spans="1:27" ht="16">
      <c r="A149" s="170" t="str">
        <f t="shared" ca="1" si="0"/>
        <v/>
      </c>
      <c r="B149" s="171" t="str">
        <f t="shared" ca="1" si="4"/>
        <v/>
      </c>
      <c r="C149" s="171" t="str">
        <f t="shared" ca="1" si="5"/>
        <v/>
      </c>
      <c r="D149" s="172">
        <f t="shared" ca="1" si="3"/>
        <v>0</v>
      </c>
      <c r="E149" s="172" t="s">
        <v>281</v>
      </c>
      <c r="F149" s="172"/>
      <c r="G149" s="174"/>
      <c r="H149" s="174"/>
      <c r="I149" s="172">
        <f ca="1">IFERROR(__xludf.DUMMYFUNCTION("""COMPUTED_VALUE"""),0)</f>
        <v>0</v>
      </c>
      <c r="J149" s="172"/>
      <c r="K149" s="172"/>
      <c r="L149" s="172"/>
      <c r="M149" s="172"/>
      <c r="N149" s="172"/>
      <c r="O149" s="172"/>
      <c r="P149" s="172"/>
      <c r="Q149" s="172"/>
      <c r="R149" s="172"/>
      <c r="S149" s="172"/>
      <c r="T149" s="172"/>
      <c r="U149" s="172"/>
      <c r="V149" s="172"/>
      <c r="W149" s="172"/>
      <c r="X149" s="172"/>
      <c r="Y149" s="172"/>
      <c r="Z149" s="172"/>
      <c r="AA149" s="172"/>
    </row>
    <row r="150" spans="1:27" ht="16">
      <c r="A150" s="170" t="str">
        <f t="shared" ca="1" si="0"/>
        <v/>
      </c>
      <c r="B150" s="171" t="str">
        <f t="shared" ca="1" si="4"/>
        <v/>
      </c>
      <c r="C150" s="171" t="str">
        <f t="shared" ca="1" si="5"/>
        <v/>
      </c>
      <c r="D150" s="172">
        <f t="shared" ca="1" si="3"/>
        <v>0</v>
      </c>
      <c r="E150" s="172" t="s">
        <v>281</v>
      </c>
      <c r="F150" s="172"/>
      <c r="G150" s="174"/>
      <c r="H150" s="174"/>
      <c r="I150" s="172">
        <f ca="1">IFERROR(__xludf.DUMMYFUNCTION("""COMPUTED_VALUE"""),0)</f>
        <v>0</v>
      </c>
      <c r="J150" s="172"/>
      <c r="K150" s="172"/>
      <c r="L150" s="172"/>
      <c r="M150" s="172"/>
      <c r="N150" s="172"/>
      <c r="O150" s="172"/>
      <c r="P150" s="172"/>
      <c r="Q150" s="172"/>
      <c r="R150" s="172"/>
      <c r="S150" s="172"/>
      <c r="T150" s="172"/>
      <c r="U150" s="172"/>
      <c r="V150" s="172"/>
      <c r="W150" s="172"/>
      <c r="X150" s="172"/>
      <c r="Y150" s="172"/>
      <c r="Z150" s="172"/>
      <c r="AA150" s="172"/>
    </row>
    <row r="151" spans="1:27" ht="16">
      <c r="A151" s="170" t="str">
        <f t="shared" ca="1" si="0"/>
        <v/>
      </c>
      <c r="B151" s="171" t="str">
        <f t="shared" ca="1" si="4"/>
        <v/>
      </c>
      <c r="C151" s="171" t="str">
        <f t="shared" ca="1" si="5"/>
        <v/>
      </c>
      <c r="D151" s="172">
        <f t="shared" ca="1" si="3"/>
        <v>0</v>
      </c>
      <c r="E151" s="172" t="s">
        <v>281</v>
      </c>
      <c r="F151" s="172"/>
      <c r="G151" s="174"/>
      <c r="H151" s="174"/>
      <c r="I151" s="172">
        <f ca="1">IFERROR(__xludf.DUMMYFUNCTION("""COMPUTED_VALUE"""),0)</f>
        <v>0</v>
      </c>
      <c r="J151" s="172"/>
      <c r="K151" s="172"/>
      <c r="L151" s="172"/>
      <c r="M151" s="172"/>
      <c r="N151" s="172"/>
      <c r="O151" s="172"/>
      <c r="P151" s="172"/>
      <c r="Q151" s="172"/>
      <c r="R151" s="172"/>
      <c r="S151" s="172"/>
      <c r="T151" s="172"/>
      <c r="U151" s="172"/>
      <c r="V151" s="172"/>
      <c r="W151" s="172"/>
      <c r="X151" s="172"/>
      <c r="Y151" s="172"/>
      <c r="Z151" s="172"/>
      <c r="AA151" s="172"/>
    </row>
    <row r="152" spans="1:27" ht="16">
      <c r="A152" s="170" t="str">
        <f t="shared" ca="1" si="0"/>
        <v/>
      </c>
      <c r="B152" s="171" t="str">
        <f t="shared" ca="1" si="4"/>
        <v/>
      </c>
      <c r="C152" s="171" t="str">
        <f t="shared" ca="1" si="5"/>
        <v/>
      </c>
      <c r="D152" s="172">
        <f t="shared" ca="1" si="3"/>
        <v>0</v>
      </c>
      <c r="E152" s="172" t="s">
        <v>281</v>
      </c>
      <c r="F152" s="172"/>
      <c r="G152" s="174"/>
      <c r="H152" s="174"/>
      <c r="I152" s="172">
        <f ca="1">IFERROR(__xludf.DUMMYFUNCTION("""COMPUTED_VALUE"""),0)</f>
        <v>0</v>
      </c>
      <c r="J152" s="172"/>
      <c r="K152" s="172"/>
      <c r="L152" s="172"/>
      <c r="M152" s="172"/>
      <c r="N152" s="172"/>
      <c r="O152" s="172"/>
      <c r="P152" s="172"/>
      <c r="Q152" s="172"/>
      <c r="R152" s="172"/>
      <c r="S152" s="172"/>
      <c r="T152" s="172"/>
      <c r="U152" s="172"/>
      <c r="V152" s="172"/>
      <c r="W152" s="172"/>
      <c r="X152" s="172"/>
      <c r="Y152" s="172"/>
      <c r="Z152" s="172"/>
      <c r="AA152" s="172"/>
    </row>
    <row r="153" spans="1:27" ht="16">
      <c r="A153" s="170" t="str">
        <f t="shared" ca="1" si="0"/>
        <v/>
      </c>
      <c r="B153" s="171" t="str">
        <f t="shared" ca="1" si="4"/>
        <v/>
      </c>
      <c r="C153" s="171" t="str">
        <f t="shared" ca="1" si="5"/>
        <v/>
      </c>
      <c r="D153" s="172">
        <f t="shared" ca="1" si="3"/>
        <v>0</v>
      </c>
      <c r="E153" s="172" t="s">
        <v>281</v>
      </c>
      <c r="F153" s="172"/>
      <c r="G153" s="174"/>
      <c r="H153" s="174"/>
      <c r="I153" s="172">
        <f ca="1">IFERROR(__xludf.DUMMYFUNCTION("""COMPUTED_VALUE"""),0)</f>
        <v>0</v>
      </c>
      <c r="J153" s="172"/>
      <c r="K153" s="172"/>
      <c r="L153" s="172"/>
      <c r="M153" s="172"/>
      <c r="N153" s="172"/>
      <c r="O153" s="172"/>
      <c r="P153" s="172"/>
      <c r="Q153" s="172"/>
      <c r="R153" s="172"/>
      <c r="S153" s="172"/>
      <c r="T153" s="172"/>
      <c r="U153" s="172"/>
      <c r="V153" s="172"/>
      <c r="W153" s="172"/>
      <c r="X153" s="172"/>
      <c r="Y153" s="172"/>
      <c r="Z153" s="172"/>
      <c r="AA153" s="172"/>
    </row>
    <row r="154" spans="1:27" ht="16">
      <c r="A154" s="170" t="str">
        <f t="shared" ca="1" si="0"/>
        <v/>
      </c>
      <c r="B154" s="171" t="str">
        <f t="shared" ca="1" si="4"/>
        <v/>
      </c>
      <c r="C154" s="171" t="str">
        <f t="shared" ca="1" si="5"/>
        <v/>
      </c>
      <c r="D154" s="172">
        <f t="shared" ca="1" si="3"/>
        <v>0</v>
      </c>
      <c r="E154" s="172" t="s">
        <v>281</v>
      </c>
      <c r="F154" s="172"/>
      <c r="G154" s="174"/>
      <c r="H154" s="174"/>
      <c r="I154" s="172">
        <f ca="1">IFERROR(__xludf.DUMMYFUNCTION("""COMPUTED_VALUE"""),0)</f>
        <v>0</v>
      </c>
      <c r="J154" s="172"/>
      <c r="K154" s="172"/>
      <c r="L154" s="172"/>
      <c r="M154" s="172"/>
      <c r="N154" s="172"/>
      <c r="O154" s="172"/>
      <c r="P154" s="172"/>
      <c r="Q154" s="172"/>
      <c r="R154" s="172"/>
      <c r="S154" s="172"/>
      <c r="T154" s="172"/>
      <c r="U154" s="172"/>
      <c r="V154" s="172"/>
      <c r="W154" s="172"/>
      <c r="X154" s="172"/>
      <c r="Y154" s="172"/>
      <c r="Z154" s="172"/>
      <c r="AA154" s="172"/>
    </row>
    <row r="155" spans="1:27" ht="16">
      <c r="A155" s="170" t="str">
        <f t="shared" ca="1" si="0"/>
        <v/>
      </c>
      <c r="B155" s="171" t="str">
        <f t="shared" ca="1" si="4"/>
        <v/>
      </c>
      <c r="C155" s="171" t="str">
        <f t="shared" ca="1" si="5"/>
        <v/>
      </c>
      <c r="D155" s="172">
        <f t="shared" ca="1" si="3"/>
        <v>0</v>
      </c>
      <c r="E155" s="172" t="s">
        <v>281</v>
      </c>
      <c r="F155" s="172"/>
      <c r="G155" s="174"/>
      <c r="H155" s="174"/>
      <c r="I155" s="172">
        <f ca="1">IFERROR(__xludf.DUMMYFUNCTION("""COMPUTED_VALUE"""),0)</f>
        <v>0</v>
      </c>
      <c r="J155" s="172"/>
      <c r="K155" s="172"/>
      <c r="L155" s="172"/>
      <c r="M155" s="172"/>
      <c r="N155" s="172"/>
      <c r="O155" s="172"/>
      <c r="P155" s="172"/>
      <c r="Q155" s="172"/>
      <c r="R155" s="172"/>
      <c r="S155" s="172"/>
      <c r="T155" s="172"/>
      <c r="U155" s="172"/>
      <c r="V155" s="172"/>
      <c r="W155" s="172"/>
      <c r="X155" s="172"/>
      <c r="Y155" s="172"/>
      <c r="Z155" s="172"/>
      <c r="AA155" s="172"/>
    </row>
    <row r="156" spans="1:27" ht="16">
      <c r="A156" s="170" t="str">
        <f t="shared" ca="1" si="0"/>
        <v/>
      </c>
      <c r="B156" s="171" t="str">
        <f t="shared" ca="1" si="4"/>
        <v/>
      </c>
      <c r="C156" s="171" t="str">
        <f t="shared" ca="1" si="5"/>
        <v/>
      </c>
      <c r="D156" s="172">
        <f t="shared" ca="1" si="3"/>
        <v>0</v>
      </c>
      <c r="E156" s="172" t="s">
        <v>281</v>
      </c>
      <c r="F156" s="172"/>
      <c r="G156" s="174"/>
      <c r="H156" s="174"/>
      <c r="I156" s="172">
        <f ca="1">IFERROR(__xludf.DUMMYFUNCTION("""COMPUTED_VALUE"""),0)</f>
        <v>0</v>
      </c>
      <c r="J156" s="172"/>
      <c r="K156" s="172"/>
      <c r="L156" s="172"/>
      <c r="M156" s="172"/>
      <c r="N156" s="172"/>
      <c r="O156" s="172"/>
      <c r="P156" s="172"/>
      <c r="Q156" s="172"/>
      <c r="R156" s="172"/>
      <c r="S156" s="172"/>
      <c r="T156" s="172"/>
      <c r="U156" s="172"/>
      <c r="V156" s="172"/>
      <c r="W156" s="172"/>
      <c r="X156" s="172"/>
      <c r="Y156" s="172"/>
      <c r="Z156" s="172"/>
      <c r="AA156" s="172"/>
    </row>
    <row r="157" spans="1:27" ht="16">
      <c r="A157" s="170" t="str">
        <f t="shared" ca="1" si="0"/>
        <v/>
      </c>
      <c r="B157" s="171" t="str">
        <f t="shared" ca="1" si="4"/>
        <v/>
      </c>
      <c r="C157" s="171" t="str">
        <f t="shared" ca="1" si="5"/>
        <v/>
      </c>
      <c r="D157" s="172">
        <f t="shared" ca="1" si="3"/>
        <v>0</v>
      </c>
      <c r="E157" s="172" t="s">
        <v>281</v>
      </c>
      <c r="F157" s="172"/>
      <c r="G157" s="174"/>
      <c r="H157" s="174"/>
      <c r="I157" s="172">
        <f ca="1">IFERROR(__xludf.DUMMYFUNCTION("""COMPUTED_VALUE"""),0)</f>
        <v>0</v>
      </c>
      <c r="J157" s="172"/>
      <c r="K157" s="172"/>
      <c r="L157" s="172"/>
      <c r="M157" s="172"/>
      <c r="N157" s="172"/>
      <c r="O157" s="172"/>
      <c r="P157" s="172"/>
      <c r="Q157" s="172"/>
      <c r="R157" s="172"/>
      <c r="S157" s="172"/>
      <c r="T157" s="172"/>
      <c r="U157" s="172"/>
      <c r="V157" s="172"/>
      <c r="W157" s="172"/>
      <c r="X157" s="172"/>
      <c r="Y157" s="172"/>
      <c r="Z157" s="172"/>
      <c r="AA157" s="172"/>
    </row>
    <row r="158" spans="1:27" ht="16">
      <c r="A158" s="170" t="str">
        <f t="shared" ca="1" si="0"/>
        <v/>
      </c>
      <c r="B158" s="171" t="str">
        <f t="shared" ca="1" si="4"/>
        <v/>
      </c>
      <c r="C158" s="171" t="str">
        <f t="shared" ca="1" si="5"/>
        <v/>
      </c>
      <c r="D158" s="172">
        <f t="shared" ca="1" si="3"/>
        <v>0</v>
      </c>
      <c r="E158" s="172" t="s">
        <v>281</v>
      </c>
      <c r="F158" s="172"/>
      <c r="G158" s="174"/>
      <c r="H158" s="174"/>
      <c r="I158" s="172">
        <f ca="1">IFERROR(__xludf.DUMMYFUNCTION("""COMPUTED_VALUE"""),0)</f>
        <v>0</v>
      </c>
      <c r="J158" s="172"/>
      <c r="K158" s="172"/>
      <c r="L158" s="172"/>
      <c r="M158" s="172"/>
      <c r="N158" s="172"/>
      <c r="O158" s="172"/>
      <c r="P158" s="172"/>
      <c r="Q158" s="172"/>
      <c r="R158" s="172"/>
      <c r="S158" s="172"/>
      <c r="T158" s="172"/>
      <c r="U158" s="172"/>
      <c r="V158" s="172"/>
      <c r="W158" s="172"/>
      <c r="X158" s="172"/>
      <c r="Y158" s="172"/>
      <c r="Z158" s="172"/>
      <c r="AA158" s="172"/>
    </row>
    <row r="159" spans="1:27" ht="16">
      <c r="A159" s="170" t="str">
        <f t="shared" ca="1" si="0"/>
        <v/>
      </c>
      <c r="B159" s="171" t="str">
        <f t="shared" ca="1" si="4"/>
        <v/>
      </c>
      <c r="C159" s="171" t="str">
        <f t="shared" ca="1" si="5"/>
        <v/>
      </c>
      <c r="D159" s="172">
        <f t="shared" ca="1" si="3"/>
        <v>0</v>
      </c>
      <c r="E159" s="172" t="s">
        <v>281</v>
      </c>
      <c r="F159" s="172"/>
      <c r="G159" s="174"/>
      <c r="H159" s="174"/>
      <c r="I159" s="172">
        <f ca="1">IFERROR(__xludf.DUMMYFUNCTION("""COMPUTED_VALUE"""),0)</f>
        <v>0</v>
      </c>
      <c r="J159" s="172"/>
      <c r="K159" s="172"/>
      <c r="L159" s="172"/>
      <c r="M159" s="172"/>
      <c r="N159" s="172"/>
      <c r="O159" s="172"/>
      <c r="P159" s="172"/>
      <c r="Q159" s="172"/>
      <c r="R159" s="172"/>
      <c r="S159" s="172"/>
      <c r="T159" s="172"/>
      <c r="U159" s="172"/>
      <c r="V159" s="172"/>
      <c r="W159" s="172"/>
      <c r="X159" s="172"/>
      <c r="Y159" s="172"/>
      <c r="Z159" s="172"/>
      <c r="AA159" s="172"/>
    </row>
    <row r="160" spans="1:27" ht="16">
      <c r="A160" s="170" t="str">
        <f t="shared" ca="1" si="0"/>
        <v/>
      </c>
      <c r="B160" s="171" t="str">
        <f t="shared" ca="1" si="4"/>
        <v/>
      </c>
      <c r="C160" s="171" t="str">
        <f t="shared" ca="1" si="5"/>
        <v/>
      </c>
      <c r="D160" s="172">
        <f t="shared" ca="1" si="3"/>
        <v>0</v>
      </c>
      <c r="E160" s="172" t="s">
        <v>281</v>
      </c>
      <c r="F160" s="172"/>
      <c r="G160" s="174"/>
      <c r="H160" s="174"/>
      <c r="I160" s="172">
        <f ca="1">IFERROR(__xludf.DUMMYFUNCTION("""COMPUTED_VALUE"""),0)</f>
        <v>0</v>
      </c>
      <c r="J160" s="172"/>
      <c r="K160" s="172"/>
      <c r="L160" s="172"/>
      <c r="M160" s="172"/>
      <c r="N160" s="172"/>
      <c r="O160" s="172"/>
      <c r="P160" s="172"/>
      <c r="Q160" s="172"/>
      <c r="R160" s="172"/>
      <c r="S160" s="172"/>
      <c r="T160" s="172"/>
      <c r="U160" s="172"/>
      <c r="V160" s="172"/>
      <c r="W160" s="172"/>
      <c r="X160" s="172"/>
      <c r="Y160" s="172"/>
      <c r="Z160" s="172"/>
      <c r="AA160" s="172"/>
    </row>
    <row r="161" spans="1:27" ht="16">
      <c r="A161" s="170" t="str">
        <f t="shared" ca="1" si="0"/>
        <v/>
      </c>
      <c r="B161" s="171" t="str">
        <f t="shared" ca="1" si="4"/>
        <v/>
      </c>
      <c r="C161" s="171" t="str">
        <f t="shared" ca="1" si="5"/>
        <v/>
      </c>
      <c r="D161" s="172">
        <f t="shared" ca="1" si="3"/>
        <v>0</v>
      </c>
      <c r="E161" s="172" t="s">
        <v>281</v>
      </c>
      <c r="F161" s="172"/>
      <c r="G161" s="174"/>
      <c r="H161" s="174"/>
      <c r="I161" s="172">
        <f ca="1">IFERROR(__xludf.DUMMYFUNCTION("""COMPUTED_VALUE"""),0)</f>
        <v>0</v>
      </c>
      <c r="J161" s="172"/>
      <c r="K161" s="172"/>
      <c r="L161" s="172"/>
      <c r="M161" s="172"/>
      <c r="N161" s="172"/>
      <c r="O161" s="172"/>
      <c r="P161" s="172"/>
      <c r="Q161" s="172"/>
      <c r="R161" s="172"/>
      <c r="S161" s="172"/>
      <c r="T161" s="172"/>
      <c r="U161" s="172"/>
      <c r="V161" s="172"/>
      <c r="W161" s="172"/>
      <c r="X161" s="172"/>
      <c r="Y161" s="172"/>
      <c r="Z161" s="172"/>
      <c r="AA161" s="172"/>
    </row>
    <row r="162" spans="1:27" ht="16">
      <c r="A162" s="170" t="str">
        <f t="shared" ca="1" si="0"/>
        <v/>
      </c>
      <c r="B162" s="171" t="str">
        <f t="shared" ca="1" si="4"/>
        <v/>
      </c>
      <c r="C162" s="171" t="str">
        <f t="shared" ca="1" si="5"/>
        <v/>
      </c>
      <c r="D162" s="172">
        <f t="shared" ca="1" si="3"/>
        <v>0</v>
      </c>
      <c r="E162" s="172" t="s">
        <v>281</v>
      </c>
      <c r="F162" s="172"/>
      <c r="G162" s="174"/>
      <c r="H162" s="174"/>
      <c r="I162" s="172">
        <f ca="1">IFERROR(__xludf.DUMMYFUNCTION("""COMPUTED_VALUE"""),0)</f>
        <v>0</v>
      </c>
      <c r="J162" s="172"/>
      <c r="K162" s="172"/>
      <c r="L162" s="172"/>
      <c r="M162" s="172"/>
      <c r="N162" s="172"/>
      <c r="O162" s="172"/>
      <c r="P162" s="172"/>
      <c r="Q162" s="172"/>
      <c r="R162" s="172"/>
      <c r="S162" s="172"/>
      <c r="T162" s="172"/>
      <c r="U162" s="172"/>
      <c r="V162" s="172"/>
      <c r="W162" s="172"/>
      <c r="X162" s="172"/>
      <c r="Y162" s="172"/>
      <c r="Z162" s="172"/>
      <c r="AA162" s="172"/>
    </row>
    <row r="163" spans="1:27" ht="16">
      <c r="A163" s="170" t="str">
        <f t="shared" ca="1" si="0"/>
        <v/>
      </c>
      <c r="B163" s="171" t="str">
        <f t="shared" ca="1" si="4"/>
        <v/>
      </c>
      <c r="C163" s="171" t="str">
        <f t="shared" ca="1" si="5"/>
        <v/>
      </c>
      <c r="D163" s="172">
        <f t="shared" ca="1" si="3"/>
        <v>0</v>
      </c>
      <c r="E163" s="172" t="s">
        <v>281</v>
      </c>
      <c r="F163" s="172"/>
      <c r="G163" s="174"/>
      <c r="H163" s="174"/>
      <c r="I163" s="172">
        <f ca="1">IFERROR(__xludf.DUMMYFUNCTION("""COMPUTED_VALUE"""),0)</f>
        <v>0</v>
      </c>
      <c r="J163" s="172"/>
      <c r="K163" s="172"/>
      <c r="L163" s="172"/>
      <c r="M163" s="172"/>
      <c r="N163" s="172"/>
      <c r="O163" s="172"/>
      <c r="P163" s="172"/>
      <c r="Q163" s="172"/>
      <c r="R163" s="172"/>
      <c r="S163" s="172"/>
      <c r="T163" s="172"/>
      <c r="U163" s="172"/>
      <c r="V163" s="172"/>
      <c r="W163" s="172"/>
      <c r="X163" s="172"/>
      <c r="Y163" s="172"/>
      <c r="Z163" s="172"/>
      <c r="AA163" s="172"/>
    </row>
    <row r="164" spans="1:27" ht="16">
      <c r="A164" s="170" t="str">
        <f t="shared" ca="1" si="0"/>
        <v/>
      </c>
      <c r="B164" s="171" t="str">
        <f t="shared" ca="1" si="4"/>
        <v/>
      </c>
      <c r="C164" s="171" t="str">
        <f t="shared" ca="1" si="5"/>
        <v/>
      </c>
      <c r="D164" s="172">
        <f t="shared" ca="1" si="3"/>
        <v>0</v>
      </c>
      <c r="E164" s="172" t="s">
        <v>281</v>
      </c>
      <c r="F164" s="172"/>
      <c r="G164" s="174"/>
      <c r="H164" s="174"/>
      <c r="I164" s="172">
        <f ca="1">IFERROR(__xludf.DUMMYFUNCTION("""COMPUTED_VALUE"""),0)</f>
        <v>0</v>
      </c>
      <c r="J164" s="172"/>
      <c r="K164" s="172"/>
      <c r="L164" s="172"/>
      <c r="M164" s="172"/>
      <c r="N164" s="172"/>
      <c r="O164" s="172"/>
      <c r="P164" s="172"/>
      <c r="Q164" s="172"/>
      <c r="R164" s="172"/>
      <c r="S164" s="172"/>
      <c r="T164" s="172"/>
      <c r="U164" s="172"/>
      <c r="V164" s="172"/>
      <c r="W164" s="172"/>
      <c r="X164" s="172"/>
      <c r="Y164" s="172"/>
      <c r="Z164" s="172"/>
      <c r="AA164" s="172"/>
    </row>
    <row r="165" spans="1:27" ht="16">
      <c r="A165" s="170" t="str">
        <f t="shared" ca="1" si="0"/>
        <v/>
      </c>
      <c r="B165" s="171" t="str">
        <f t="shared" ca="1" si="4"/>
        <v/>
      </c>
      <c r="C165" s="171" t="str">
        <f t="shared" ca="1" si="5"/>
        <v/>
      </c>
      <c r="D165" s="172">
        <f t="shared" ca="1" si="3"/>
        <v>0</v>
      </c>
      <c r="E165" s="172" t="s">
        <v>281</v>
      </c>
      <c r="F165" s="172"/>
      <c r="G165" s="174"/>
      <c r="H165" s="174"/>
      <c r="I165" s="172">
        <f ca="1">IFERROR(__xludf.DUMMYFUNCTION("""COMPUTED_VALUE"""),0)</f>
        <v>0</v>
      </c>
      <c r="J165" s="172"/>
      <c r="K165" s="172"/>
      <c r="L165" s="172"/>
      <c r="M165" s="172"/>
      <c r="N165" s="172"/>
      <c r="O165" s="172"/>
      <c r="P165" s="172"/>
      <c r="Q165" s="172"/>
      <c r="R165" s="172"/>
      <c r="S165" s="172"/>
      <c r="T165" s="172"/>
      <c r="U165" s="172"/>
      <c r="V165" s="172"/>
      <c r="W165" s="172"/>
      <c r="X165" s="172"/>
      <c r="Y165" s="172"/>
      <c r="Z165" s="172"/>
      <c r="AA165" s="172"/>
    </row>
    <row r="166" spans="1:27" ht="16">
      <c r="A166" s="170" t="str">
        <f t="shared" ca="1" si="0"/>
        <v/>
      </c>
      <c r="B166" s="171" t="str">
        <f t="shared" ca="1" si="4"/>
        <v/>
      </c>
      <c r="C166" s="171" t="str">
        <f t="shared" ca="1" si="5"/>
        <v/>
      </c>
      <c r="D166" s="172">
        <f t="shared" ca="1" si="3"/>
        <v>0</v>
      </c>
      <c r="E166" s="172" t="s">
        <v>281</v>
      </c>
      <c r="F166" s="172"/>
      <c r="G166" s="174"/>
      <c r="H166" s="174"/>
      <c r="I166" s="172">
        <f ca="1">IFERROR(__xludf.DUMMYFUNCTION("""COMPUTED_VALUE"""),0)</f>
        <v>0</v>
      </c>
      <c r="J166" s="172"/>
      <c r="K166" s="172"/>
      <c r="L166" s="172"/>
      <c r="M166" s="172"/>
      <c r="N166" s="172"/>
      <c r="O166" s="172"/>
      <c r="P166" s="172"/>
      <c r="Q166" s="172"/>
      <c r="R166" s="172"/>
      <c r="S166" s="172"/>
      <c r="T166" s="172"/>
      <c r="U166" s="172"/>
      <c r="V166" s="172"/>
      <c r="W166" s="172"/>
      <c r="X166" s="172"/>
      <c r="Y166" s="172"/>
      <c r="Z166" s="172"/>
      <c r="AA166" s="172"/>
    </row>
    <row r="167" spans="1:27" ht="16">
      <c r="A167" s="170" t="str">
        <f t="shared" ca="1" si="0"/>
        <v/>
      </c>
      <c r="B167" s="171" t="str">
        <f t="shared" ca="1" si="4"/>
        <v/>
      </c>
      <c r="C167" s="171" t="str">
        <f t="shared" ca="1" si="5"/>
        <v/>
      </c>
      <c r="D167" s="172">
        <f t="shared" ca="1" si="3"/>
        <v>0</v>
      </c>
      <c r="E167" s="172" t="s">
        <v>281</v>
      </c>
      <c r="F167" s="172"/>
      <c r="G167" s="174"/>
      <c r="H167" s="174"/>
      <c r="I167" s="172">
        <f ca="1">IFERROR(__xludf.DUMMYFUNCTION("""COMPUTED_VALUE"""),0)</f>
        <v>0</v>
      </c>
      <c r="J167" s="172"/>
      <c r="K167" s="172"/>
      <c r="L167" s="172"/>
      <c r="M167" s="172"/>
      <c r="N167" s="172"/>
      <c r="O167" s="172"/>
      <c r="P167" s="172"/>
      <c r="Q167" s="172"/>
      <c r="R167" s="172"/>
      <c r="S167" s="172"/>
      <c r="T167" s="172"/>
      <c r="U167" s="172"/>
      <c r="V167" s="172"/>
      <c r="W167" s="172"/>
      <c r="X167" s="172"/>
      <c r="Y167" s="172"/>
      <c r="Z167" s="172"/>
      <c r="AA167" s="172"/>
    </row>
    <row r="168" spans="1:27" ht="16">
      <c r="A168" s="170" t="str">
        <f t="shared" ca="1" si="0"/>
        <v/>
      </c>
      <c r="B168" s="171" t="str">
        <f t="shared" ca="1" si="4"/>
        <v/>
      </c>
      <c r="C168" s="171" t="str">
        <f t="shared" ca="1" si="5"/>
        <v/>
      </c>
      <c r="D168" s="172">
        <f t="shared" ca="1" si="3"/>
        <v>0</v>
      </c>
      <c r="E168" s="172" t="s">
        <v>281</v>
      </c>
      <c r="F168" s="172"/>
      <c r="G168" s="174"/>
      <c r="H168" s="174"/>
      <c r="I168" s="172">
        <f ca="1">IFERROR(__xludf.DUMMYFUNCTION("""COMPUTED_VALUE"""),0)</f>
        <v>0</v>
      </c>
      <c r="J168" s="172"/>
      <c r="K168" s="172"/>
      <c r="L168" s="172"/>
      <c r="M168" s="172"/>
      <c r="N168" s="172"/>
      <c r="O168" s="172"/>
      <c r="P168" s="172"/>
      <c r="Q168" s="172"/>
      <c r="R168" s="172"/>
      <c r="S168" s="172"/>
      <c r="T168" s="172"/>
      <c r="U168" s="172"/>
      <c r="V168" s="172"/>
      <c r="W168" s="172"/>
      <c r="X168" s="172"/>
      <c r="Y168" s="172"/>
      <c r="Z168" s="172"/>
      <c r="AA168" s="172"/>
    </row>
    <row r="169" spans="1:27" ht="16">
      <c r="A169" s="170" t="str">
        <f t="shared" ca="1" si="0"/>
        <v/>
      </c>
      <c r="B169" s="171" t="str">
        <f t="shared" ca="1" si="4"/>
        <v/>
      </c>
      <c r="C169" s="171" t="str">
        <f t="shared" ca="1" si="5"/>
        <v/>
      </c>
      <c r="D169" s="172">
        <f t="shared" ca="1" si="3"/>
        <v>0</v>
      </c>
      <c r="E169" s="172" t="s">
        <v>281</v>
      </c>
      <c r="F169" s="172"/>
      <c r="G169" s="174"/>
      <c r="H169" s="174"/>
      <c r="I169" s="172">
        <f ca="1">IFERROR(__xludf.DUMMYFUNCTION("""COMPUTED_VALUE"""),0)</f>
        <v>0</v>
      </c>
      <c r="J169" s="172"/>
      <c r="K169" s="172"/>
      <c r="L169" s="172"/>
      <c r="M169" s="172"/>
      <c r="N169" s="172"/>
      <c r="O169" s="172"/>
      <c r="P169" s="172"/>
      <c r="Q169" s="172"/>
      <c r="R169" s="172"/>
      <c r="S169" s="172"/>
      <c r="T169" s="172"/>
      <c r="U169" s="172"/>
      <c r="V169" s="172"/>
      <c r="W169" s="172"/>
      <c r="X169" s="172"/>
      <c r="Y169" s="172"/>
      <c r="Z169" s="172"/>
      <c r="AA169" s="172"/>
    </row>
    <row r="170" spans="1:27" ht="16">
      <c r="A170" s="170" t="str">
        <f t="shared" ca="1" si="0"/>
        <v/>
      </c>
      <c r="B170" s="171" t="str">
        <f t="shared" ca="1" si="4"/>
        <v/>
      </c>
      <c r="C170" s="171" t="str">
        <f t="shared" ca="1" si="5"/>
        <v/>
      </c>
      <c r="D170" s="172">
        <f t="shared" ca="1" si="3"/>
        <v>0</v>
      </c>
      <c r="E170" s="172" t="s">
        <v>281</v>
      </c>
      <c r="F170" s="172"/>
      <c r="G170" s="174"/>
      <c r="H170" s="174"/>
      <c r="I170" s="172">
        <f ca="1">IFERROR(__xludf.DUMMYFUNCTION("""COMPUTED_VALUE"""),0)</f>
        <v>0</v>
      </c>
      <c r="J170" s="172"/>
      <c r="K170" s="172"/>
      <c r="L170" s="172"/>
      <c r="M170" s="172"/>
      <c r="N170" s="172"/>
      <c r="O170" s="172"/>
      <c r="P170" s="172"/>
      <c r="Q170" s="172"/>
      <c r="R170" s="172"/>
      <c r="S170" s="172"/>
      <c r="T170" s="172"/>
      <c r="U170" s="172"/>
      <c r="V170" s="172"/>
      <c r="W170" s="172"/>
      <c r="X170" s="172"/>
      <c r="Y170" s="172"/>
      <c r="Z170" s="172"/>
      <c r="AA170" s="172"/>
    </row>
    <row r="171" spans="1:27" ht="16">
      <c r="A171" s="170" t="str">
        <f t="shared" ca="1" si="0"/>
        <v/>
      </c>
      <c r="B171" s="171" t="str">
        <f t="shared" ca="1" si="4"/>
        <v/>
      </c>
      <c r="C171" s="171" t="str">
        <f t="shared" ca="1" si="5"/>
        <v/>
      </c>
      <c r="D171" s="172">
        <f t="shared" ca="1" si="3"/>
        <v>0</v>
      </c>
      <c r="E171" s="172" t="s">
        <v>281</v>
      </c>
      <c r="F171" s="172"/>
      <c r="G171" s="174"/>
      <c r="H171" s="174"/>
      <c r="I171" s="172">
        <f ca="1">IFERROR(__xludf.DUMMYFUNCTION("""COMPUTED_VALUE"""),0)</f>
        <v>0</v>
      </c>
      <c r="J171" s="172"/>
      <c r="K171" s="172"/>
      <c r="L171" s="172"/>
      <c r="M171" s="172"/>
      <c r="N171" s="172"/>
      <c r="O171" s="172"/>
      <c r="P171" s="172"/>
      <c r="Q171" s="172"/>
      <c r="R171" s="172"/>
      <c r="S171" s="172"/>
      <c r="T171" s="172"/>
      <c r="U171" s="172"/>
      <c r="V171" s="172"/>
      <c r="W171" s="172"/>
      <c r="X171" s="172"/>
      <c r="Y171" s="172"/>
      <c r="Z171" s="172"/>
      <c r="AA171" s="172"/>
    </row>
    <row r="172" spans="1:27" ht="16">
      <c r="A172" s="170" t="str">
        <f t="shared" ca="1" si="0"/>
        <v/>
      </c>
      <c r="B172" s="171" t="str">
        <f t="shared" ca="1" si="4"/>
        <v/>
      </c>
      <c r="C172" s="171" t="str">
        <f t="shared" ca="1" si="5"/>
        <v/>
      </c>
      <c r="D172" s="172">
        <f t="shared" ca="1" si="3"/>
        <v>0</v>
      </c>
      <c r="E172" s="172" t="s">
        <v>281</v>
      </c>
      <c r="F172" s="172"/>
      <c r="G172" s="174"/>
      <c r="H172" s="174"/>
      <c r="I172" s="172">
        <f ca="1">IFERROR(__xludf.DUMMYFUNCTION("""COMPUTED_VALUE"""),0)</f>
        <v>0</v>
      </c>
      <c r="J172" s="172"/>
      <c r="K172" s="172"/>
      <c r="L172" s="172"/>
      <c r="M172" s="172"/>
      <c r="N172" s="172"/>
      <c r="O172" s="172"/>
      <c r="P172" s="172"/>
      <c r="Q172" s="172"/>
      <c r="R172" s="172"/>
      <c r="S172" s="172"/>
      <c r="T172" s="172"/>
      <c r="U172" s="172"/>
      <c r="V172" s="172"/>
      <c r="W172" s="172"/>
      <c r="X172" s="172"/>
      <c r="Y172" s="172"/>
      <c r="Z172" s="172"/>
      <c r="AA172" s="172"/>
    </row>
    <row r="173" spans="1:27" ht="16">
      <c r="A173" s="170" t="str">
        <f t="shared" ca="1" si="0"/>
        <v/>
      </c>
      <c r="B173" s="171" t="str">
        <f t="shared" ca="1" si="4"/>
        <v/>
      </c>
      <c r="C173" s="171" t="str">
        <f t="shared" ca="1" si="5"/>
        <v/>
      </c>
      <c r="D173" s="172">
        <f t="shared" ca="1" si="3"/>
        <v>0</v>
      </c>
      <c r="E173" s="172" t="s">
        <v>281</v>
      </c>
      <c r="F173" s="172"/>
      <c r="G173" s="174"/>
      <c r="H173" s="174"/>
      <c r="I173" s="172">
        <f ca="1">IFERROR(__xludf.DUMMYFUNCTION("""COMPUTED_VALUE"""),0)</f>
        <v>0</v>
      </c>
      <c r="J173" s="172"/>
      <c r="K173" s="172"/>
      <c r="L173" s="172"/>
      <c r="M173" s="172"/>
      <c r="N173" s="172"/>
      <c r="O173" s="172"/>
      <c r="P173" s="172"/>
      <c r="Q173" s="172"/>
      <c r="R173" s="172"/>
      <c r="S173" s="172"/>
      <c r="T173" s="172"/>
      <c r="U173" s="172"/>
      <c r="V173" s="172"/>
      <c r="W173" s="172"/>
      <c r="X173" s="172"/>
      <c r="Y173" s="172"/>
      <c r="Z173" s="172"/>
      <c r="AA173" s="172"/>
    </row>
    <row r="174" spans="1:27" ht="16">
      <c r="A174" s="170" t="str">
        <f t="shared" ca="1" si="0"/>
        <v/>
      </c>
      <c r="B174" s="171" t="str">
        <f t="shared" ca="1" si="4"/>
        <v/>
      </c>
      <c r="C174" s="171" t="str">
        <f t="shared" ca="1" si="5"/>
        <v/>
      </c>
      <c r="D174" s="172">
        <f t="shared" ca="1" si="3"/>
        <v>0</v>
      </c>
      <c r="E174" s="172" t="s">
        <v>281</v>
      </c>
      <c r="F174" s="172"/>
      <c r="G174" s="174"/>
      <c r="H174" s="174"/>
      <c r="I174" s="172">
        <f ca="1">IFERROR(__xludf.DUMMYFUNCTION("""COMPUTED_VALUE"""),0)</f>
        <v>0</v>
      </c>
      <c r="J174" s="172"/>
      <c r="K174" s="172"/>
      <c r="L174" s="172"/>
      <c r="M174" s="172"/>
      <c r="N174" s="172"/>
      <c r="O174" s="172"/>
      <c r="P174" s="172"/>
      <c r="Q174" s="172"/>
      <c r="R174" s="172"/>
      <c r="S174" s="172"/>
      <c r="T174" s="172"/>
      <c r="U174" s="172"/>
      <c r="V174" s="172"/>
      <c r="W174" s="172"/>
      <c r="X174" s="172"/>
      <c r="Y174" s="172"/>
      <c r="Z174" s="172"/>
      <c r="AA174" s="172"/>
    </row>
    <row r="175" spans="1:27" ht="16">
      <c r="A175" s="170" t="str">
        <f t="shared" ca="1" si="0"/>
        <v/>
      </c>
      <c r="B175" s="171" t="str">
        <f t="shared" ca="1" si="4"/>
        <v/>
      </c>
      <c r="C175" s="171" t="str">
        <f t="shared" ca="1" si="5"/>
        <v/>
      </c>
      <c r="D175" s="172">
        <f t="shared" ca="1" si="3"/>
        <v>0</v>
      </c>
      <c r="E175" s="172" t="s">
        <v>281</v>
      </c>
      <c r="F175" s="172"/>
      <c r="G175" s="174"/>
      <c r="H175" s="174"/>
      <c r="I175" s="172">
        <f ca="1">IFERROR(__xludf.DUMMYFUNCTION("""COMPUTED_VALUE"""),0)</f>
        <v>0</v>
      </c>
      <c r="J175" s="172"/>
      <c r="K175" s="172"/>
      <c r="L175" s="172"/>
      <c r="M175" s="172"/>
      <c r="N175" s="172"/>
      <c r="O175" s="172"/>
      <c r="P175" s="172"/>
      <c r="Q175" s="172"/>
      <c r="R175" s="172"/>
      <c r="S175" s="172"/>
      <c r="T175" s="172"/>
      <c r="U175" s="172"/>
      <c r="V175" s="172"/>
      <c r="W175" s="172"/>
      <c r="X175" s="172"/>
      <c r="Y175" s="172"/>
      <c r="Z175" s="172"/>
      <c r="AA175" s="172"/>
    </row>
    <row r="176" spans="1:27" ht="16">
      <c r="A176" s="170" t="str">
        <f t="shared" ca="1" si="0"/>
        <v/>
      </c>
      <c r="B176" s="171" t="str">
        <f t="shared" ca="1" si="4"/>
        <v/>
      </c>
      <c r="C176" s="171" t="str">
        <f t="shared" ca="1" si="5"/>
        <v/>
      </c>
      <c r="D176" s="172">
        <f t="shared" ca="1" si="3"/>
        <v>0</v>
      </c>
      <c r="E176" s="172" t="s">
        <v>281</v>
      </c>
      <c r="F176" s="172"/>
      <c r="G176" s="174"/>
      <c r="H176" s="174"/>
      <c r="I176" s="172">
        <f ca="1">IFERROR(__xludf.DUMMYFUNCTION("""COMPUTED_VALUE"""),0)</f>
        <v>0</v>
      </c>
      <c r="J176" s="172"/>
      <c r="K176" s="172"/>
      <c r="L176" s="172"/>
      <c r="M176" s="172"/>
      <c r="N176" s="172"/>
      <c r="O176" s="172"/>
      <c r="P176" s="172"/>
      <c r="Q176" s="172"/>
      <c r="R176" s="172"/>
      <c r="S176" s="172"/>
      <c r="T176" s="172"/>
      <c r="U176" s="172"/>
      <c r="V176" s="172"/>
      <c r="W176" s="172"/>
      <c r="X176" s="172"/>
      <c r="Y176" s="172"/>
      <c r="Z176" s="172"/>
      <c r="AA176" s="172"/>
    </row>
    <row r="177" spans="1:27" ht="16">
      <c r="A177" s="170" t="str">
        <f t="shared" ca="1" si="0"/>
        <v/>
      </c>
      <c r="B177" s="171" t="str">
        <f t="shared" ca="1" si="4"/>
        <v/>
      </c>
      <c r="C177" s="171" t="str">
        <f t="shared" ca="1" si="5"/>
        <v/>
      </c>
      <c r="D177" s="172">
        <f t="shared" ca="1" si="3"/>
        <v>0</v>
      </c>
      <c r="E177" s="172" t="s">
        <v>281</v>
      </c>
      <c r="F177" s="172"/>
      <c r="G177" s="174"/>
      <c r="H177" s="174"/>
      <c r="I177" s="172">
        <f ca="1">IFERROR(__xludf.DUMMYFUNCTION("""COMPUTED_VALUE"""),0)</f>
        <v>0</v>
      </c>
      <c r="J177" s="172"/>
      <c r="K177" s="172"/>
      <c r="L177" s="172"/>
      <c r="M177" s="172"/>
      <c r="N177" s="172"/>
      <c r="O177" s="172"/>
      <c r="P177" s="172"/>
      <c r="Q177" s="172"/>
      <c r="R177" s="172"/>
      <c r="S177" s="172"/>
      <c r="T177" s="172"/>
      <c r="U177" s="172"/>
      <c r="V177" s="172"/>
      <c r="W177" s="172"/>
      <c r="X177" s="172"/>
      <c r="Y177" s="172"/>
      <c r="Z177" s="172"/>
      <c r="AA177" s="172"/>
    </row>
    <row r="178" spans="1:27" ht="16">
      <c r="A178" s="170" t="str">
        <f t="shared" ca="1" si="0"/>
        <v/>
      </c>
      <c r="B178" s="171" t="str">
        <f t="shared" ca="1" si="4"/>
        <v/>
      </c>
      <c r="C178" s="171" t="str">
        <f t="shared" ca="1" si="5"/>
        <v/>
      </c>
      <c r="D178" s="172">
        <f t="shared" ca="1" si="3"/>
        <v>0</v>
      </c>
      <c r="E178" s="172" t="s">
        <v>281</v>
      </c>
      <c r="F178" s="172"/>
      <c r="G178" s="174"/>
      <c r="H178" s="174"/>
      <c r="I178" s="172">
        <f ca="1">IFERROR(__xludf.DUMMYFUNCTION("""COMPUTED_VALUE"""),0)</f>
        <v>0</v>
      </c>
      <c r="J178" s="172"/>
      <c r="K178" s="172"/>
      <c r="L178" s="172"/>
      <c r="M178" s="172"/>
      <c r="N178" s="172"/>
      <c r="O178" s="172"/>
      <c r="P178" s="172"/>
      <c r="Q178" s="172"/>
      <c r="R178" s="172"/>
      <c r="S178" s="172"/>
      <c r="T178" s="172"/>
      <c r="U178" s="172"/>
      <c r="V178" s="172"/>
      <c r="W178" s="172"/>
      <c r="X178" s="172"/>
      <c r="Y178" s="172"/>
      <c r="Z178" s="172"/>
      <c r="AA178" s="172"/>
    </row>
    <row r="179" spans="1:27" ht="16">
      <c r="A179" s="170" t="str">
        <f t="shared" ca="1" si="0"/>
        <v/>
      </c>
      <c r="B179" s="171" t="str">
        <f t="shared" ca="1" si="4"/>
        <v/>
      </c>
      <c r="C179" s="171" t="str">
        <f t="shared" ca="1" si="5"/>
        <v/>
      </c>
      <c r="D179" s="172">
        <f t="shared" ca="1" si="3"/>
        <v>0</v>
      </c>
      <c r="E179" s="172" t="s">
        <v>281</v>
      </c>
      <c r="F179" s="172"/>
      <c r="G179" s="174"/>
      <c r="H179" s="174"/>
      <c r="I179" s="172">
        <f ca="1">IFERROR(__xludf.DUMMYFUNCTION("""COMPUTED_VALUE"""),0)</f>
        <v>0</v>
      </c>
      <c r="J179" s="172"/>
      <c r="K179" s="172"/>
      <c r="L179" s="172"/>
      <c r="M179" s="172"/>
      <c r="N179" s="172"/>
      <c r="O179" s="172"/>
      <c r="P179" s="172"/>
      <c r="Q179" s="172"/>
      <c r="R179" s="172"/>
      <c r="S179" s="172"/>
      <c r="T179" s="172"/>
      <c r="U179" s="172"/>
      <c r="V179" s="172"/>
      <c r="W179" s="172"/>
      <c r="X179" s="172"/>
      <c r="Y179" s="172"/>
      <c r="Z179" s="172"/>
      <c r="AA179" s="172"/>
    </row>
    <row r="180" spans="1:27" ht="16">
      <c r="A180" s="170" t="str">
        <f t="shared" ca="1" si="0"/>
        <v/>
      </c>
      <c r="B180" s="171" t="str">
        <f t="shared" ca="1" si="4"/>
        <v/>
      </c>
      <c r="C180" s="171" t="str">
        <f t="shared" ca="1" si="5"/>
        <v/>
      </c>
      <c r="D180" s="172">
        <f t="shared" ca="1" si="3"/>
        <v>0</v>
      </c>
      <c r="E180" s="172" t="s">
        <v>281</v>
      </c>
      <c r="F180" s="172"/>
      <c r="G180" s="174"/>
      <c r="H180" s="174"/>
      <c r="I180" s="172">
        <f ca="1">IFERROR(__xludf.DUMMYFUNCTION("""COMPUTED_VALUE"""),0)</f>
        <v>0</v>
      </c>
      <c r="J180" s="172"/>
      <c r="K180" s="172"/>
      <c r="L180" s="172"/>
      <c r="M180" s="172"/>
      <c r="N180" s="172"/>
      <c r="O180" s="172"/>
      <c r="P180" s="172"/>
      <c r="Q180" s="172"/>
      <c r="R180" s="172"/>
      <c r="S180" s="172"/>
      <c r="T180" s="172"/>
      <c r="U180" s="172"/>
      <c r="V180" s="172"/>
      <c r="W180" s="172"/>
      <c r="X180" s="172"/>
      <c r="Y180" s="172"/>
      <c r="Z180" s="172"/>
      <c r="AA180" s="172"/>
    </row>
    <row r="181" spans="1:27" ht="16">
      <c r="A181" s="170" t="str">
        <f t="shared" ca="1" si="0"/>
        <v/>
      </c>
      <c r="B181" s="171" t="str">
        <f t="shared" ca="1" si="4"/>
        <v/>
      </c>
      <c r="C181" s="171" t="str">
        <f t="shared" ca="1" si="5"/>
        <v/>
      </c>
      <c r="D181" s="172">
        <f t="shared" ca="1" si="3"/>
        <v>0</v>
      </c>
      <c r="E181" s="172" t="s">
        <v>281</v>
      </c>
      <c r="F181" s="172"/>
      <c r="G181" s="174"/>
      <c r="H181" s="174"/>
      <c r="I181" s="172">
        <f ca="1">IFERROR(__xludf.DUMMYFUNCTION("""COMPUTED_VALUE"""),0)</f>
        <v>0</v>
      </c>
      <c r="J181" s="172"/>
      <c r="K181" s="172"/>
      <c r="L181" s="172"/>
      <c r="M181" s="172"/>
      <c r="N181" s="172"/>
      <c r="O181" s="172"/>
      <c r="P181" s="172"/>
      <c r="Q181" s="172"/>
      <c r="R181" s="172"/>
      <c r="S181" s="172"/>
      <c r="T181" s="172"/>
      <c r="U181" s="172"/>
      <c r="V181" s="172"/>
      <c r="W181" s="172"/>
      <c r="X181" s="172"/>
      <c r="Y181" s="172"/>
      <c r="Z181" s="172"/>
      <c r="AA181" s="172"/>
    </row>
    <row r="182" spans="1:27" ht="16">
      <c r="A182" s="170" t="str">
        <f t="shared" ca="1" si="0"/>
        <v/>
      </c>
      <c r="B182" s="171" t="str">
        <f t="shared" ca="1" si="4"/>
        <v/>
      </c>
      <c r="C182" s="171" t="str">
        <f t="shared" ca="1" si="5"/>
        <v/>
      </c>
      <c r="D182" s="172">
        <f t="shared" ca="1" si="3"/>
        <v>0</v>
      </c>
      <c r="E182" s="172" t="s">
        <v>281</v>
      </c>
      <c r="F182" s="172"/>
      <c r="G182" s="174"/>
      <c r="H182" s="174"/>
      <c r="I182" s="172">
        <f ca="1">IFERROR(__xludf.DUMMYFUNCTION("""COMPUTED_VALUE"""),0)</f>
        <v>0</v>
      </c>
      <c r="J182" s="172"/>
      <c r="K182" s="172"/>
      <c r="L182" s="172"/>
      <c r="M182" s="172"/>
      <c r="N182" s="172"/>
      <c r="O182" s="172"/>
      <c r="P182" s="172"/>
      <c r="Q182" s="172"/>
      <c r="R182" s="172"/>
      <c r="S182" s="172"/>
      <c r="T182" s="172"/>
      <c r="U182" s="172"/>
      <c r="V182" s="172"/>
      <c r="W182" s="172"/>
      <c r="X182" s="172"/>
      <c r="Y182" s="172"/>
      <c r="Z182" s="172"/>
      <c r="AA182" s="172"/>
    </row>
    <row r="183" spans="1:27" ht="16">
      <c r="A183" s="170" t="str">
        <f t="shared" ca="1" si="0"/>
        <v/>
      </c>
      <c r="B183" s="171" t="str">
        <f t="shared" ca="1" si="4"/>
        <v/>
      </c>
      <c r="C183" s="171" t="str">
        <f t="shared" ca="1" si="5"/>
        <v/>
      </c>
      <c r="D183" s="172">
        <f t="shared" ca="1" si="3"/>
        <v>0</v>
      </c>
      <c r="E183" s="172" t="s">
        <v>281</v>
      </c>
      <c r="F183" s="172"/>
      <c r="G183" s="174"/>
      <c r="H183" s="174"/>
      <c r="I183" s="172">
        <f ca="1">IFERROR(__xludf.DUMMYFUNCTION("""COMPUTED_VALUE"""),0)</f>
        <v>0</v>
      </c>
      <c r="J183" s="172"/>
      <c r="K183" s="172"/>
      <c r="L183" s="172"/>
      <c r="M183" s="172"/>
      <c r="N183" s="172"/>
      <c r="O183" s="172"/>
      <c r="P183" s="172"/>
      <c r="Q183" s="172"/>
      <c r="R183" s="172"/>
      <c r="S183" s="172"/>
      <c r="T183" s="172"/>
      <c r="U183" s="172"/>
      <c r="V183" s="172"/>
      <c r="W183" s="172"/>
      <c r="X183" s="172"/>
      <c r="Y183" s="172"/>
      <c r="Z183" s="172"/>
      <c r="AA183" s="172"/>
    </row>
    <row r="184" spans="1:27" ht="16">
      <c r="A184" s="170" t="str">
        <f t="shared" ca="1" si="0"/>
        <v/>
      </c>
      <c r="B184" s="171" t="str">
        <f t="shared" ca="1" si="4"/>
        <v/>
      </c>
      <c r="C184" s="171" t="str">
        <f t="shared" ref="C184:C263" ca="1" si="6">IF(ISBLANK(INDIRECT("'Outside Review Form Responses'!C" &amp; ROW())), "", INDIRECT("'Outside Review Form Responses'!J" &amp; ROW()))</f>
        <v/>
      </c>
      <c r="D184" s="172">
        <f t="shared" ca="1" si="3"/>
        <v>0</v>
      </c>
      <c r="E184" s="172" t="s">
        <v>281</v>
      </c>
      <c r="F184" s="172"/>
      <c r="G184" s="174"/>
      <c r="H184" s="174"/>
      <c r="I184" s="172">
        <f ca="1">IFERROR(__xludf.DUMMYFUNCTION("""COMPUTED_VALUE"""),0)</f>
        <v>0</v>
      </c>
      <c r="J184" s="172"/>
      <c r="K184" s="172"/>
      <c r="L184" s="172"/>
      <c r="M184" s="172"/>
      <c r="N184" s="172"/>
      <c r="O184" s="172"/>
      <c r="P184" s="172"/>
      <c r="Q184" s="172"/>
      <c r="R184" s="172"/>
      <c r="S184" s="172"/>
      <c r="T184" s="172"/>
      <c r="U184" s="172"/>
      <c r="V184" s="172"/>
      <c r="W184" s="172"/>
      <c r="X184" s="172"/>
      <c r="Y184" s="172"/>
      <c r="Z184" s="172"/>
      <c r="AA184" s="172"/>
    </row>
    <row r="185" spans="1:27" ht="16">
      <c r="A185" s="170" t="str">
        <f t="shared" ca="1" si="0"/>
        <v/>
      </c>
      <c r="B185" s="171" t="str">
        <f t="shared" ca="1" si="4"/>
        <v/>
      </c>
      <c r="C185" s="171" t="str">
        <f t="shared" ca="1" si="6"/>
        <v/>
      </c>
      <c r="D185" s="172">
        <f t="shared" ca="1" si="3"/>
        <v>0</v>
      </c>
      <c r="E185" s="172" t="s">
        <v>281</v>
      </c>
      <c r="F185" s="172"/>
      <c r="G185" s="174"/>
      <c r="H185" s="174"/>
      <c r="I185" s="172">
        <f ca="1">IFERROR(__xludf.DUMMYFUNCTION("""COMPUTED_VALUE"""),0)</f>
        <v>0</v>
      </c>
      <c r="J185" s="172"/>
      <c r="K185" s="172"/>
      <c r="L185" s="172"/>
      <c r="M185" s="172"/>
      <c r="N185" s="172"/>
      <c r="O185" s="172"/>
      <c r="P185" s="172"/>
      <c r="Q185" s="172"/>
      <c r="R185" s="172"/>
      <c r="S185" s="172"/>
      <c r="T185" s="172"/>
      <c r="U185" s="172"/>
      <c r="V185" s="172"/>
      <c r="W185" s="172"/>
      <c r="X185" s="172"/>
      <c r="Y185" s="172"/>
      <c r="Z185" s="172"/>
      <c r="AA185" s="172"/>
    </row>
    <row r="186" spans="1:27" ht="16">
      <c r="A186" s="170" t="str">
        <f t="shared" ca="1" si="0"/>
        <v/>
      </c>
      <c r="B186" s="171" t="str">
        <f t="shared" ca="1" si="4"/>
        <v/>
      </c>
      <c r="C186" s="171" t="str">
        <f t="shared" ca="1" si="6"/>
        <v/>
      </c>
      <c r="D186" s="172">
        <f t="shared" ca="1" si="3"/>
        <v>0</v>
      </c>
      <c r="E186" s="172" t="s">
        <v>281</v>
      </c>
      <c r="F186" s="172"/>
      <c r="G186" s="174"/>
      <c r="H186" s="174"/>
      <c r="I186" s="172">
        <f ca="1">IFERROR(__xludf.DUMMYFUNCTION("""COMPUTED_VALUE"""),0)</f>
        <v>0</v>
      </c>
      <c r="J186" s="172"/>
      <c r="K186" s="172"/>
      <c r="L186" s="172"/>
      <c r="M186" s="172"/>
      <c r="N186" s="172"/>
      <c r="O186" s="172"/>
      <c r="P186" s="172"/>
      <c r="Q186" s="172"/>
      <c r="R186" s="172"/>
      <c r="S186" s="172"/>
      <c r="T186" s="172"/>
      <c r="U186" s="172"/>
      <c r="V186" s="172"/>
      <c r="W186" s="172"/>
      <c r="X186" s="172"/>
      <c r="Y186" s="172"/>
      <c r="Z186" s="172"/>
      <c r="AA186" s="172"/>
    </row>
    <row r="187" spans="1:27" ht="16">
      <c r="A187" s="170" t="str">
        <f t="shared" ca="1" si="0"/>
        <v/>
      </c>
      <c r="B187" s="171" t="str">
        <f t="shared" ca="1" si="4"/>
        <v/>
      </c>
      <c r="C187" s="171" t="str">
        <f t="shared" ca="1" si="6"/>
        <v/>
      </c>
      <c r="D187" s="172">
        <f t="shared" ca="1" si="3"/>
        <v>0</v>
      </c>
      <c r="E187" s="172" t="s">
        <v>281</v>
      </c>
      <c r="F187" s="172"/>
      <c r="G187" s="174"/>
      <c r="H187" s="174"/>
      <c r="I187" s="172">
        <f ca="1">IFERROR(__xludf.DUMMYFUNCTION("""COMPUTED_VALUE"""),0)</f>
        <v>0</v>
      </c>
      <c r="J187" s="172"/>
      <c r="K187" s="172"/>
      <c r="L187" s="172"/>
      <c r="M187" s="172"/>
      <c r="N187" s="172"/>
      <c r="O187" s="172"/>
      <c r="P187" s="172"/>
      <c r="Q187" s="172"/>
      <c r="R187" s="172"/>
      <c r="S187" s="172"/>
      <c r="T187" s="172"/>
      <c r="U187" s="172"/>
      <c r="V187" s="172"/>
      <c r="W187" s="172"/>
      <c r="X187" s="172"/>
      <c r="Y187" s="172"/>
      <c r="Z187" s="172"/>
      <c r="AA187" s="172"/>
    </row>
    <row r="188" spans="1:27" ht="16">
      <c r="A188" s="170" t="str">
        <f t="shared" ca="1" si="0"/>
        <v/>
      </c>
      <c r="B188" s="171" t="str">
        <f t="shared" ca="1" si="4"/>
        <v/>
      </c>
      <c r="C188" s="171" t="str">
        <f t="shared" ca="1" si="6"/>
        <v/>
      </c>
      <c r="D188" s="172">
        <f t="shared" ca="1" si="3"/>
        <v>0</v>
      </c>
      <c r="E188" s="172" t="s">
        <v>281</v>
      </c>
      <c r="F188" s="172"/>
      <c r="G188" s="174"/>
      <c r="H188" s="174"/>
      <c r="I188" s="172">
        <f ca="1">IFERROR(__xludf.DUMMYFUNCTION("""COMPUTED_VALUE"""),0)</f>
        <v>0</v>
      </c>
      <c r="J188" s="172"/>
      <c r="K188" s="172"/>
      <c r="L188" s="172"/>
      <c r="M188" s="172"/>
      <c r="N188" s="172"/>
      <c r="O188" s="172"/>
      <c r="P188" s="172"/>
      <c r="Q188" s="172"/>
      <c r="R188" s="172"/>
      <c r="S188" s="172"/>
      <c r="T188" s="172"/>
      <c r="U188" s="172"/>
      <c r="V188" s="172"/>
      <c r="W188" s="172"/>
      <c r="X188" s="172"/>
      <c r="Y188" s="172"/>
      <c r="Z188" s="172"/>
      <c r="AA188" s="172"/>
    </row>
    <row r="189" spans="1:27" ht="16">
      <c r="A189" s="170" t="str">
        <f t="shared" ca="1" si="0"/>
        <v/>
      </c>
      <c r="B189" s="171" t="str">
        <f t="shared" ca="1" si="4"/>
        <v/>
      </c>
      <c r="C189" s="171" t="str">
        <f t="shared" ca="1" si="6"/>
        <v/>
      </c>
      <c r="D189" s="172">
        <f t="shared" ca="1" si="3"/>
        <v>0</v>
      </c>
      <c r="E189" s="172" t="s">
        <v>281</v>
      </c>
      <c r="F189" s="172"/>
      <c r="G189" s="174"/>
      <c r="H189" s="174"/>
      <c r="I189" s="172">
        <f ca="1">IFERROR(__xludf.DUMMYFUNCTION("""COMPUTED_VALUE"""),0)</f>
        <v>0</v>
      </c>
      <c r="J189" s="172"/>
      <c r="K189" s="172"/>
      <c r="L189" s="172"/>
      <c r="M189" s="172"/>
      <c r="N189" s="172"/>
      <c r="O189" s="172"/>
      <c r="P189" s="172"/>
      <c r="Q189" s="172"/>
      <c r="R189" s="172"/>
      <c r="S189" s="172"/>
      <c r="T189" s="172"/>
      <c r="U189" s="172"/>
      <c r="V189" s="172"/>
      <c r="W189" s="172"/>
      <c r="X189" s="172"/>
      <c r="Y189" s="172"/>
      <c r="Z189" s="172"/>
      <c r="AA189" s="172"/>
    </row>
    <row r="190" spans="1:27" ht="17">
      <c r="A190" s="168"/>
      <c r="B190" s="171" t="str">
        <f t="shared" ca="1" si="4"/>
        <v/>
      </c>
      <c r="C190" s="171" t="str">
        <f t="shared" ca="1" si="6"/>
        <v/>
      </c>
      <c r="D190" s="172">
        <f t="shared" ca="1" si="3"/>
        <v>0</v>
      </c>
      <c r="E190" s="172" t="s">
        <v>281</v>
      </c>
      <c r="F190" s="172"/>
      <c r="G190" s="175"/>
      <c r="H190" s="175"/>
      <c r="I190" s="172">
        <f ca="1">IFERROR(__xludf.DUMMYFUNCTION("""COMPUTED_VALUE"""),0)</f>
        <v>0</v>
      </c>
      <c r="J190" s="172"/>
      <c r="K190" s="172"/>
      <c r="L190" s="172"/>
      <c r="M190" s="172"/>
      <c r="N190" s="172"/>
      <c r="O190" s="172"/>
      <c r="P190" s="172"/>
      <c r="Q190" s="172"/>
      <c r="R190" s="172"/>
      <c r="S190" s="172"/>
      <c r="T190" s="172"/>
      <c r="U190" s="172"/>
      <c r="V190" s="172"/>
      <c r="W190" s="172"/>
      <c r="X190" s="172"/>
      <c r="Y190" s="172"/>
      <c r="Z190" s="172"/>
      <c r="AA190" s="172"/>
    </row>
    <row r="191" spans="1:27" ht="17">
      <c r="A191" s="168"/>
      <c r="B191" s="171" t="str">
        <f t="shared" ca="1" si="4"/>
        <v/>
      </c>
      <c r="C191" s="171" t="str">
        <f t="shared" ca="1" si="6"/>
        <v/>
      </c>
      <c r="D191" s="172">
        <f t="shared" ca="1" si="3"/>
        <v>0</v>
      </c>
      <c r="E191" s="172" t="s">
        <v>281</v>
      </c>
      <c r="F191" s="172"/>
      <c r="G191" s="175"/>
      <c r="H191" s="175"/>
      <c r="I191" s="172">
        <f ca="1">IFERROR(__xludf.DUMMYFUNCTION("""COMPUTED_VALUE"""),0)</f>
        <v>0</v>
      </c>
      <c r="J191" s="172"/>
      <c r="K191" s="172"/>
      <c r="L191" s="172"/>
      <c r="M191" s="172"/>
      <c r="N191" s="172"/>
      <c r="O191" s="172"/>
      <c r="P191" s="172"/>
      <c r="Q191" s="172"/>
      <c r="R191" s="172"/>
      <c r="S191" s="172"/>
      <c r="T191" s="172"/>
      <c r="U191" s="172"/>
      <c r="V191" s="172"/>
      <c r="W191" s="172"/>
      <c r="X191" s="172"/>
      <c r="Y191" s="172"/>
      <c r="Z191" s="172"/>
      <c r="AA191" s="172"/>
    </row>
    <row r="192" spans="1:27" ht="17">
      <c r="A192" s="168"/>
      <c r="B192" s="171" t="str">
        <f t="shared" ca="1" si="4"/>
        <v/>
      </c>
      <c r="C192" s="171" t="str">
        <f t="shared" ca="1" si="6"/>
        <v/>
      </c>
      <c r="D192" s="172">
        <f t="shared" ca="1" si="3"/>
        <v>0</v>
      </c>
      <c r="E192" s="172" t="s">
        <v>281</v>
      </c>
      <c r="F192" s="172"/>
      <c r="G192" s="175"/>
      <c r="H192" s="175"/>
      <c r="I192" s="172">
        <f ca="1">IFERROR(__xludf.DUMMYFUNCTION("""COMPUTED_VALUE"""),0)</f>
        <v>0</v>
      </c>
      <c r="J192" s="172"/>
      <c r="K192" s="172"/>
      <c r="L192" s="172"/>
      <c r="M192" s="172"/>
      <c r="N192" s="172"/>
      <c r="O192" s="172"/>
      <c r="P192" s="172"/>
      <c r="Q192" s="172"/>
      <c r="R192" s="172"/>
      <c r="S192" s="172"/>
      <c r="T192" s="172"/>
      <c r="U192" s="172"/>
      <c r="V192" s="172"/>
      <c r="W192" s="172"/>
      <c r="X192" s="172"/>
      <c r="Y192" s="172"/>
      <c r="Z192" s="172"/>
      <c r="AA192" s="172"/>
    </row>
    <row r="193" spans="1:27" ht="17">
      <c r="A193" s="168"/>
      <c r="B193" s="171" t="str">
        <f t="shared" ca="1" si="4"/>
        <v/>
      </c>
      <c r="C193" s="171" t="str">
        <f t="shared" ca="1" si="6"/>
        <v/>
      </c>
      <c r="D193" s="172">
        <f t="shared" ca="1" si="3"/>
        <v>0</v>
      </c>
      <c r="E193" s="172" t="s">
        <v>281</v>
      </c>
      <c r="F193" s="172"/>
      <c r="G193" s="175"/>
      <c r="H193" s="175"/>
      <c r="I193" s="172">
        <f ca="1">IFERROR(__xludf.DUMMYFUNCTION("""COMPUTED_VALUE"""),0)</f>
        <v>0</v>
      </c>
      <c r="J193" s="172"/>
      <c r="K193" s="172"/>
      <c r="L193" s="172"/>
      <c r="M193" s="172"/>
      <c r="N193" s="172"/>
      <c r="O193" s="172"/>
      <c r="P193" s="172"/>
      <c r="Q193" s="172"/>
      <c r="R193" s="172"/>
      <c r="S193" s="172"/>
      <c r="T193" s="172"/>
      <c r="U193" s="172"/>
      <c r="V193" s="172"/>
      <c r="W193" s="172"/>
      <c r="X193" s="172"/>
      <c r="Y193" s="172"/>
      <c r="Z193" s="172"/>
      <c r="AA193" s="172"/>
    </row>
    <row r="194" spans="1:27" ht="17">
      <c r="A194" s="168"/>
      <c r="B194" s="171" t="str">
        <f t="shared" ca="1" si="4"/>
        <v/>
      </c>
      <c r="C194" s="171" t="str">
        <f t="shared" ca="1" si="6"/>
        <v/>
      </c>
      <c r="D194" s="172">
        <f t="shared" ca="1" si="3"/>
        <v>0</v>
      </c>
      <c r="E194" s="172" t="s">
        <v>281</v>
      </c>
      <c r="F194" s="172"/>
      <c r="G194" s="175"/>
      <c r="H194" s="175"/>
      <c r="I194" s="172">
        <f ca="1">IFERROR(__xludf.DUMMYFUNCTION("""COMPUTED_VALUE"""),0)</f>
        <v>0</v>
      </c>
      <c r="J194" s="172"/>
      <c r="K194" s="172"/>
      <c r="L194" s="172"/>
      <c r="M194" s="172"/>
      <c r="N194" s="172"/>
      <c r="O194" s="172"/>
      <c r="P194" s="172"/>
      <c r="Q194" s="172"/>
      <c r="R194" s="172"/>
      <c r="S194" s="172"/>
      <c r="T194" s="172"/>
      <c r="U194" s="172"/>
      <c r="V194" s="172"/>
      <c r="W194" s="172"/>
      <c r="X194" s="172"/>
      <c r="Y194" s="172"/>
      <c r="Z194" s="172"/>
      <c r="AA194" s="172"/>
    </row>
    <row r="195" spans="1:27" ht="17">
      <c r="A195" s="168"/>
      <c r="B195" s="171" t="str">
        <f t="shared" ca="1" si="4"/>
        <v/>
      </c>
      <c r="C195" s="171" t="str">
        <f t="shared" ca="1" si="6"/>
        <v/>
      </c>
      <c r="D195" s="172">
        <f t="shared" ca="1" si="3"/>
        <v>0</v>
      </c>
      <c r="E195" s="172" t="s">
        <v>281</v>
      </c>
      <c r="F195" s="172"/>
      <c r="G195" s="175"/>
      <c r="H195" s="175"/>
      <c r="I195" s="172">
        <f ca="1">IFERROR(__xludf.DUMMYFUNCTION("""COMPUTED_VALUE"""),0)</f>
        <v>0</v>
      </c>
      <c r="J195" s="172"/>
      <c r="K195" s="172"/>
      <c r="L195" s="172"/>
      <c r="M195" s="172"/>
      <c r="N195" s="172"/>
      <c r="O195" s="172"/>
      <c r="P195" s="172"/>
      <c r="Q195" s="172"/>
      <c r="R195" s="172"/>
      <c r="S195" s="172"/>
      <c r="T195" s="172"/>
      <c r="U195" s="172"/>
      <c r="V195" s="172"/>
      <c r="W195" s="172"/>
      <c r="X195" s="172"/>
      <c r="Y195" s="172"/>
      <c r="Z195" s="172"/>
      <c r="AA195" s="172"/>
    </row>
    <row r="196" spans="1:27" ht="17">
      <c r="A196" s="168"/>
      <c r="B196" s="171" t="str">
        <f t="shared" ca="1" si="4"/>
        <v/>
      </c>
      <c r="C196" s="171" t="str">
        <f t="shared" ca="1" si="6"/>
        <v/>
      </c>
      <c r="D196" s="172">
        <f t="shared" ca="1" si="3"/>
        <v>0</v>
      </c>
      <c r="E196" s="172" t="s">
        <v>281</v>
      </c>
      <c r="F196" s="172"/>
      <c r="G196" s="175"/>
      <c r="H196" s="175"/>
      <c r="I196" s="172">
        <f ca="1">IFERROR(__xludf.DUMMYFUNCTION("""COMPUTED_VALUE"""),0)</f>
        <v>0</v>
      </c>
      <c r="J196" s="172"/>
      <c r="K196" s="172"/>
      <c r="L196" s="172"/>
      <c r="M196" s="172"/>
      <c r="N196" s="172"/>
      <c r="O196" s="172"/>
      <c r="P196" s="172"/>
      <c r="Q196" s="172"/>
      <c r="R196" s="172"/>
      <c r="S196" s="172"/>
      <c r="T196" s="172"/>
      <c r="U196" s="172"/>
      <c r="V196" s="172"/>
      <c r="W196" s="172"/>
      <c r="X196" s="172"/>
      <c r="Y196" s="172"/>
      <c r="Z196" s="172"/>
      <c r="AA196" s="172"/>
    </row>
    <row r="197" spans="1:27" ht="17">
      <c r="A197" s="168"/>
      <c r="B197" s="171" t="str">
        <f t="shared" ca="1" si="4"/>
        <v/>
      </c>
      <c r="C197" s="171" t="str">
        <f t="shared" ca="1" si="6"/>
        <v/>
      </c>
      <c r="D197" s="172">
        <f t="shared" ca="1" si="3"/>
        <v>0</v>
      </c>
      <c r="E197" s="172" t="s">
        <v>281</v>
      </c>
      <c r="F197" s="172"/>
      <c r="G197" s="175"/>
      <c r="H197" s="175"/>
      <c r="I197" s="172">
        <f ca="1">IFERROR(__xludf.DUMMYFUNCTION("""COMPUTED_VALUE"""),0)</f>
        <v>0</v>
      </c>
      <c r="J197" s="172"/>
      <c r="K197" s="172"/>
      <c r="L197" s="172"/>
      <c r="M197" s="172"/>
      <c r="N197" s="172"/>
      <c r="O197" s="172"/>
      <c r="P197" s="172"/>
      <c r="Q197" s="172"/>
      <c r="R197" s="172"/>
      <c r="S197" s="172"/>
      <c r="T197" s="172"/>
      <c r="U197" s="172"/>
      <c r="V197" s="172"/>
      <c r="W197" s="172"/>
      <c r="X197" s="172"/>
      <c r="Y197" s="172"/>
      <c r="Z197" s="172"/>
      <c r="AA197" s="172"/>
    </row>
    <row r="198" spans="1:27" ht="17">
      <c r="A198" s="168"/>
      <c r="B198" s="171" t="str">
        <f t="shared" ca="1" si="4"/>
        <v/>
      </c>
      <c r="C198" s="171" t="str">
        <f t="shared" ca="1" si="6"/>
        <v/>
      </c>
      <c r="D198" s="172">
        <f t="shared" ca="1" si="3"/>
        <v>0</v>
      </c>
      <c r="E198" s="172" t="s">
        <v>281</v>
      </c>
      <c r="F198" s="172"/>
      <c r="G198" s="175"/>
      <c r="H198" s="175"/>
      <c r="I198" s="172">
        <f ca="1">IFERROR(__xludf.DUMMYFUNCTION("""COMPUTED_VALUE"""),0)</f>
        <v>0</v>
      </c>
      <c r="J198" s="172"/>
      <c r="K198" s="172"/>
      <c r="L198" s="172"/>
      <c r="M198" s="172"/>
      <c r="N198" s="172"/>
      <c r="O198" s="172"/>
      <c r="P198" s="172"/>
      <c r="Q198" s="172"/>
      <c r="R198" s="172"/>
      <c r="S198" s="172"/>
      <c r="T198" s="172"/>
      <c r="U198" s="172"/>
      <c r="V198" s="172"/>
      <c r="W198" s="172"/>
      <c r="X198" s="172"/>
      <c r="Y198" s="172"/>
      <c r="Z198" s="172"/>
      <c r="AA198" s="172"/>
    </row>
    <row r="199" spans="1:27" ht="17">
      <c r="A199" s="168"/>
      <c r="B199" s="171" t="str">
        <f t="shared" ca="1" si="4"/>
        <v/>
      </c>
      <c r="C199" s="171" t="str">
        <f t="shared" ca="1" si="6"/>
        <v/>
      </c>
      <c r="D199" s="172">
        <f t="shared" ca="1" si="3"/>
        <v>0</v>
      </c>
      <c r="E199" s="172" t="s">
        <v>281</v>
      </c>
      <c r="F199" s="172"/>
      <c r="G199" s="175"/>
      <c r="H199" s="175"/>
      <c r="I199" s="172">
        <f ca="1">IFERROR(__xludf.DUMMYFUNCTION("""COMPUTED_VALUE"""),0)</f>
        <v>0</v>
      </c>
      <c r="J199" s="172"/>
      <c r="K199" s="172"/>
      <c r="L199" s="172"/>
      <c r="M199" s="172"/>
      <c r="N199" s="172"/>
      <c r="O199" s="172"/>
      <c r="P199" s="172"/>
      <c r="Q199" s="172"/>
      <c r="R199" s="172"/>
      <c r="S199" s="172"/>
      <c r="T199" s="172"/>
      <c r="U199" s="172"/>
      <c r="V199" s="172"/>
      <c r="W199" s="172"/>
      <c r="X199" s="172"/>
      <c r="Y199" s="172"/>
      <c r="Z199" s="172"/>
      <c r="AA199" s="172"/>
    </row>
    <row r="200" spans="1:27" ht="17">
      <c r="A200" s="168"/>
      <c r="B200" s="171" t="str">
        <f t="shared" ca="1" si="4"/>
        <v/>
      </c>
      <c r="C200" s="171" t="str">
        <f t="shared" ca="1" si="6"/>
        <v/>
      </c>
      <c r="D200" s="172">
        <f t="shared" ca="1" si="3"/>
        <v>0</v>
      </c>
      <c r="E200" s="172" t="s">
        <v>281</v>
      </c>
      <c r="F200" s="172"/>
      <c r="G200" s="175"/>
      <c r="H200" s="175"/>
      <c r="I200" s="172">
        <f ca="1">IFERROR(__xludf.DUMMYFUNCTION("""COMPUTED_VALUE"""),0)</f>
        <v>0</v>
      </c>
      <c r="J200" s="172"/>
      <c r="K200" s="172"/>
      <c r="L200" s="172"/>
      <c r="M200" s="172"/>
      <c r="N200" s="172"/>
      <c r="O200" s="172"/>
      <c r="P200" s="172"/>
      <c r="Q200" s="172"/>
      <c r="R200" s="172"/>
      <c r="S200" s="172"/>
      <c r="T200" s="172"/>
      <c r="U200" s="172"/>
      <c r="V200" s="172"/>
      <c r="W200" s="172"/>
      <c r="X200" s="172"/>
      <c r="Y200" s="172"/>
      <c r="Z200" s="172"/>
      <c r="AA200" s="172"/>
    </row>
    <row r="201" spans="1:27" ht="17">
      <c r="A201" s="168"/>
      <c r="B201" s="171" t="str">
        <f t="shared" ca="1" si="4"/>
        <v/>
      </c>
      <c r="C201" s="171" t="str">
        <f t="shared" ca="1" si="6"/>
        <v/>
      </c>
      <c r="D201" s="172">
        <f t="shared" ca="1" si="3"/>
        <v>0</v>
      </c>
      <c r="E201" s="172" t="s">
        <v>281</v>
      </c>
      <c r="F201" s="172"/>
      <c r="G201" s="175"/>
      <c r="H201" s="175"/>
      <c r="I201" s="172">
        <f ca="1">IFERROR(__xludf.DUMMYFUNCTION("""COMPUTED_VALUE"""),0)</f>
        <v>0</v>
      </c>
      <c r="J201" s="172"/>
      <c r="K201" s="172"/>
      <c r="L201" s="172"/>
      <c r="M201" s="172"/>
      <c r="N201" s="172"/>
      <c r="O201" s="172"/>
      <c r="P201" s="172"/>
      <c r="Q201" s="172"/>
      <c r="R201" s="172"/>
      <c r="S201" s="172"/>
      <c r="T201" s="172"/>
      <c r="U201" s="172"/>
      <c r="V201" s="172"/>
      <c r="W201" s="172"/>
      <c r="X201" s="172"/>
      <c r="Y201" s="172"/>
      <c r="Z201" s="172"/>
      <c r="AA201" s="172"/>
    </row>
    <row r="202" spans="1:27" ht="17">
      <c r="A202" s="168"/>
      <c r="B202" s="171" t="str">
        <f t="shared" ca="1" si="4"/>
        <v/>
      </c>
      <c r="C202" s="171" t="str">
        <f t="shared" ca="1" si="6"/>
        <v/>
      </c>
      <c r="D202" s="172">
        <f t="shared" ca="1" si="3"/>
        <v>0</v>
      </c>
      <c r="E202" s="172" t="s">
        <v>281</v>
      </c>
      <c r="F202" s="172"/>
      <c r="G202" s="175"/>
      <c r="H202" s="175"/>
      <c r="I202" s="172">
        <f ca="1">IFERROR(__xludf.DUMMYFUNCTION("""COMPUTED_VALUE"""),0)</f>
        <v>0</v>
      </c>
      <c r="J202" s="172"/>
      <c r="K202" s="172"/>
      <c r="L202" s="172"/>
      <c r="M202" s="172"/>
      <c r="N202" s="172"/>
      <c r="O202" s="172"/>
      <c r="P202" s="172"/>
      <c r="Q202" s="172"/>
      <c r="R202" s="172"/>
      <c r="S202" s="172"/>
      <c r="T202" s="172"/>
      <c r="U202" s="172"/>
      <c r="V202" s="172"/>
      <c r="W202" s="172"/>
      <c r="X202" s="172"/>
      <c r="Y202" s="172"/>
      <c r="Z202" s="172"/>
      <c r="AA202" s="172"/>
    </row>
    <row r="203" spans="1:27" ht="17">
      <c r="A203" s="168"/>
      <c r="B203" s="171" t="str">
        <f t="shared" ca="1" si="4"/>
        <v/>
      </c>
      <c r="C203" s="171" t="str">
        <f t="shared" ca="1" si="6"/>
        <v/>
      </c>
      <c r="D203" s="172">
        <f t="shared" ca="1" si="3"/>
        <v>0</v>
      </c>
      <c r="E203" s="172" t="s">
        <v>281</v>
      </c>
      <c r="F203" s="172"/>
      <c r="G203" s="175"/>
      <c r="H203" s="175"/>
      <c r="I203" s="172">
        <f ca="1">IFERROR(__xludf.DUMMYFUNCTION("""COMPUTED_VALUE"""),0)</f>
        <v>0</v>
      </c>
      <c r="J203" s="172"/>
      <c r="K203" s="172"/>
      <c r="L203" s="172"/>
      <c r="M203" s="172"/>
      <c r="N203" s="172"/>
      <c r="O203" s="172"/>
      <c r="P203" s="172"/>
      <c r="Q203" s="172"/>
      <c r="R203" s="172"/>
      <c r="S203" s="172"/>
      <c r="T203" s="172"/>
      <c r="U203" s="172"/>
      <c r="V203" s="172"/>
      <c r="W203" s="172"/>
      <c r="X203" s="172"/>
      <c r="Y203" s="172"/>
      <c r="Z203" s="172"/>
      <c r="AA203" s="172"/>
    </row>
    <row r="204" spans="1:27" ht="17">
      <c r="A204" s="168"/>
      <c r="B204" s="171" t="str">
        <f t="shared" ca="1" si="4"/>
        <v/>
      </c>
      <c r="C204" s="171" t="str">
        <f t="shared" ca="1" si="6"/>
        <v/>
      </c>
      <c r="D204" s="172">
        <f t="shared" ca="1" si="3"/>
        <v>0</v>
      </c>
      <c r="E204" s="172" t="s">
        <v>281</v>
      </c>
      <c r="F204" s="172"/>
      <c r="G204" s="175"/>
      <c r="H204" s="175"/>
      <c r="I204" s="172">
        <f ca="1">IFERROR(__xludf.DUMMYFUNCTION("""COMPUTED_VALUE"""),0)</f>
        <v>0</v>
      </c>
      <c r="J204" s="172"/>
      <c r="K204" s="172"/>
      <c r="L204" s="172"/>
      <c r="M204" s="172"/>
      <c r="N204" s="172"/>
      <c r="O204" s="172"/>
      <c r="P204" s="172"/>
      <c r="Q204" s="172"/>
      <c r="R204" s="172"/>
      <c r="S204" s="172"/>
      <c r="T204" s="172"/>
      <c r="U204" s="172"/>
      <c r="V204" s="172"/>
      <c r="W204" s="172"/>
      <c r="X204" s="172"/>
      <c r="Y204" s="172"/>
      <c r="Z204" s="172"/>
      <c r="AA204" s="172"/>
    </row>
    <row r="205" spans="1:27" ht="17">
      <c r="A205" s="168"/>
      <c r="B205" s="171" t="str">
        <f t="shared" ca="1" si="4"/>
        <v/>
      </c>
      <c r="C205" s="171" t="str">
        <f t="shared" ca="1" si="6"/>
        <v/>
      </c>
      <c r="D205" s="172">
        <f t="shared" ca="1" si="3"/>
        <v>0</v>
      </c>
      <c r="E205" s="172" t="s">
        <v>281</v>
      </c>
      <c r="F205" s="172"/>
      <c r="G205" s="175"/>
      <c r="H205" s="175"/>
      <c r="I205" s="172">
        <f ca="1">IFERROR(__xludf.DUMMYFUNCTION("""COMPUTED_VALUE"""),0)</f>
        <v>0</v>
      </c>
      <c r="J205" s="172"/>
      <c r="K205" s="172"/>
      <c r="L205" s="172"/>
      <c r="M205" s="172"/>
      <c r="N205" s="172"/>
      <c r="O205" s="172"/>
      <c r="P205" s="172"/>
      <c r="Q205" s="172"/>
      <c r="R205" s="172"/>
      <c r="S205" s="172"/>
      <c r="T205" s="172"/>
      <c r="U205" s="172"/>
      <c r="V205" s="172"/>
      <c r="W205" s="172"/>
      <c r="X205" s="172"/>
      <c r="Y205" s="172"/>
      <c r="Z205" s="172"/>
      <c r="AA205" s="172"/>
    </row>
    <row r="206" spans="1:27" ht="17">
      <c r="A206" s="168"/>
      <c r="B206" s="171" t="str">
        <f t="shared" ca="1" si="4"/>
        <v/>
      </c>
      <c r="C206" s="171" t="str">
        <f t="shared" ca="1" si="6"/>
        <v/>
      </c>
      <c r="D206" s="172">
        <f t="shared" ca="1" si="3"/>
        <v>0</v>
      </c>
      <c r="E206" s="172" t="s">
        <v>281</v>
      </c>
      <c r="F206" s="172"/>
      <c r="G206" s="175"/>
      <c r="H206" s="175"/>
      <c r="I206" s="172">
        <f ca="1">IFERROR(__xludf.DUMMYFUNCTION("""COMPUTED_VALUE"""),0)</f>
        <v>0</v>
      </c>
      <c r="J206" s="172"/>
      <c r="K206" s="172"/>
      <c r="L206" s="172"/>
      <c r="M206" s="172"/>
      <c r="N206" s="172"/>
      <c r="O206" s="172"/>
      <c r="P206" s="172"/>
      <c r="Q206" s="172"/>
      <c r="R206" s="172"/>
      <c r="S206" s="172"/>
      <c r="T206" s="172"/>
      <c r="U206" s="172"/>
      <c r="V206" s="172"/>
      <c r="W206" s="172"/>
      <c r="X206" s="172"/>
      <c r="Y206" s="172"/>
      <c r="Z206" s="172"/>
      <c r="AA206" s="172"/>
    </row>
    <row r="207" spans="1:27" ht="17">
      <c r="A207" s="168"/>
      <c r="B207" s="171" t="str">
        <f t="shared" ca="1" si="4"/>
        <v/>
      </c>
      <c r="C207" s="171" t="str">
        <f t="shared" ca="1" si="6"/>
        <v/>
      </c>
      <c r="D207" s="172">
        <f t="shared" ca="1" si="3"/>
        <v>0</v>
      </c>
      <c r="E207" s="172" t="s">
        <v>281</v>
      </c>
      <c r="F207" s="172"/>
      <c r="G207" s="175"/>
      <c r="H207" s="175"/>
      <c r="I207" s="172">
        <f ca="1">IFERROR(__xludf.DUMMYFUNCTION("""COMPUTED_VALUE"""),0)</f>
        <v>0</v>
      </c>
      <c r="J207" s="172"/>
      <c r="K207" s="172"/>
      <c r="L207" s="172"/>
      <c r="M207" s="172"/>
      <c r="N207" s="172"/>
      <c r="O207" s="172"/>
      <c r="P207" s="172"/>
      <c r="Q207" s="172"/>
      <c r="R207" s="172"/>
      <c r="S207" s="172"/>
      <c r="T207" s="172"/>
      <c r="U207" s="172"/>
      <c r="V207" s="172"/>
      <c r="W207" s="172"/>
      <c r="X207" s="172"/>
      <c r="Y207" s="172"/>
      <c r="Z207" s="172"/>
      <c r="AA207" s="172"/>
    </row>
    <row r="208" spans="1:27" ht="17">
      <c r="A208" s="168"/>
      <c r="B208" s="171" t="str">
        <f t="shared" ca="1" si="4"/>
        <v/>
      </c>
      <c r="C208" s="171" t="str">
        <f t="shared" ca="1" si="6"/>
        <v/>
      </c>
      <c r="D208" s="172">
        <f t="shared" ca="1" si="3"/>
        <v>0</v>
      </c>
      <c r="E208" s="172" t="s">
        <v>281</v>
      </c>
      <c r="F208" s="172"/>
      <c r="G208" s="175"/>
      <c r="H208" s="175"/>
      <c r="I208" s="172">
        <f ca="1">IFERROR(__xludf.DUMMYFUNCTION("""COMPUTED_VALUE"""),0)</f>
        <v>0</v>
      </c>
      <c r="J208" s="172"/>
      <c r="K208" s="172"/>
      <c r="L208" s="172"/>
      <c r="M208" s="172"/>
      <c r="N208" s="172"/>
      <c r="O208" s="172"/>
      <c r="P208" s="172"/>
      <c r="Q208" s="172"/>
      <c r="R208" s="172"/>
      <c r="S208" s="172"/>
      <c r="T208" s="172"/>
      <c r="U208" s="172"/>
      <c r="V208" s="172"/>
      <c r="W208" s="172"/>
      <c r="X208" s="172"/>
      <c r="Y208" s="172"/>
      <c r="Z208" s="172"/>
      <c r="AA208" s="172"/>
    </row>
    <row r="209" spans="1:27" ht="17">
      <c r="A209" s="168"/>
      <c r="B209" s="171" t="str">
        <f t="shared" ca="1" si="4"/>
        <v/>
      </c>
      <c r="C209" s="171" t="str">
        <f t="shared" ca="1" si="6"/>
        <v/>
      </c>
      <c r="D209" s="172">
        <f t="shared" ca="1" si="3"/>
        <v>0</v>
      </c>
      <c r="E209" s="172" t="s">
        <v>281</v>
      </c>
      <c r="F209" s="172"/>
      <c r="G209" s="175"/>
      <c r="H209" s="175"/>
      <c r="I209" s="172">
        <f ca="1">IFERROR(__xludf.DUMMYFUNCTION("""COMPUTED_VALUE"""),0)</f>
        <v>0</v>
      </c>
      <c r="J209" s="172"/>
      <c r="K209" s="172"/>
      <c r="L209" s="172"/>
      <c r="M209" s="172"/>
      <c r="N209" s="172"/>
      <c r="O209" s="172"/>
      <c r="P209" s="172"/>
      <c r="Q209" s="172"/>
      <c r="R209" s="172"/>
      <c r="S209" s="172"/>
      <c r="T209" s="172"/>
      <c r="U209" s="172"/>
      <c r="V209" s="172"/>
      <c r="W209" s="172"/>
      <c r="X209" s="172"/>
      <c r="Y209" s="172"/>
      <c r="Z209" s="172"/>
      <c r="AA209" s="172"/>
    </row>
    <row r="210" spans="1:27" ht="17">
      <c r="A210" s="168"/>
      <c r="B210" s="171" t="str">
        <f t="shared" ca="1" si="4"/>
        <v/>
      </c>
      <c r="C210" s="171" t="str">
        <f t="shared" ca="1" si="6"/>
        <v/>
      </c>
      <c r="D210" s="172">
        <f t="shared" ca="1" si="3"/>
        <v>0</v>
      </c>
      <c r="E210" s="172" t="s">
        <v>281</v>
      </c>
      <c r="F210" s="172"/>
      <c r="G210" s="175"/>
      <c r="H210" s="175"/>
      <c r="I210" s="172">
        <f ca="1">IFERROR(__xludf.DUMMYFUNCTION("""COMPUTED_VALUE"""),0)</f>
        <v>0</v>
      </c>
      <c r="J210" s="172"/>
      <c r="K210" s="172"/>
      <c r="L210" s="172"/>
      <c r="M210" s="172"/>
      <c r="N210" s="172"/>
      <c r="O210" s="172"/>
      <c r="P210" s="172"/>
      <c r="Q210" s="172"/>
      <c r="R210" s="172"/>
      <c r="S210" s="172"/>
      <c r="T210" s="172"/>
      <c r="U210" s="172"/>
      <c r="V210" s="172"/>
      <c r="W210" s="172"/>
      <c r="X210" s="172"/>
      <c r="Y210" s="172"/>
      <c r="Z210" s="172"/>
      <c r="AA210" s="172"/>
    </row>
    <row r="211" spans="1:27" ht="17">
      <c r="A211" s="168"/>
      <c r="B211" s="171" t="str">
        <f t="shared" ca="1" si="4"/>
        <v/>
      </c>
      <c r="C211" s="171" t="str">
        <f t="shared" ca="1" si="6"/>
        <v/>
      </c>
      <c r="D211" s="172">
        <f t="shared" ca="1" si="3"/>
        <v>0</v>
      </c>
      <c r="E211" s="172" t="s">
        <v>281</v>
      </c>
      <c r="F211" s="172"/>
      <c r="G211" s="175"/>
      <c r="H211" s="175"/>
      <c r="I211" s="172">
        <f ca="1">IFERROR(__xludf.DUMMYFUNCTION("""COMPUTED_VALUE"""),0)</f>
        <v>0</v>
      </c>
      <c r="J211" s="172"/>
      <c r="K211" s="172"/>
      <c r="L211" s="172"/>
      <c r="M211" s="172"/>
      <c r="N211" s="172"/>
      <c r="O211" s="172"/>
      <c r="P211" s="172"/>
      <c r="Q211" s="172"/>
      <c r="R211" s="172"/>
      <c r="S211" s="172"/>
      <c r="T211" s="172"/>
      <c r="U211" s="172"/>
      <c r="V211" s="172"/>
      <c r="W211" s="172"/>
      <c r="X211" s="172"/>
      <c r="Y211" s="172"/>
      <c r="Z211" s="172"/>
      <c r="AA211" s="172"/>
    </row>
    <row r="212" spans="1:27" ht="17">
      <c r="A212" s="168"/>
      <c r="B212" s="171" t="str">
        <f t="shared" ca="1" si="4"/>
        <v/>
      </c>
      <c r="C212" s="171" t="str">
        <f t="shared" ca="1" si="6"/>
        <v/>
      </c>
      <c r="D212" s="172">
        <f t="shared" ca="1" si="3"/>
        <v>0</v>
      </c>
      <c r="E212" s="172" t="s">
        <v>281</v>
      </c>
      <c r="F212" s="172"/>
      <c r="G212" s="175"/>
      <c r="H212" s="175"/>
      <c r="I212" s="172">
        <f ca="1">IFERROR(__xludf.DUMMYFUNCTION("""COMPUTED_VALUE"""),0)</f>
        <v>0</v>
      </c>
      <c r="J212" s="172"/>
      <c r="K212" s="172"/>
      <c r="L212" s="172"/>
      <c r="M212" s="172"/>
      <c r="N212" s="172"/>
      <c r="O212" s="172"/>
      <c r="P212" s="172"/>
      <c r="Q212" s="172"/>
      <c r="R212" s="172"/>
      <c r="S212" s="172"/>
      <c r="T212" s="172"/>
      <c r="U212" s="172"/>
      <c r="V212" s="172"/>
      <c r="W212" s="172"/>
      <c r="X212" s="172"/>
      <c r="Y212" s="172"/>
      <c r="Z212" s="172"/>
      <c r="AA212" s="172"/>
    </row>
    <row r="213" spans="1:27" ht="17">
      <c r="A213" s="168"/>
      <c r="B213" s="171" t="str">
        <f t="shared" ca="1" si="4"/>
        <v/>
      </c>
      <c r="C213" s="171" t="str">
        <f t="shared" ca="1" si="6"/>
        <v/>
      </c>
      <c r="D213" s="172">
        <f t="shared" ca="1" si="3"/>
        <v>0</v>
      </c>
      <c r="E213" s="172" t="s">
        <v>281</v>
      </c>
      <c r="F213" s="172"/>
      <c r="G213" s="175"/>
      <c r="H213" s="175"/>
      <c r="I213" s="172">
        <f ca="1">IFERROR(__xludf.DUMMYFUNCTION("""COMPUTED_VALUE"""),0)</f>
        <v>0</v>
      </c>
      <c r="J213" s="172"/>
      <c r="K213" s="172"/>
      <c r="L213" s="172"/>
      <c r="M213" s="172"/>
      <c r="N213" s="172"/>
      <c r="O213" s="172"/>
      <c r="P213" s="172"/>
      <c r="Q213" s="172"/>
      <c r="R213" s="172"/>
      <c r="S213" s="172"/>
      <c r="T213" s="172"/>
      <c r="U213" s="172"/>
      <c r="V213" s="172"/>
      <c r="W213" s="172"/>
      <c r="X213" s="172"/>
      <c r="Y213" s="172"/>
      <c r="Z213" s="172"/>
      <c r="AA213" s="172"/>
    </row>
    <row r="214" spans="1:27" ht="17">
      <c r="A214" s="168"/>
      <c r="B214" s="171" t="str">
        <f t="shared" ca="1" si="4"/>
        <v/>
      </c>
      <c r="C214" s="171" t="str">
        <f t="shared" ca="1" si="6"/>
        <v/>
      </c>
      <c r="D214" s="172">
        <f t="shared" ca="1" si="3"/>
        <v>0</v>
      </c>
      <c r="E214" s="172" t="s">
        <v>281</v>
      </c>
      <c r="F214" s="172"/>
      <c r="G214" s="175"/>
      <c r="H214" s="175"/>
      <c r="I214" s="172">
        <f ca="1">IFERROR(__xludf.DUMMYFUNCTION("""COMPUTED_VALUE"""),0)</f>
        <v>0</v>
      </c>
      <c r="J214" s="172"/>
      <c r="K214" s="172"/>
      <c r="L214" s="172"/>
      <c r="M214" s="172"/>
      <c r="N214" s="172"/>
      <c r="O214" s="172"/>
      <c r="P214" s="172"/>
      <c r="Q214" s="172"/>
      <c r="R214" s="172"/>
      <c r="S214" s="172"/>
      <c r="T214" s="172"/>
      <c r="U214" s="172"/>
      <c r="V214" s="172"/>
      <c r="W214" s="172"/>
      <c r="X214" s="172"/>
      <c r="Y214" s="172"/>
      <c r="Z214" s="172"/>
      <c r="AA214" s="172"/>
    </row>
    <row r="215" spans="1:27" ht="17">
      <c r="A215" s="168"/>
      <c r="B215" s="171" t="str">
        <f t="shared" ca="1" si="4"/>
        <v/>
      </c>
      <c r="C215" s="171" t="str">
        <f t="shared" ca="1" si="6"/>
        <v/>
      </c>
      <c r="D215" s="172">
        <f t="shared" ca="1" si="3"/>
        <v>0</v>
      </c>
      <c r="E215" s="172" t="s">
        <v>281</v>
      </c>
      <c r="F215" s="172"/>
      <c r="G215" s="175"/>
      <c r="H215" s="175"/>
      <c r="I215" s="172">
        <f ca="1">IFERROR(__xludf.DUMMYFUNCTION("""COMPUTED_VALUE"""),0)</f>
        <v>0</v>
      </c>
      <c r="J215" s="172"/>
      <c r="K215" s="172"/>
      <c r="L215" s="172"/>
      <c r="M215" s="172"/>
      <c r="N215" s="172"/>
      <c r="O215" s="172"/>
      <c r="P215" s="172"/>
      <c r="Q215" s="172"/>
      <c r="R215" s="172"/>
      <c r="S215" s="172"/>
      <c r="T215" s="172"/>
      <c r="U215" s="172"/>
      <c r="V215" s="172"/>
      <c r="W215" s="172"/>
      <c r="X215" s="172"/>
      <c r="Y215" s="172"/>
      <c r="Z215" s="172"/>
      <c r="AA215" s="172"/>
    </row>
    <row r="216" spans="1:27" ht="17">
      <c r="A216" s="168"/>
      <c r="B216" s="171" t="str">
        <f t="shared" ca="1" si="4"/>
        <v/>
      </c>
      <c r="C216" s="171" t="str">
        <f t="shared" ca="1" si="6"/>
        <v/>
      </c>
      <c r="D216" s="172">
        <f t="shared" ca="1" si="3"/>
        <v>0</v>
      </c>
      <c r="E216" s="172" t="s">
        <v>281</v>
      </c>
      <c r="F216" s="172"/>
      <c r="G216" s="175"/>
      <c r="H216" s="175"/>
      <c r="I216" s="172">
        <f ca="1">IFERROR(__xludf.DUMMYFUNCTION("""COMPUTED_VALUE"""),0)</f>
        <v>0</v>
      </c>
      <c r="J216" s="172"/>
      <c r="K216" s="172"/>
      <c r="L216" s="172"/>
      <c r="M216" s="172"/>
      <c r="N216" s="172"/>
      <c r="O216" s="172"/>
      <c r="P216" s="172"/>
      <c r="Q216" s="172"/>
      <c r="R216" s="172"/>
      <c r="S216" s="172"/>
      <c r="T216" s="172"/>
      <c r="U216" s="172"/>
      <c r="V216" s="172"/>
      <c r="W216" s="172"/>
      <c r="X216" s="172"/>
      <c r="Y216" s="172"/>
      <c r="Z216" s="172"/>
      <c r="AA216" s="172"/>
    </row>
    <row r="217" spans="1:27" ht="17">
      <c r="A217" s="168"/>
      <c r="B217" s="171" t="str">
        <f t="shared" ca="1" si="4"/>
        <v/>
      </c>
      <c r="C217" s="171" t="str">
        <f t="shared" ca="1" si="6"/>
        <v/>
      </c>
      <c r="D217" s="172">
        <f t="shared" ca="1" si="3"/>
        <v>0</v>
      </c>
      <c r="E217" s="172" t="s">
        <v>281</v>
      </c>
      <c r="F217" s="172"/>
      <c r="G217" s="175"/>
      <c r="H217" s="175"/>
      <c r="I217" s="172">
        <f ca="1">IFERROR(__xludf.DUMMYFUNCTION("""COMPUTED_VALUE"""),0)</f>
        <v>0</v>
      </c>
      <c r="J217" s="172"/>
      <c r="K217" s="172"/>
      <c r="L217" s="172"/>
      <c r="M217" s="172"/>
      <c r="N217" s="172"/>
      <c r="O217" s="172"/>
      <c r="P217" s="172"/>
      <c r="Q217" s="172"/>
      <c r="R217" s="172"/>
      <c r="S217" s="172"/>
      <c r="T217" s="172"/>
      <c r="U217" s="172"/>
      <c r="V217" s="172"/>
      <c r="W217" s="172"/>
      <c r="X217" s="172"/>
      <c r="Y217" s="172"/>
      <c r="Z217" s="172"/>
      <c r="AA217" s="172"/>
    </row>
    <row r="218" spans="1:27" ht="17">
      <c r="A218" s="168"/>
      <c r="B218" s="171" t="str">
        <f t="shared" ca="1" si="4"/>
        <v/>
      </c>
      <c r="C218" s="171" t="str">
        <f t="shared" ca="1" si="6"/>
        <v/>
      </c>
      <c r="D218" s="172">
        <f t="shared" ca="1" si="3"/>
        <v>0</v>
      </c>
      <c r="E218" s="172" t="s">
        <v>281</v>
      </c>
      <c r="F218" s="172"/>
      <c r="G218" s="175"/>
      <c r="H218" s="175"/>
      <c r="I218" s="172">
        <f ca="1">IFERROR(__xludf.DUMMYFUNCTION("""COMPUTED_VALUE"""),0)</f>
        <v>0</v>
      </c>
      <c r="J218" s="172"/>
      <c r="K218" s="172"/>
      <c r="L218" s="172"/>
      <c r="M218" s="172"/>
      <c r="N218" s="172"/>
      <c r="O218" s="172"/>
      <c r="P218" s="172"/>
      <c r="Q218" s="172"/>
      <c r="R218" s="172"/>
      <c r="S218" s="172"/>
      <c r="T218" s="172"/>
      <c r="U218" s="172"/>
      <c r="V218" s="172"/>
      <c r="W218" s="172"/>
      <c r="X218" s="172"/>
      <c r="Y218" s="172"/>
      <c r="Z218" s="172"/>
      <c r="AA218" s="172"/>
    </row>
    <row r="219" spans="1:27" ht="17">
      <c r="A219" s="168"/>
      <c r="B219" s="171" t="str">
        <f t="shared" ca="1" si="4"/>
        <v/>
      </c>
      <c r="C219" s="171" t="str">
        <f t="shared" ca="1" si="6"/>
        <v/>
      </c>
      <c r="D219" s="172">
        <f t="shared" ca="1" si="3"/>
        <v>0</v>
      </c>
      <c r="E219" s="172" t="s">
        <v>281</v>
      </c>
      <c r="G219" s="175"/>
      <c r="H219" s="175"/>
      <c r="I219" s="168">
        <f ca="1">IFERROR(__xludf.DUMMYFUNCTION("""COMPUTED_VALUE"""),0)</f>
        <v>0</v>
      </c>
      <c r="J219" s="168"/>
    </row>
    <row r="220" spans="1:27" ht="17">
      <c r="A220" s="168"/>
      <c r="B220" s="171" t="str">
        <f t="shared" ca="1" si="4"/>
        <v/>
      </c>
      <c r="C220" s="171" t="str">
        <f t="shared" ca="1" si="6"/>
        <v/>
      </c>
      <c r="D220" s="172">
        <f t="shared" ca="1" si="3"/>
        <v>0</v>
      </c>
      <c r="G220" s="175"/>
      <c r="H220" s="175"/>
      <c r="I220" s="168">
        <f ca="1">IFERROR(__xludf.DUMMYFUNCTION("""COMPUTED_VALUE"""),0)</f>
        <v>0</v>
      </c>
      <c r="J220" s="168"/>
    </row>
    <row r="221" spans="1:27" ht="17">
      <c r="A221" s="168"/>
      <c r="B221" s="171" t="str">
        <f t="shared" ca="1" si="4"/>
        <v/>
      </c>
      <c r="C221" s="171" t="str">
        <f t="shared" ca="1" si="6"/>
        <v/>
      </c>
      <c r="D221" s="172">
        <f t="shared" ca="1" si="3"/>
        <v>0</v>
      </c>
      <c r="G221" s="175"/>
      <c r="H221" s="175"/>
      <c r="I221" s="168">
        <f ca="1">IFERROR(__xludf.DUMMYFUNCTION("""COMPUTED_VALUE"""),0)</f>
        <v>0</v>
      </c>
      <c r="J221" s="168"/>
    </row>
    <row r="222" spans="1:27" ht="17">
      <c r="A222" s="168"/>
      <c r="B222" s="171" t="str">
        <f t="shared" ca="1" si="4"/>
        <v/>
      </c>
      <c r="C222" s="171" t="str">
        <f t="shared" ca="1" si="6"/>
        <v/>
      </c>
      <c r="D222" s="172">
        <f t="shared" ca="1" si="3"/>
        <v>0</v>
      </c>
      <c r="G222" s="175"/>
      <c r="H222" s="175"/>
      <c r="I222" s="168">
        <f ca="1">IFERROR(__xludf.DUMMYFUNCTION("""COMPUTED_VALUE"""),0)</f>
        <v>0</v>
      </c>
      <c r="J222" s="168"/>
    </row>
    <row r="223" spans="1:27" ht="17">
      <c r="A223" s="168"/>
      <c r="B223" s="171" t="str">
        <f t="shared" ca="1" si="4"/>
        <v/>
      </c>
      <c r="C223" s="171" t="str">
        <f t="shared" ca="1" si="6"/>
        <v/>
      </c>
      <c r="D223" s="172">
        <f t="shared" ca="1" si="3"/>
        <v>0</v>
      </c>
      <c r="G223" s="175"/>
      <c r="H223" s="175"/>
      <c r="I223" s="168">
        <f ca="1">IFERROR(__xludf.DUMMYFUNCTION("""COMPUTED_VALUE"""),0)</f>
        <v>0</v>
      </c>
      <c r="J223" s="168"/>
    </row>
    <row r="224" spans="1:27" ht="17">
      <c r="A224" s="168"/>
      <c r="B224" s="171" t="str">
        <f t="shared" ca="1" si="4"/>
        <v/>
      </c>
      <c r="C224" s="171" t="str">
        <f t="shared" ca="1" si="6"/>
        <v/>
      </c>
      <c r="D224" s="172">
        <f t="shared" ca="1" si="3"/>
        <v>0</v>
      </c>
      <c r="G224" s="175"/>
      <c r="H224" s="175"/>
      <c r="I224" s="168">
        <f ca="1">IFERROR(__xludf.DUMMYFUNCTION("""COMPUTED_VALUE"""),0)</f>
        <v>0</v>
      </c>
      <c r="J224" s="168"/>
    </row>
    <row r="225" spans="1:10" ht="17">
      <c r="A225" s="168"/>
      <c r="B225" s="171" t="str">
        <f t="shared" ca="1" si="4"/>
        <v/>
      </c>
      <c r="C225" s="171" t="str">
        <f t="shared" ca="1" si="6"/>
        <v/>
      </c>
      <c r="D225" s="172">
        <f t="shared" ca="1" si="3"/>
        <v>0</v>
      </c>
      <c r="G225" s="175"/>
      <c r="H225" s="175"/>
      <c r="I225" s="168">
        <f ca="1">IFERROR(__xludf.DUMMYFUNCTION("""COMPUTED_VALUE"""),0)</f>
        <v>0</v>
      </c>
      <c r="J225" s="168"/>
    </row>
    <row r="226" spans="1:10" ht="17">
      <c r="A226" s="168"/>
      <c r="B226" s="171" t="str">
        <f t="shared" ca="1" si="4"/>
        <v/>
      </c>
      <c r="C226" s="171" t="str">
        <f t="shared" ca="1" si="6"/>
        <v/>
      </c>
      <c r="D226" s="172">
        <f t="shared" ca="1" si="3"/>
        <v>0</v>
      </c>
      <c r="G226" s="175"/>
      <c r="H226" s="175"/>
      <c r="I226" s="168">
        <f ca="1">IFERROR(__xludf.DUMMYFUNCTION("""COMPUTED_VALUE"""),0)</f>
        <v>0</v>
      </c>
      <c r="J226" s="168"/>
    </row>
    <row r="227" spans="1:10" ht="54">
      <c r="A227" s="168"/>
      <c r="B227" s="171" t="str">
        <f t="shared" ca="1" si="4"/>
        <v/>
      </c>
      <c r="C227" s="171" t="str">
        <f t="shared" ca="1" si="6"/>
        <v/>
      </c>
      <c r="D227" s="172">
        <f t="shared" ca="1" si="3"/>
        <v>0</v>
      </c>
      <c r="G227" s="175" t="str">
        <f ca="1">IFERROR(__xludf.DUMMYFUNCTION("""COMPUTED_VALUE"""),"ECEA 5305 - Linux System Programming and Introduction to Buildroot")</f>
        <v>ECEA 5305 - Linux System Programming and Introduction to Buildroot</v>
      </c>
      <c r="H227" s="175"/>
      <c r="I227" s="168">
        <f ca="1">IFERROR(__xludf.DUMMYFUNCTION("""COMPUTED_VALUE"""),0)</f>
        <v>0</v>
      </c>
      <c r="J227" s="168">
        <f ca="1">IFERROR(__xludf.DUMMYFUNCTION("""COMPUTED_VALUE"""),3)</f>
        <v>3</v>
      </c>
    </row>
    <row r="228" spans="1:10" ht="36">
      <c r="A228" s="168"/>
      <c r="B228" s="171" t="str">
        <f t="shared" ca="1" si="4"/>
        <v/>
      </c>
      <c r="C228" s="171" t="str">
        <f t="shared" ca="1" si="6"/>
        <v/>
      </c>
      <c r="D228" s="172">
        <f t="shared" ca="1" si="3"/>
        <v>0</v>
      </c>
      <c r="G228" s="175" t="str">
        <f ca="1">IFERROR(__xludf.DUMMYFUNCTION("""COMPUTED_VALUE"""),"ECEA 5700 - Power Electronics: Introduction to Power Electronics")</f>
        <v>ECEA 5700 - Power Electronics: Introduction to Power Electronics</v>
      </c>
      <c r="H228" s="175"/>
      <c r="I228" s="168">
        <f ca="1">IFERROR(__xludf.DUMMYFUNCTION("""COMPUTED_VALUE"""),0)</f>
        <v>0</v>
      </c>
      <c r="J228" s="168">
        <f ca="1">IFERROR(__xludf.DUMMYFUNCTION("""COMPUTED_VALUE"""),30)</f>
        <v>30</v>
      </c>
    </row>
    <row r="229" spans="1:10" ht="36">
      <c r="A229" s="168"/>
      <c r="B229" s="171" t="str">
        <f t="shared" ca="1" si="4"/>
        <v/>
      </c>
      <c r="C229" s="171" t="str">
        <f t="shared" ca="1" si="6"/>
        <v/>
      </c>
      <c r="D229" s="172">
        <f t="shared" ca="1" si="3"/>
        <v>0</v>
      </c>
      <c r="G229" s="175" t="str">
        <f ca="1">IFERROR(__xludf.DUMMYFUNCTION("""COMPUTED_VALUE"""),"ECEA 5600 - Optical Engineering: First Order Optical System Design")</f>
        <v>ECEA 5600 - Optical Engineering: First Order Optical System Design</v>
      </c>
      <c r="H229" s="175"/>
      <c r="I229" s="168">
        <f ca="1">IFERROR(__xludf.DUMMYFUNCTION("""COMPUTED_VALUE"""),0)</f>
        <v>0</v>
      </c>
      <c r="J229" s="168">
        <f ca="1">IFERROR(__xludf.DUMMYFUNCTION("""COMPUTED_VALUE"""),52)</f>
        <v>52</v>
      </c>
    </row>
    <row r="230" spans="1:10" ht="17">
      <c r="A230" s="168"/>
      <c r="B230" s="171" t="str">
        <f t="shared" ca="1" si="4"/>
        <v/>
      </c>
      <c r="C230" s="171" t="str">
        <f t="shared" ca="1" si="6"/>
        <v/>
      </c>
      <c r="G230" s="175"/>
      <c r="H230" s="175"/>
      <c r="I230" s="168"/>
      <c r="J230" s="168"/>
    </row>
    <row r="231" spans="1:10" ht="17">
      <c r="A231" s="168"/>
      <c r="B231" s="171" t="str">
        <f t="shared" ca="1" si="4"/>
        <v/>
      </c>
      <c r="C231" s="171" t="str">
        <f t="shared" ca="1" si="6"/>
        <v/>
      </c>
      <c r="G231" s="175"/>
      <c r="H231" s="175"/>
      <c r="I231" s="168"/>
      <c r="J231" s="168"/>
    </row>
    <row r="232" spans="1:10" ht="17">
      <c r="A232" s="168"/>
      <c r="B232" s="171" t="str">
        <f t="shared" ca="1" si="4"/>
        <v/>
      </c>
      <c r="C232" s="171" t="str">
        <f t="shared" ca="1" si="6"/>
        <v/>
      </c>
      <c r="G232" s="175"/>
      <c r="H232" s="175"/>
      <c r="I232" s="168"/>
      <c r="J232" s="168"/>
    </row>
    <row r="233" spans="1:10" ht="17">
      <c r="A233" s="168"/>
      <c r="B233" s="171" t="str">
        <f t="shared" ca="1" si="4"/>
        <v/>
      </c>
      <c r="C233" s="171" t="str">
        <f t="shared" ca="1" si="6"/>
        <v/>
      </c>
      <c r="G233" s="175"/>
      <c r="H233" s="175"/>
      <c r="I233" s="168"/>
      <c r="J233" s="168"/>
    </row>
    <row r="234" spans="1:10" ht="17">
      <c r="A234" s="168"/>
      <c r="B234" s="171" t="str">
        <f t="shared" ca="1" si="4"/>
        <v/>
      </c>
      <c r="C234" s="171" t="str">
        <f t="shared" ca="1" si="6"/>
        <v/>
      </c>
      <c r="G234" s="175"/>
      <c r="H234" s="175"/>
      <c r="I234" s="168"/>
      <c r="J234" s="168"/>
    </row>
    <row r="235" spans="1:10" ht="17">
      <c r="A235" s="168"/>
      <c r="B235" s="171" t="str">
        <f t="shared" ca="1" si="4"/>
        <v/>
      </c>
      <c r="C235" s="171" t="str">
        <f t="shared" ca="1" si="6"/>
        <v/>
      </c>
      <c r="G235" s="175"/>
      <c r="H235" s="175"/>
      <c r="I235" s="168"/>
      <c r="J235" s="168"/>
    </row>
    <row r="236" spans="1:10" ht="17">
      <c r="A236" s="168"/>
      <c r="B236" s="171" t="str">
        <f t="shared" ca="1" si="4"/>
        <v/>
      </c>
      <c r="C236" s="171" t="str">
        <f t="shared" ca="1" si="6"/>
        <v/>
      </c>
      <c r="G236" s="175"/>
      <c r="H236" s="175"/>
      <c r="I236" s="168"/>
      <c r="J236" s="168"/>
    </row>
    <row r="237" spans="1:10" ht="17">
      <c r="A237" s="168"/>
      <c r="B237" s="171" t="str">
        <f t="shared" ca="1" si="4"/>
        <v/>
      </c>
      <c r="C237" s="171" t="str">
        <f t="shared" ca="1" si="6"/>
        <v/>
      </c>
      <c r="G237" s="175"/>
      <c r="H237" s="175"/>
      <c r="I237" s="168"/>
      <c r="J237" s="168"/>
    </row>
    <row r="238" spans="1:10" ht="17">
      <c r="A238" s="168"/>
      <c r="B238" s="171" t="str">
        <f t="shared" ca="1" si="4"/>
        <v/>
      </c>
      <c r="C238" s="171" t="str">
        <f t="shared" ca="1" si="6"/>
        <v/>
      </c>
      <c r="G238" s="175"/>
      <c r="H238" s="175"/>
      <c r="I238" s="168"/>
      <c r="J238" s="168"/>
    </row>
    <row r="239" spans="1:10" ht="17">
      <c r="A239" s="168"/>
      <c r="B239" s="171" t="str">
        <f t="shared" ca="1" si="4"/>
        <v/>
      </c>
      <c r="C239" s="171" t="str">
        <f t="shared" ca="1" si="6"/>
        <v/>
      </c>
      <c r="G239" s="175"/>
      <c r="H239" s="175"/>
      <c r="I239" s="168"/>
      <c r="J239" s="168"/>
    </row>
    <row r="240" spans="1:10" ht="17">
      <c r="A240" s="168"/>
      <c r="B240" s="171" t="str">
        <f t="shared" ca="1" si="4"/>
        <v/>
      </c>
      <c r="C240" s="171" t="str">
        <f t="shared" ca="1" si="6"/>
        <v/>
      </c>
      <c r="G240" s="175"/>
      <c r="H240" s="175"/>
      <c r="I240" s="168"/>
      <c r="J240" s="168"/>
    </row>
    <row r="241" spans="1:10" ht="17">
      <c r="A241" s="168"/>
      <c r="B241" s="171" t="str">
        <f t="shared" ca="1" si="4"/>
        <v/>
      </c>
      <c r="C241" s="171" t="str">
        <f t="shared" ca="1" si="6"/>
        <v/>
      </c>
      <c r="G241" s="175"/>
      <c r="H241" s="175"/>
      <c r="I241" s="168"/>
      <c r="J241" s="168"/>
    </row>
    <row r="242" spans="1:10" ht="17">
      <c r="A242" s="168"/>
      <c r="B242" s="171" t="str">
        <f t="shared" ca="1" si="4"/>
        <v/>
      </c>
      <c r="C242" s="171" t="str">
        <f t="shared" ca="1" si="6"/>
        <v/>
      </c>
      <c r="G242" s="175"/>
      <c r="H242" s="175"/>
      <c r="I242" s="168"/>
      <c r="J242" s="168"/>
    </row>
    <row r="243" spans="1:10" ht="17">
      <c r="A243" s="168"/>
      <c r="B243" s="171" t="str">
        <f t="shared" ca="1" si="4"/>
        <v/>
      </c>
      <c r="C243" s="171" t="str">
        <f t="shared" ca="1" si="6"/>
        <v/>
      </c>
      <c r="G243" s="175"/>
      <c r="H243" s="175"/>
      <c r="I243" s="168"/>
      <c r="J243" s="168"/>
    </row>
    <row r="244" spans="1:10" ht="17">
      <c r="A244" s="168"/>
      <c r="B244" s="171" t="str">
        <f t="shared" ca="1" si="4"/>
        <v/>
      </c>
      <c r="C244" s="171" t="str">
        <f t="shared" ca="1" si="6"/>
        <v/>
      </c>
      <c r="G244" s="175"/>
      <c r="H244" s="175"/>
      <c r="I244" s="168"/>
      <c r="J244" s="168"/>
    </row>
    <row r="245" spans="1:10" ht="17">
      <c r="A245" s="168"/>
      <c r="B245" s="171" t="str">
        <f t="shared" ca="1" si="4"/>
        <v/>
      </c>
      <c r="C245" s="171" t="str">
        <f t="shared" ca="1" si="6"/>
        <v/>
      </c>
      <c r="G245" s="175"/>
      <c r="H245" s="175"/>
      <c r="I245" s="168"/>
      <c r="J245" s="168"/>
    </row>
    <row r="246" spans="1:10" ht="17">
      <c r="A246" s="168"/>
      <c r="B246" s="171" t="str">
        <f t="shared" ca="1" si="4"/>
        <v/>
      </c>
      <c r="C246" s="171" t="str">
        <f t="shared" ca="1" si="6"/>
        <v/>
      </c>
      <c r="G246" s="175"/>
      <c r="H246" s="175"/>
      <c r="I246" s="168"/>
      <c r="J246" s="168"/>
    </row>
    <row r="247" spans="1:10" ht="17">
      <c r="A247" s="168"/>
      <c r="B247" s="171" t="str">
        <f t="shared" ca="1" si="4"/>
        <v/>
      </c>
      <c r="C247" s="171" t="str">
        <f t="shared" ca="1" si="6"/>
        <v/>
      </c>
      <c r="G247" s="175"/>
      <c r="H247" s="175"/>
      <c r="I247" s="168"/>
      <c r="J247" s="168"/>
    </row>
    <row r="248" spans="1:10" ht="17">
      <c r="A248" s="168"/>
      <c r="B248" s="171" t="str">
        <f t="shared" ca="1" si="4"/>
        <v/>
      </c>
      <c r="C248" s="171" t="str">
        <f t="shared" ca="1" si="6"/>
        <v/>
      </c>
      <c r="G248" s="175"/>
      <c r="H248" s="175"/>
      <c r="I248" s="168"/>
      <c r="J248" s="168"/>
    </row>
    <row r="249" spans="1:10" ht="17">
      <c r="A249" s="168"/>
      <c r="B249" s="171" t="str">
        <f t="shared" ca="1" si="4"/>
        <v/>
      </c>
      <c r="C249" s="171" t="str">
        <f t="shared" ca="1" si="6"/>
        <v/>
      </c>
      <c r="G249" s="175"/>
      <c r="H249" s="175"/>
      <c r="I249" s="168"/>
      <c r="J249" s="168"/>
    </row>
    <row r="250" spans="1:10" ht="17">
      <c r="A250" s="168"/>
      <c r="B250" s="171" t="str">
        <f t="shared" ca="1" si="4"/>
        <v/>
      </c>
      <c r="C250" s="171" t="str">
        <f t="shared" ca="1" si="6"/>
        <v/>
      </c>
      <c r="G250" s="175"/>
      <c r="H250" s="175"/>
      <c r="I250" s="168"/>
      <c r="J250" s="168"/>
    </row>
    <row r="251" spans="1:10" ht="17">
      <c r="A251" s="168"/>
      <c r="B251" s="171" t="str">
        <f t="shared" ca="1" si="4"/>
        <v/>
      </c>
      <c r="C251" s="171" t="str">
        <f t="shared" ca="1" si="6"/>
        <v/>
      </c>
      <c r="G251" s="175"/>
      <c r="H251" s="175"/>
      <c r="I251" s="168"/>
      <c r="J251" s="168"/>
    </row>
    <row r="252" spans="1:10" ht="17">
      <c r="A252" s="168"/>
      <c r="B252" s="171" t="str">
        <f t="shared" ca="1" si="4"/>
        <v/>
      </c>
      <c r="C252" s="171" t="str">
        <f t="shared" ca="1" si="6"/>
        <v/>
      </c>
      <c r="G252" s="175"/>
      <c r="H252" s="175"/>
      <c r="I252" s="168"/>
      <c r="J252" s="168"/>
    </row>
    <row r="253" spans="1:10" ht="17">
      <c r="A253" s="168"/>
      <c r="B253" s="171" t="str">
        <f t="shared" ca="1" si="4"/>
        <v/>
      </c>
      <c r="C253" s="171" t="str">
        <f t="shared" ca="1" si="6"/>
        <v/>
      </c>
      <c r="G253" s="175"/>
      <c r="H253" s="175"/>
      <c r="I253" s="168"/>
      <c r="J253" s="168"/>
    </row>
    <row r="254" spans="1:10" ht="17">
      <c r="A254" s="168"/>
      <c r="B254" s="171" t="str">
        <f t="shared" ca="1" si="4"/>
        <v/>
      </c>
      <c r="C254" s="171" t="str">
        <f t="shared" ca="1" si="6"/>
        <v/>
      </c>
      <c r="G254" s="175"/>
      <c r="H254" s="175"/>
      <c r="I254" s="168"/>
      <c r="J254" s="168"/>
    </row>
    <row r="255" spans="1:10" ht="17">
      <c r="A255" s="168"/>
      <c r="B255" s="171" t="str">
        <f t="shared" ca="1" si="4"/>
        <v/>
      </c>
      <c r="C255" s="171" t="str">
        <f t="shared" ca="1" si="6"/>
        <v/>
      </c>
      <c r="G255" s="175"/>
      <c r="H255" s="175"/>
      <c r="I255" s="168"/>
      <c r="J255" s="168"/>
    </row>
    <row r="256" spans="1:10" ht="17">
      <c r="A256" s="168"/>
      <c r="B256" s="171" t="str">
        <f t="shared" ca="1" si="4"/>
        <v/>
      </c>
      <c r="C256" s="171" t="str">
        <f t="shared" ca="1" si="6"/>
        <v/>
      </c>
      <c r="G256" s="175"/>
      <c r="H256" s="175"/>
      <c r="I256" s="168"/>
      <c r="J256" s="168"/>
    </row>
    <row r="257" spans="1:10" ht="17">
      <c r="A257" s="168"/>
      <c r="B257" s="171" t="str">
        <f t="shared" ca="1" si="4"/>
        <v/>
      </c>
      <c r="C257" s="171" t="str">
        <f t="shared" ca="1" si="6"/>
        <v/>
      </c>
      <c r="G257" s="175"/>
      <c r="H257" s="175"/>
      <c r="I257" s="168"/>
      <c r="J257" s="168"/>
    </row>
    <row r="258" spans="1:10" ht="17">
      <c r="A258" s="168"/>
      <c r="B258" s="171" t="str">
        <f t="shared" ca="1" si="4"/>
        <v/>
      </c>
      <c r="C258" s="171" t="str">
        <f t="shared" ca="1" si="6"/>
        <v/>
      </c>
      <c r="G258" s="175"/>
      <c r="H258" s="175"/>
      <c r="I258" s="168"/>
      <c r="J258" s="168"/>
    </row>
    <row r="259" spans="1:10" ht="17">
      <c r="A259" s="168"/>
      <c r="B259" s="171" t="str">
        <f t="shared" ca="1" si="4"/>
        <v/>
      </c>
      <c r="C259" s="171" t="str">
        <f t="shared" ca="1" si="6"/>
        <v/>
      </c>
      <c r="G259" s="175"/>
      <c r="H259" s="175"/>
      <c r="I259" s="168"/>
      <c r="J259" s="168"/>
    </row>
    <row r="260" spans="1:10" ht="17">
      <c r="A260" s="168"/>
      <c r="B260" s="171" t="str">
        <f t="shared" ca="1" si="4"/>
        <v/>
      </c>
      <c r="C260" s="171" t="str">
        <f t="shared" ca="1" si="6"/>
        <v/>
      </c>
      <c r="G260" s="175"/>
      <c r="H260" s="175"/>
      <c r="I260" s="168"/>
      <c r="J260" s="168"/>
    </row>
    <row r="261" spans="1:10" ht="17">
      <c r="A261" s="168"/>
      <c r="B261" s="171" t="str">
        <f t="shared" ca="1" si="4"/>
        <v/>
      </c>
      <c r="C261" s="171" t="str">
        <f t="shared" ca="1" si="6"/>
        <v/>
      </c>
      <c r="G261" s="175"/>
      <c r="H261" s="175"/>
      <c r="I261" s="168"/>
      <c r="J261" s="168"/>
    </row>
    <row r="262" spans="1:10" ht="17">
      <c r="A262" s="168"/>
      <c r="B262" s="171" t="str">
        <f t="shared" ca="1" si="4"/>
        <v/>
      </c>
      <c r="C262" s="171" t="str">
        <f t="shared" ca="1" si="6"/>
        <v/>
      </c>
      <c r="G262" s="175"/>
      <c r="H262" s="175"/>
      <c r="I262" s="168"/>
      <c r="J262" s="168"/>
    </row>
    <row r="263" spans="1:10" ht="17">
      <c r="A263" s="168"/>
      <c r="B263" s="171" t="str">
        <f t="shared" ca="1" si="4"/>
        <v/>
      </c>
      <c r="C263" s="171" t="str">
        <f t="shared" ca="1" si="6"/>
        <v/>
      </c>
      <c r="G263" s="175"/>
      <c r="H263" s="175"/>
      <c r="I263" s="168"/>
      <c r="J263" s="168"/>
    </row>
    <row r="264" spans="1:10" ht="17">
      <c r="A264" s="168"/>
      <c r="B264" s="171" t="str">
        <f t="shared" ca="1" si="4"/>
        <v/>
      </c>
      <c r="C264" s="171">
        <f t="shared" ref="C264:C281" ca="1" si="7">INDIRECT("'Outside Review Form Responses'!J" &amp; ROW())</f>
        <v>0</v>
      </c>
      <c r="G264" s="175"/>
      <c r="H264" s="175"/>
      <c r="I264" s="168"/>
      <c r="J264" s="168"/>
    </row>
    <row r="265" spans="1:10" ht="17">
      <c r="A265" s="168"/>
      <c r="B265" s="171" t="str">
        <f t="shared" ca="1" si="4"/>
        <v/>
      </c>
      <c r="C265" s="171">
        <f t="shared" ca="1" si="7"/>
        <v>0</v>
      </c>
      <c r="G265" s="175"/>
      <c r="H265" s="175"/>
      <c r="I265" s="168"/>
      <c r="J265" s="168"/>
    </row>
    <row r="266" spans="1:10" ht="17">
      <c r="A266" s="168"/>
      <c r="B266" s="171" t="str">
        <f t="shared" ca="1" si="4"/>
        <v/>
      </c>
      <c r="C266" s="171">
        <f t="shared" ca="1" si="7"/>
        <v>0</v>
      </c>
      <c r="G266" s="175"/>
      <c r="H266" s="175"/>
      <c r="I266" s="168"/>
      <c r="J266" s="168"/>
    </row>
    <row r="267" spans="1:10" ht="17">
      <c r="A267" s="168"/>
      <c r="B267" s="171" t="str">
        <f t="shared" ca="1" si="4"/>
        <v/>
      </c>
      <c r="C267" s="171">
        <f t="shared" ca="1" si="7"/>
        <v>0</v>
      </c>
      <c r="G267" s="175"/>
      <c r="H267" s="175"/>
      <c r="I267" s="168"/>
      <c r="J267" s="168"/>
    </row>
    <row r="268" spans="1:10" ht="17">
      <c r="A268" s="168"/>
      <c r="B268" s="171" t="str">
        <f t="shared" ca="1" si="4"/>
        <v/>
      </c>
      <c r="C268" s="171">
        <f t="shared" ca="1" si="7"/>
        <v>0</v>
      </c>
      <c r="G268" s="175"/>
      <c r="H268" s="175"/>
      <c r="I268" s="168"/>
      <c r="J268" s="168"/>
    </row>
    <row r="269" spans="1:10" ht="17">
      <c r="A269" s="168"/>
      <c r="B269" s="171" t="str">
        <f t="shared" ca="1" si="4"/>
        <v/>
      </c>
      <c r="C269" s="171">
        <f t="shared" ca="1" si="7"/>
        <v>0</v>
      </c>
      <c r="G269" s="175"/>
      <c r="H269" s="175"/>
      <c r="I269" s="168"/>
      <c r="J269" s="168"/>
    </row>
    <row r="270" spans="1:10" ht="17">
      <c r="A270" s="168"/>
      <c r="B270" s="171" t="str">
        <f t="shared" ca="1" si="4"/>
        <v/>
      </c>
      <c r="C270" s="171">
        <f t="shared" ca="1" si="7"/>
        <v>0</v>
      </c>
      <c r="G270" s="175"/>
      <c r="H270" s="175"/>
      <c r="I270" s="168"/>
      <c r="J270" s="168"/>
    </row>
    <row r="271" spans="1:10" ht="17">
      <c r="A271" s="168"/>
      <c r="B271" s="171" t="str">
        <f t="shared" ca="1" si="4"/>
        <v/>
      </c>
      <c r="C271" s="171">
        <f t="shared" ca="1" si="7"/>
        <v>0</v>
      </c>
      <c r="G271" s="175"/>
      <c r="H271" s="175"/>
      <c r="I271" s="168"/>
      <c r="J271" s="168"/>
    </row>
    <row r="272" spans="1:10" ht="17">
      <c r="A272" s="168"/>
      <c r="B272" s="171" t="str">
        <f t="shared" ca="1" si="4"/>
        <v/>
      </c>
      <c r="C272" s="171">
        <f t="shared" ca="1" si="7"/>
        <v>0</v>
      </c>
      <c r="G272" s="175"/>
      <c r="H272" s="175"/>
      <c r="I272" s="168"/>
      <c r="J272" s="168"/>
    </row>
    <row r="273" spans="1:10" ht="17">
      <c r="A273" s="168"/>
      <c r="B273" s="171" t="str">
        <f t="shared" ca="1" si="4"/>
        <v/>
      </c>
      <c r="C273" s="171">
        <f t="shared" ca="1" si="7"/>
        <v>0</v>
      </c>
      <c r="G273" s="175"/>
      <c r="H273" s="175"/>
      <c r="I273" s="168"/>
      <c r="J273" s="168"/>
    </row>
    <row r="274" spans="1:10" ht="17">
      <c r="A274" s="168"/>
      <c r="B274" s="171" t="str">
        <f t="shared" ca="1" si="4"/>
        <v/>
      </c>
      <c r="C274" s="171">
        <f t="shared" ca="1" si="7"/>
        <v>0</v>
      </c>
      <c r="G274" s="175"/>
      <c r="H274" s="175"/>
      <c r="I274" s="168"/>
      <c r="J274" s="168"/>
    </row>
    <row r="275" spans="1:10" ht="17">
      <c r="A275" s="168"/>
      <c r="B275" s="171" t="str">
        <f t="shared" ca="1" si="4"/>
        <v/>
      </c>
      <c r="C275" s="171">
        <f t="shared" ca="1" si="7"/>
        <v>0</v>
      </c>
      <c r="G275" s="175"/>
      <c r="H275" s="175"/>
      <c r="I275" s="168"/>
      <c r="J275" s="168"/>
    </row>
    <row r="276" spans="1:10" ht="17">
      <c r="A276" s="168"/>
      <c r="B276" s="171" t="str">
        <f t="shared" ca="1" si="4"/>
        <v/>
      </c>
      <c r="C276" s="171">
        <f t="shared" ca="1" si="7"/>
        <v>0</v>
      </c>
      <c r="G276" s="175"/>
      <c r="H276" s="175"/>
      <c r="I276" s="168"/>
      <c r="J276" s="168"/>
    </row>
    <row r="277" spans="1:10" ht="17">
      <c r="A277" s="168"/>
      <c r="B277" s="171" t="str">
        <f t="shared" ca="1" si="4"/>
        <v/>
      </c>
      <c r="C277" s="171">
        <f t="shared" ca="1" si="7"/>
        <v>0</v>
      </c>
      <c r="G277" s="175"/>
      <c r="H277" s="175"/>
      <c r="I277" s="168"/>
      <c r="J277" s="168"/>
    </row>
    <row r="278" spans="1:10" ht="17">
      <c r="A278" s="168"/>
      <c r="B278" s="171" t="str">
        <f t="shared" ca="1" si="4"/>
        <v/>
      </c>
      <c r="C278" s="171">
        <f t="shared" ca="1" si="7"/>
        <v>0</v>
      </c>
      <c r="G278" s="175"/>
      <c r="H278" s="175"/>
      <c r="I278" s="168"/>
      <c r="J278" s="168"/>
    </row>
    <row r="279" spans="1:10" ht="17">
      <c r="A279" s="168"/>
      <c r="B279" s="171" t="str">
        <f t="shared" ca="1" si="4"/>
        <v/>
      </c>
      <c r="C279" s="171">
        <f t="shared" ca="1" si="7"/>
        <v>0</v>
      </c>
      <c r="G279" s="175"/>
      <c r="H279" s="175"/>
      <c r="I279" s="168"/>
      <c r="J279" s="168"/>
    </row>
    <row r="280" spans="1:10" ht="17">
      <c r="A280" s="168"/>
      <c r="B280" s="171" t="str">
        <f t="shared" ca="1" si="4"/>
        <v/>
      </c>
      <c r="C280" s="171">
        <f t="shared" ca="1" si="7"/>
        <v>0</v>
      </c>
      <c r="G280" s="175"/>
      <c r="H280" s="175"/>
      <c r="I280" s="168"/>
      <c r="J280" s="168"/>
    </row>
    <row r="281" spans="1:10" ht="17">
      <c r="A281" s="168"/>
      <c r="B281" s="171" t="str">
        <f t="shared" ca="1" si="4"/>
        <v/>
      </c>
      <c r="C281" s="171">
        <f t="shared" ca="1" si="7"/>
        <v>0</v>
      </c>
      <c r="G281" s="175"/>
      <c r="H281" s="175"/>
      <c r="I281" s="168"/>
      <c r="J281" s="168"/>
    </row>
    <row r="282" spans="1:10" ht="17">
      <c r="A282" s="168"/>
      <c r="B282" s="171" t="str">
        <f t="shared" ca="1" si="4"/>
        <v/>
      </c>
      <c r="C282" s="168"/>
      <c r="G282" s="175"/>
      <c r="H282" s="175"/>
      <c r="I282" s="168"/>
      <c r="J282" s="168"/>
    </row>
    <row r="283" spans="1:10" ht="17">
      <c r="A283" s="168"/>
      <c r="B283" s="171" t="str">
        <f t="shared" ca="1" si="4"/>
        <v/>
      </c>
      <c r="C283" s="168"/>
      <c r="G283" s="175"/>
      <c r="H283" s="175"/>
      <c r="I283" s="168"/>
      <c r="J283" s="168"/>
    </row>
    <row r="284" spans="1:10" ht="17">
      <c r="A284" s="168"/>
      <c r="B284" s="171" t="str">
        <f t="shared" ca="1" si="4"/>
        <v/>
      </c>
      <c r="C284" s="168"/>
      <c r="G284" s="175"/>
      <c r="H284" s="175"/>
      <c r="I284" s="168"/>
      <c r="J284" s="168"/>
    </row>
    <row r="285" spans="1:10" ht="17">
      <c r="A285" s="168"/>
      <c r="B285" s="171" t="str">
        <f t="shared" ca="1" si="4"/>
        <v/>
      </c>
      <c r="C285" s="168"/>
      <c r="G285" s="175"/>
      <c r="H285" s="175"/>
      <c r="I285" s="168"/>
      <c r="J285" s="168"/>
    </row>
    <row r="286" spans="1:10" ht="17">
      <c r="A286" s="168"/>
      <c r="B286" s="171" t="str">
        <f t="shared" ca="1" si="4"/>
        <v/>
      </c>
      <c r="C286" s="168"/>
      <c r="G286" s="175"/>
      <c r="H286" s="175"/>
      <c r="I286" s="168"/>
      <c r="J286" s="168"/>
    </row>
    <row r="287" spans="1:10" ht="17">
      <c r="A287" s="168"/>
      <c r="B287" s="171" t="str">
        <f t="shared" ca="1" si="4"/>
        <v/>
      </c>
      <c r="C287" s="168"/>
      <c r="G287" s="175"/>
      <c r="H287" s="175"/>
      <c r="I287" s="168"/>
      <c r="J287" s="168"/>
    </row>
    <row r="288" spans="1:10" ht="17">
      <c r="A288" s="168"/>
      <c r="B288" s="171" t="str">
        <f t="shared" ca="1" si="4"/>
        <v/>
      </c>
      <c r="C288" s="168"/>
      <c r="G288" s="175"/>
      <c r="H288" s="175"/>
      <c r="I288" s="168"/>
      <c r="J288" s="168"/>
    </row>
    <row r="289" spans="1:10" ht="17">
      <c r="A289" s="168"/>
      <c r="B289" s="171" t="str">
        <f t="shared" ca="1" si="4"/>
        <v/>
      </c>
      <c r="C289" s="168"/>
      <c r="G289" s="175"/>
      <c r="H289" s="175"/>
      <c r="I289" s="168"/>
      <c r="J289" s="168"/>
    </row>
    <row r="290" spans="1:10" ht="17">
      <c r="A290" s="168"/>
      <c r="B290" s="171" t="str">
        <f t="shared" ca="1" si="4"/>
        <v/>
      </c>
      <c r="C290" s="168"/>
      <c r="G290" s="175"/>
      <c r="H290" s="175"/>
      <c r="I290" s="168"/>
      <c r="J290" s="168"/>
    </row>
    <row r="291" spans="1:10" ht="17">
      <c r="A291" s="168"/>
      <c r="B291" s="171" t="str">
        <f t="shared" ca="1" si="4"/>
        <v/>
      </c>
      <c r="C291" s="168"/>
      <c r="G291" s="175"/>
      <c r="H291" s="175"/>
      <c r="I291" s="168"/>
      <c r="J291" s="168"/>
    </row>
    <row r="292" spans="1:10" ht="17">
      <c r="A292" s="168"/>
      <c r="B292" s="171" t="str">
        <f t="shared" ca="1" si="4"/>
        <v/>
      </c>
      <c r="C292" s="168"/>
      <c r="G292" s="175"/>
      <c r="H292" s="175"/>
      <c r="I292" s="168"/>
      <c r="J292" s="168"/>
    </row>
    <row r="293" spans="1:10" ht="17">
      <c r="A293" s="168"/>
      <c r="B293" s="171" t="str">
        <f t="shared" ca="1" si="4"/>
        <v/>
      </c>
      <c r="C293" s="168"/>
      <c r="G293" s="175"/>
      <c r="H293" s="175"/>
      <c r="I293" s="168"/>
      <c r="J293" s="168"/>
    </row>
    <row r="294" spans="1:10" ht="17">
      <c r="A294" s="168"/>
      <c r="B294" s="171" t="str">
        <f t="shared" ca="1" si="4"/>
        <v/>
      </c>
      <c r="C294" s="168"/>
      <c r="G294" s="175"/>
      <c r="H294" s="175"/>
      <c r="I294" s="168"/>
      <c r="J294" s="168"/>
    </row>
    <row r="295" spans="1:10" ht="17">
      <c r="A295" s="168"/>
      <c r="B295" s="171" t="str">
        <f t="shared" ca="1" si="4"/>
        <v/>
      </c>
      <c r="C295" s="168"/>
      <c r="G295" s="175"/>
      <c r="H295" s="175"/>
      <c r="I295" s="168"/>
      <c r="J295" s="168"/>
    </row>
    <row r="296" spans="1:10" ht="17">
      <c r="A296" s="168"/>
      <c r="B296" s="171" t="str">
        <f t="shared" ca="1" si="4"/>
        <v/>
      </c>
      <c r="C296" s="168"/>
      <c r="G296" s="175"/>
      <c r="H296" s="175"/>
      <c r="I296" s="168"/>
      <c r="J296" s="168"/>
    </row>
    <row r="297" spans="1:10" ht="17">
      <c r="A297" s="168"/>
      <c r="B297" s="171" t="str">
        <f t="shared" ca="1" si="4"/>
        <v/>
      </c>
      <c r="C297" s="168"/>
      <c r="G297" s="175"/>
      <c r="H297" s="175"/>
      <c r="I297" s="168"/>
      <c r="J297" s="168"/>
    </row>
    <row r="298" spans="1:10" ht="17">
      <c r="A298" s="168"/>
      <c r="B298" s="171" t="str">
        <f t="shared" ca="1" si="4"/>
        <v/>
      </c>
      <c r="C298" s="168"/>
      <c r="G298" s="175"/>
      <c r="H298" s="175"/>
      <c r="I298" s="168"/>
      <c r="J298" s="168"/>
    </row>
    <row r="299" spans="1:10" ht="17">
      <c r="A299" s="168"/>
      <c r="B299" s="171" t="str">
        <f t="shared" ca="1" si="4"/>
        <v/>
      </c>
      <c r="C299" s="168"/>
      <c r="G299" s="175"/>
      <c r="H299" s="175"/>
      <c r="I299" s="168"/>
      <c r="J299" s="168"/>
    </row>
    <row r="300" spans="1:10" ht="17">
      <c r="A300" s="168"/>
      <c r="B300" s="171" t="str">
        <f t="shared" ca="1" si="4"/>
        <v/>
      </c>
      <c r="C300" s="168"/>
      <c r="G300" s="175"/>
      <c r="H300" s="175"/>
      <c r="I300" s="168"/>
      <c r="J300" s="168"/>
    </row>
    <row r="301" spans="1:10" ht="17">
      <c r="A301" s="168"/>
      <c r="B301" s="171" t="str">
        <f t="shared" ca="1" si="4"/>
        <v/>
      </c>
      <c r="C301" s="168"/>
      <c r="G301" s="175"/>
      <c r="H301" s="175"/>
      <c r="I301" s="168"/>
      <c r="J301" s="168"/>
    </row>
    <row r="302" spans="1:10" ht="17">
      <c r="A302" s="168"/>
      <c r="B302" s="171" t="str">
        <f t="shared" ca="1" si="4"/>
        <v/>
      </c>
      <c r="C302" s="168"/>
      <c r="G302" s="175"/>
      <c r="H302" s="175"/>
      <c r="I302" s="168"/>
      <c r="J302" s="168"/>
    </row>
    <row r="303" spans="1:10" ht="17">
      <c r="A303" s="168"/>
      <c r="B303" s="171" t="str">
        <f t="shared" ca="1" si="4"/>
        <v/>
      </c>
      <c r="C303" s="168"/>
      <c r="G303" s="175"/>
      <c r="H303" s="175"/>
      <c r="I303" s="168"/>
      <c r="J303" s="168"/>
    </row>
    <row r="304" spans="1:10" ht="17">
      <c r="A304" s="168"/>
      <c r="B304" s="171" t="str">
        <f t="shared" ca="1" si="4"/>
        <v/>
      </c>
      <c r="C304" s="168"/>
      <c r="G304" s="175"/>
      <c r="H304" s="175"/>
      <c r="I304" s="168"/>
      <c r="J304" s="168"/>
    </row>
    <row r="305" spans="1:10" ht="17">
      <c r="A305" s="168"/>
      <c r="B305" s="171" t="str">
        <f t="shared" ca="1" si="4"/>
        <v/>
      </c>
      <c r="C305" s="168"/>
      <c r="G305" s="175"/>
      <c r="H305" s="175"/>
      <c r="I305" s="168"/>
      <c r="J305" s="168"/>
    </row>
    <row r="306" spans="1:10" ht="17">
      <c r="A306" s="168"/>
      <c r="B306" s="171" t="str">
        <f t="shared" ca="1" si="4"/>
        <v/>
      </c>
      <c r="C306" s="168"/>
      <c r="G306" s="175"/>
      <c r="H306" s="175"/>
      <c r="I306" s="168"/>
      <c r="J306" s="168"/>
    </row>
    <row r="307" spans="1:10" ht="17">
      <c r="A307" s="168"/>
      <c r="B307" s="171" t="str">
        <f t="shared" ca="1" si="4"/>
        <v/>
      </c>
      <c r="C307" s="168"/>
      <c r="G307" s="175"/>
      <c r="H307" s="175"/>
      <c r="I307" s="168"/>
      <c r="J307" s="168"/>
    </row>
    <row r="308" spans="1:10" ht="17">
      <c r="A308" s="168"/>
      <c r="B308" s="171" t="str">
        <f t="shared" ca="1" si="4"/>
        <v/>
      </c>
      <c r="C308" s="168"/>
      <c r="G308" s="175"/>
      <c r="H308" s="175"/>
      <c r="I308" s="168"/>
      <c r="J308" s="168"/>
    </row>
    <row r="309" spans="1:10" ht="17">
      <c r="A309" s="168"/>
      <c r="B309" s="171" t="str">
        <f t="shared" ca="1" si="4"/>
        <v/>
      </c>
      <c r="C309" s="168"/>
      <c r="G309" s="175"/>
      <c r="H309" s="175"/>
      <c r="I309" s="168"/>
      <c r="J309" s="168"/>
    </row>
    <row r="310" spans="1:10" ht="17">
      <c r="A310" s="168"/>
      <c r="B310" s="171" t="str">
        <f t="shared" ca="1" si="4"/>
        <v/>
      </c>
      <c r="C310" s="168"/>
      <c r="G310" s="175"/>
      <c r="H310" s="175"/>
      <c r="I310" s="168"/>
      <c r="J310" s="168"/>
    </row>
    <row r="311" spans="1:10" ht="17">
      <c r="A311" s="168"/>
      <c r="B311" s="171" t="str">
        <f t="shared" ca="1" si="4"/>
        <v/>
      </c>
      <c r="C311" s="168"/>
      <c r="G311" s="175"/>
      <c r="H311" s="175"/>
      <c r="I311" s="168"/>
      <c r="J311" s="168"/>
    </row>
    <row r="312" spans="1:10" ht="17">
      <c r="A312" s="168"/>
      <c r="B312" s="171" t="str">
        <f t="shared" ca="1" si="4"/>
        <v/>
      </c>
      <c r="C312" s="168"/>
      <c r="G312" s="175"/>
      <c r="H312" s="175"/>
      <c r="I312" s="168"/>
      <c r="J312" s="168"/>
    </row>
    <row r="313" spans="1:10" ht="17">
      <c r="A313" s="168"/>
      <c r="B313" s="171" t="str">
        <f t="shared" ca="1" si="4"/>
        <v/>
      </c>
      <c r="C313" s="168"/>
      <c r="G313" s="175"/>
      <c r="H313" s="175"/>
      <c r="I313" s="168"/>
      <c r="J313" s="168"/>
    </row>
    <row r="314" spans="1:10" ht="17">
      <c r="A314" s="168"/>
      <c r="B314" s="171" t="str">
        <f t="shared" ca="1" si="4"/>
        <v/>
      </c>
      <c r="C314" s="168"/>
      <c r="G314" s="175"/>
      <c r="H314" s="175"/>
      <c r="I314" s="168"/>
      <c r="J314" s="168"/>
    </row>
    <row r="315" spans="1:10" ht="17">
      <c r="A315" s="168"/>
      <c r="B315" s="171" t="str">
        <f t="shared" ca="1" si="4"/>
        <v/>
      </c>
      <c r="C315" s="168"/>
      <c r="G315" s="175"/>
      <c r="H315" s="175"/>
      <c r="I315" s="168"/>
      <c r="J315" s="168"/>
    </row>
    <row r="316" spans="1:10" ht="17">
      <c r="A316" s="168"/>
      <c r="B316" s="171" t="str">
        <f t="shared" ca="1" si="4"/>
        <v/>
      </c>
      <c r="C316" s="168"/>
      <c r="G316" s="175"/>
      <c r="H316" s="175"/>
      <c r="I316" s="168"/>
      <c r="J316" s="168"/>
    </row>
    <row r="317" spans="1:10" ht="17">
      <c r="A317" s="168"/>
      <c r="B317" s="171" t="str">
        <f t="shared" ca="1" si="4"/>
        <v/>
      </c>
      <c r="C317" s="168"/>
      <c r="G317" s="175"/>
      <c r="H317" s="175"/>
      <c r="I317" s="168"/>
      <c r="J317" s="168"/>
    </row>
    <row r="318" spans="1:10" ht="17">
      <c r="A318" s="168"/>
      <c r="B318" s="171" t="str">
        <f t="shared" ca="1" si="4"/>
        <v/>
      </c>
      <c r="C318" s="168"/>
      <c r="G318" s="175"/>
      <c r="H318" s="175"/>
      <c r="I318" s="168"/>
      <c r="J318" s="168"/>
    </row>
    <row r="319" spans="1:10" ht="17">
      <c r="A319" s="168"/>
      <c r="B319" s="171" t="str">
        <f t="shared" ca="1" si="4"/>
        <v/>
      </c>
      <c r="C319" s="168"/>
      <c r="G319" s="175"/>
      <c r="H319" s="175"/>
      <c r="I319" s="168"/>
      <c r="J319" s="168"/>
    </row>
    <row r="320" spans="1:10" ht="17">
      <c r="A320" s="168"/>
      <c r="B320" s="171" t="str">
        <f t="shared" ca="1" si="4"/>
        <v/>
      </c>
      <c r="C320" s="168"/>
      <c r="G320" s="175"/>
      <c r="H320" s="175"/>
      <c r="I320" s="168"/>
      <c r="J320" s="168"/>
    </row>
    <row r="321" spans="1:10" ht="17">
      <c r="A321" s="168"/>
      <c r="B321" s="171" t="str">
        <f t="shared" ca="1" si="4"/>
        <v/>
      </c>
      <c r="C321" s="168"/>
      <c r="G321" s="175"/>
      <c r="H321" s="175"/>
      <c r="I321" s="168"/>
      <c r="J321" s="168"/>
    </row>
    <row r="322" spans="1:10" ht="17">
      <c r="A322" s="168"/>
      <c r="B322" s="171" t="str">
        <f t="shared" ca="1" si="4"/>
        <v/>
      </c>
      <c r="C322" s="168"/>
      <c r="G322" s="175"/>
      <c r="H322" s="175"/>
      <c r="I322" s="168"/>
      <c r="J322" s="168"/>
    </row>
    <row r="323" spans="1:10" ht="17">
      <c r="A323" s="168"/>
      <c r="B323" s="171" t="str">
        <f t="shared" ca="1" si="4"/>
        <v/>
      </c>
      <c r="C323" s="168"/>
      <c r="G323" s="175"/>
      <c r="H323" s="175"/>
      <c r="I323" s="168"/>
      <c r="J323" s="168"/>
    </row>
    <row r="324" spans="1:10" ht="17">
      <c r="A324" s="168"/>
      <c r="B324" s="171" t="str">
        <f t="shared" ca="1" si="4"/>
        <v/>
      </c>
      <c r="C324" s="168"/>
      <c r="G324" s="175"/>
      <c r="H324" s="175"/>
      <c r="I324" s="168"/>
      <c r="J324" s="168"/>
    </row>
    <row r="325" spans="1:10" ht="17">
      <c r="A325" s="168"/>
      <c r="B325" s="171" t="str">
        <f t="shared" ca="1" si="4"/>
        <v/>
      </c>
      <c r="C325" s="168"/>
      <c r="G325" s="175"/>
      <c r="H325" s="175"/>
      <c r="I325" s="168"/>
      <c r="J325" s="168"/>
    </row>
    <row r="326" spans="1:10" ht="17">
      <c r="A326" s="168"/>
      <c r="B326" s="171" t="str">
        <f t="shared" ca="1" si="4"/>
        <v/>
      </c>
      <c r="C326" s="168"/>
      <c r="G326" s="175"/>
      <c r="H326" s="175"/>
      <c r="I326" s="168"/>
      <c r="J326" s="168"/>
    </row>
    <row r="327" spans="1:10" ht="17">
      <c r="A327" s="168"/>
      <c r="B327" s="171" t="str">
        <f t="shared" ca="1" si="4"/>
        <v/>
      </c>
      <c r="C327" s="168"/>
      <c r="G327" s="175"/>
      <c r="H327" s="175"/>
      <c r="I327" s="168"/>
      <c r="J327" s="168"/>
    </row>
    <row r="328" spans="1:10" ht="17">
      <c r="A328" s="168"/>
      <c r="B328" s="168"/>
      <c r="C328" s="168"/>
      <c r="G328" s="175"/>
      <c r="H328" s="175"/>
      <c r="I328" s="168"/>
      <c r="J328" s="168"/>
    </row>
    <row r="329" spans="1:10" ht="17">
      <c r="A329" s="168"/>
      <c r="B329" s="168"/>
      <c r="C329" s="168"/>
      <c r="G329" s="175"/>
      <c r="H329" s="175"/>
      <c r="I329" s="168"/>
      <c r="J329" s="168"/>
    </row>
    <row r="330" spans="1:10" ht="17">
      <c r="A330" s="168"/>
      <c r="B330" s="168"/>
      <c r="C330" s="168"/>
      <c r="G330" s="175"/>
      <c r="H330" s="175"/>
      <c r="I330" s="168"/>
      <c r="J330" s="168"/>
    </row>
    <row r="331" spans="1:10" ht="17">
      <c r="A331" s="168"/>
      <c r="B331" s="168"/>
      <c r="C331" s="168"/>
      <c r="G331" s="175"/>
      <c r="H331" s="175"/>
      <c r="I331" s="168"/>
      <c r="J331" s="168"/>
    </row>
    <row r="332" spans="1:10" ht="17">
      <c r="A332" s="168"/>
      <c r="B332" s="168"/>
      <c r="C332" s="168"/>
      <c r="G332" s="175"/>
      <c r="H332" s="175"/>
      <c r="I332" s="168"/>
      <c r="J332" s="168"/>
    </row>
    <row r="333" spans="1:10" ht="17">
      <c r="A333" s="168"/>
      <c r="B333" s="168"/>
      <c r="C333" s="168"/>
      <c r="G333" s="175"/>
      <c r="H333" s="175"/>
      <c r="I333" s="168"/>
      <c r="J333" s="168"/>
    </row>
    <row r="334" spans="1:10" ht="17">
      <c r="A334" s="168"/>
      <c r="B334" s="168"/>
      <c r="C334" s="168"/>
      <c r="G334" s="175"/>
      <c r="H334" s="175"/>
      <c r="I334" s="168"/>
      <c r="J334" s="168"/>
    </row>
    <row r="335" spans="1:10" ht="17">
      <c r="A335" s="168"/>
      <c r="B335" s="168"/>
      <c r="C335" s="168"/>
      <c r="G335" s="175"/>
      <c r="H335" s="175"/>
      <c r="I335" s="168"/>
      <c r="J335" s="168"/>
    </row>
    <row r="336" spans="1:10" ht="17">
      <c r="A336" s="168"/>
      <c r="B336" s="168"/>
      <c r="C336" s="168"/>
      <c r="G336" s="175"/>
      <c r="H336" s="175"/>
      <c r="I336" s="168"/>
      <c r="J336" s="168"/>
    </row>
    <row r="337" spans="1:10" ht="17">
      <c r="A337" s="168"/>
      <c r="B337" s="168"/>
      <c r="C337" s="168"/>
      <c r="G337" s="175"/>
      <c r="H337" s="175"/>
      <c r="I337" s="168"/>
      <c r="J337" s="168"/>
    </row>
    <row r="338" spans="1:10" ht="17">
      <c r="A338" s="168"/>
      <c r="B338" s="168"/>
      <c r="C338" s="168"/>
      <c r="G338" s="175"/>
      <c r="H338" s="175"/>
      <c r="I338" s="168"/>
      <c r="J338" s="168"/>
    </row>
    <row r="339" spans="1:10" ht="17">
      <c r="A339" s="168"/>
      <c r="B339" s="168"/>
      <c r="C339" s="168"/>
      <c r="G339" s="175"/>
      <c r="H339" s="175"/>
      <c r="I339" s="168"/>
      <c r="J339" s="168"/>
    </row>
    <row r="340" spans="1:10" ht="17">
      <c r="A340" s="168"/>
      <c r="B340" s="168"/>
      <c r="C340" s="168"/>
      <c r="G340" s="175"/>
      <c r="H340" s="175"/>
      <c r="I340" s="168"/>
      <c r="J340" s="168"/>
    </row>
    <row r="341" spans="1:10" ht="17">
      <c r="A341" s="168"/>
      <c r="B341" s="168"/>
      <c r="C341" s="168"/>
      <c r="G341" s="175"/>
      <c r="H341" s="175"/>
      <c r="I341" s="168"/>
      <c r="J341" s="168"/>
    </row>
    <row r="342" spans="1:10" ht="17">
      <c r="A342" s="168"/>
      <c r="B342" s="168"/>
      <c r="C342" s="168"/>
      <c r="G342" s="175"/>
      <c r="H342" s="175"/>
      <c r="I342" s="168"/>
      <c r="J342" s="168"/>
    </row>
    <row r="343" spans="1:10" ht="17">
      <c r="A343" s="168"/>
      <c r="B343" s="168"/>
      <c r="C343" s="168"/>
      <c r="G343" s="175"/>
      <c r="H343" s="175"/>
      <c r="I343" s="168"/>
      <c r="J343" s="168"/>
    </row>
    <row r="344" spans="1:10" ht="17">
      <c r="A344" s="168"/>
      <c r="B344" s="168"/>
      <c r="C344" s="168"/>
      <c r="G344" s="175"/>
      <c r="H344" s="175"/>
      <c r="I344" s="168"/>
      <c r="J344" s="168"/>
    </row>
    <row r="345" spans="1:10" ht="17">
      <c r="A345" s="168"/>
      <c r="B345" s="168"/>
      <c r="C345" s="168"/>
      <c r="G345" s="175"/>
      <c r="H345" s="175"/>
      <c r="I345" s="168"/>
      <c r="J345" s="168"/>
    </row>
    <row r="346" spans="1:10" ht="17">
      <c r="A346" s="168"/>
      <c r="B346" s="168"/>
      <c r="C346" s="168"/>
      <c r="G346" s="175"/>
      <c r="H346" s="175"/>
      <c r="I346" s="168"/>
      <c r="J346" s="168"/>
    </row>
    <row r="347" spans="1:10" ht="17">
      <c r="A347" s="168"/>
      <c r="B347" s="168"/>
      <c r="C347" s="168"/>
      <c r="G347" s="175"/>
      <c r="H347" s="175"/>
      <c r="I347" s="168"/>
      <c r="J347" s="168"/>
    </row>
    <row r="348" spans="1:10" ht="17">
      <c r="A348" s="168"/>
      <c r="B348" s="168"/>
      <c r="C348" s="168"/>
      <c r="G348" s="175"/>
      <c r="H348" s="175"/>
      <c r="I348" s="168"/>
      <c r="J348" s="168"/>
    </row>
    <row r="349" spans="1:10" ht="17">
      <c r="A349" s="168"/>
      <c r="B349" s="168"/>
      <c r="C349" s="168"/>
      <c r="G349" s="175"/>
      <c r="H349" s="175"/>
      <c r="I349" s="168"/>
      <c r="J349" s="168"/>
    </row>
    <row r="350" spans="1:10" ht="17">
      <c r="A350" s="168"/>
      <c r="B350" s="168"/>
      <c r="C350" s="168"/>
      <c r="G350" s="175"/>
      <c r="H350" s="175"/>
      <c r="I350" s="168"/>
      <c r="J350" s="168"/>
    </row>
    <row r="351" spans="1:10" ht="17">
      <c r="A351" s="168"/>
      <c r="B351" s="168"/>
      <c r="C351" s="168"/>
      <c r="G351" s="175"/>
      <c r="H351" s="175"/>
      <c r="I351" s="168"/>
      <c r="J351" s="168"/>
    </row>
    <row r="352" spans="1:10" ht="17">
      <c r="A352" s="168"/>
      <c r="B352" s="168"/>
      <c r="C352" s="168"/>
      <c r="G352" s="175"/>
      <c r="H352" s="175"/>
      <c r="I352" s="168"/>
      <c r="J352" s="168"/>
    </row>
    <row r="353" spans="1:10" ht="17">
      <c r="A353" s="168"/>
      <c r="B353" s="168"/>
      <c r="C353" s="168"/>
      <c r="G353" s="175"/>
      <c r="H353" s="175"/>
      <c r="I353" s="168"/>
      <c r="J353" s="168"/>
    </row>
    <row r="354" spans="1:10" ht="17">
      <c r="A354" s="168"/>
      <c r="B354" s="168"/>
      <c r="C354" s="168"/>
      <c r="G354" s="175"/>
      <c r="H354" s="175"/>
      <c r="I354" s="168"/>
      <c r="J354" s="168"/>
    </row>
    <row r="355" spans="1:10" ht="17">
      <c r="A355" s="168"/>
      <c r="B355" s="168"/>
      <c r="C355" s="168"/>
      <c r="G355" s="175"/>
      <c r="H355" s="175"/>
      <c r="I355" s="168"/>
      <c r="J355" s="168"/>
    </row>
    <row r="356" spans="1:10" ht="17">
      <c r="A356" s="168"/>
      <c r="B356" s="168"/>
      <c r="C356" s="168"/>
      <c r="G356" s="175"/>
      <c r="H356" s="175"/>
      <c r="I356" s="168"/>
      <c r="J356" s="168"/>
    </row>
    <row r="357" spans="1:10" ht="17">
      <c r="A357" s="168"/>
      <c r="B357" s="168"/>
      <c r="C357" s="168"/>
      <c r="G357" s="175"/>
      <c r="H357" s="175"/>
      <c r="I357" s="168"/>
      <c r="J357" s="168"/>
    </row>
    <row r="358" spans="1:10" ht="17">
      <c r="A358" s="168"/>
      <c r="B358" s="168"/>
      <c r="C358" s="168"/>
      <c r="G358" s="175"/>
      <c r="H358" s="175"/>
      <c r="I358" s="168"/>
      <c r="J358" s="168"/>
    </row>
    <row r="359" spans="1:10" ht="17">
      <c r="A359" s="168"/>
      <c r="B359" s="168"/>
      <c r="C359" s="168"/>
      <c r="G359" s="175"/>
      <c r="H359" s="175"/>
      <c r="I359" s="168"/>
      <c r="J359" s="168"/>
    </row>
    <row r="360" spans="1:10" ht="17">
      <c r="A360" s="168"/>
      <c r="B360" s="168"/>
      <c r="C360" s="168"/>
      <c r="G360" s="175"/>
      <c r="H360" s="175"/>
      <c r="I360" s="168"/>
      <c r="J360" s="168"/>
    </row>
    <row r="361" spans="1:10" ht="17">
      <c r="A361" s="168"/>
      <c r="B361" s="168"/>
      <c r="C361" s="168"/>
      <c r="G361" s="175"/>
      <c r="H361" s="175"/>
      <c r="I361" s="168"/>
      <c r="J361" s="168"/>
    </row>
    <row r="362" spans="1:10" ht="17">
      <c r="A362" s="168"/>
      <c r="B362" s="168"/>
      <c r="C362" s="168"/>
      <c r="G362" s="175"/>
      <c r="H362" s="175"/>
      <c r="I362" s="168"/>
      <c r="J362" s="168"/>
    </row>
    <row r="363" spans="1:10" ht="17">
      <c r="A363" s="168"/>
      <c r="B363" s="168"/>
      <c r="C363" s="168"/>
      <c r="G363" s="175"/>
      <c r="H363" s="175"/>
      <c r="I363" s="168"/>
      <c r="J363" s="168"/>
    </row>
    <row r="364" spans="1:10" ht="17">
      <c r="A364" s="168"/>
      <c r="B364" s="168"/>
      <c r="C364" s="168"/>
      <c r="G364" s="175"/>
      <c r="H364" s="175"/>
      <c r="I364" s="168"/>
      <c r="J364" s="168"/>
    </row>
    <row r="365" spans="1:10" ht="17">
      <c r="A365" s="168"/>
      <c r="B365" s="168"/>
      <c r="C365" s="168"/>
      <c r="G365" s="175"/>
      <c r="H365" s="175"/>
      <c r="I365" s="168"/>
      <c r="J365" s="168"/>
    </row>
    <row r="366" spans="1:10" ht="17">
      <c r="A366" s="168"/>
      <c r="B366" s="168"/>
      <c r="C366" s="168"/>
      <c r="G366" s="175"/>
      <c r="H366" s="175"/>
      <c r="I366" s="168"/>
      <c r="J366" s="168"/>
    </row>
    <row r="367" spans="1:10" ht="17">
      <c r="A367" s="168"/>
      <c r="B367" s="168"/>
      <c r="C367" s="168"/>
      <c r="G367" s="175"/>
      <c r="H367" s="175"/>
      <c r="I367" s="168"/>
      <c r="J367" s="168"/>
    </row>
    <row r="368" spans="1:10" ht="17">
      <c r="A368" s="168"/>
      <c r="B368" s="168"/>
      <c r="C368" s="168"/>
      <c r="G368" s="175"/>
      <c r="H368" s="175"/>
      <c r="I368" s="168"/>
      <c r="J368" s="168"/>
    </row>
    <row r="369" spans="1:10" ht="17">
      <c r="A369" s="168"/>
      <c r="B369" s="168"/>
      <c r="C369" s="168"/>
      <c r="G369" s="175"/>
      <c r="H369" s="175"/>
      <c r="I369" s="168"/>
      <c r="J369" s="168"/>
    </row>
    <row r="370" spans="1:10" ht="17">
      <c r="A370" s="168"/>
      <c r="B370" s="168"/>
      <c r="C370" s="168"/>
      <c r="G370" s="175"/>
      <c r="H370" s="175"/>
      <c r="I370" s="168"/>
      <c r="J370" s="168"/>
    </row>
    <row r="371" spans="1:10" ht="17">
      <c r="A371" s="168"/>
      <c r="B371" s="168"/>
      <c r="C371" s="168"/>
      <c r="G371" s="175"/>
      <c r="H371" s="175"/>
      <c r="I371" s="168"/>
      <c r="J371" s="168"/>
    </row>
    <row r="372" spans="1:10" ht="17">
      <c r="A372" s="168"/>
      <c r="B372" s="168"/>
      <c r="C372" s="168"/>
      <c r="G372" s="175"/>
      <c r="H372" s="175"/>
      <c r="I372" s="168"/>
      <c r="J372" s="168"/>
    </row>
    <row r="373" spans="1:10" ht="17">
      <c r="A373" s="168"/>
      <c r="B373" s="168"/>
      <c r="C373" s="168"/>
      <c r="G373" s="175"/>
      <c r="H373" s="175"/>
      <c r="I373" s="168"/>
      <c r="J373" s="168"/>
    </row>
    <row r="374" spans="1:10" ht="17">
      <c r="A374" s="168"/>
      <c r="B374" s="168"/>
      <c r="C374" s="168"/>
      <c r="G374" s="175"/>
      <c r="H374" s="175"/>
      <c r="I374" s="168"/>
      <c r="J374" s="168"/>
    </row>
    <row r="375" spans="1:10" ht="17">
      <c r="A375" s="168"/>
      <c r="B375" s="168"/>
      <c r="C375" s="168"/>
      <c r="G375" s="175"/>
      <c r="H375" s="175"/>
      <c r="I375" s="168"/>
      <c r="J375" s="168"/>
    </row>
    <row r="376" spans="1:10" ht="17">
      <c r="A376" s="168"/>
      <c r="B376" s="168"/>
      <c r="C376" s="168"/>
      <c r="G376" s="175"/>
      <c r="H376" s="175"/>
      <c r="I376" s="168"/>
      <c r="J376" s="168"/>
    </row>
    <row r="377" spans="1:10" ht="17">
      <c r="A377" s="168"/>
      <c r="B377" s="168"/>
      <c r="C377" s="168"/>
      <c r="G377" s="175"/>
      <c r="H377" s="175"/>
      <c r="I377" s="168"/>
      <c r="J377" s="168"/>
    </row>
    <row r="378" spans="1:10" ht="17">
      <c r="A378" s="168"/>
      <c r="B378" s="168"/>
      <c r="C378" s="168"/>
      <c r="G378" s="175"/>
      <c r="H378" s="175"/>
      <c r="I378" s="168"/>
      <c r="J378" s="168"/>
    </row>
    <row r="379" spans="1:10" ht="17">
      <c r="A379" s="168"/>
      <c r="B379" s="168"/>
      <c r="C379" s="168"/>
      <c r="G379" s="175"/>
      <c r="H379" s="175"/>
      <c r="I379" s="168"/>
      <c r="J379" s="168"/>
    </row>
    <row r="380" spans="1:10" ht="17">
      <c r="A380" s="168"/>
      <c r="B380" s="168"/>
      <c r="C380" s="168"/>
      <c r="G380" s="175"/>
      <c r="H380" s="175"/>
      <c r="I380" s="168"/>
      <c r="J380" s="168"/>
    </row>
    <row r="381" spans="1:10" ht="17">
      <c r="A381" s="168"/>
      <c r="B381" s="168"/>
      <c r="C381" s="168"/>
      <c r="G381" s="175"/>
      <c r="H381" s="175"/>
      <c r="I381" s="168"/>
      <c r="J381" s="168"/>
    </row>
    <row r="382" spans="1:10" ht="17">
      <c r="A382" s="168"/>
      <c r="B382" s="168"/>
      <c r="C382" s="168"/>
      <c r="G382" s="175"/>
      <c r="H382" s="175"/>
      <c r="I382" s="168"/>
      <c r="J382" s="168"/>
    </row>
    <row r="383" spans="1:10" ht="17">
      <c r="A383" s="168"/>
      <c r="B383" s="168"/>
      <c r="C383" s="168"/>
      <c r="G383" s="175"/>
      <c r="H383" s="175"/>
      <c r="I383" s="168"/>
      <c r="J383" s="168"/>
    </row>
    <row r="384" spans="1:10" ht="17">
      <c r="A384" s="168"/>
      <c r="B384" s="168"/>
      <c r="C384" s="168"/>
      <c r="G384" s="175"/>
      <c r="H384" s="175"/>
      <c r="I384" s="168"/>
      <c r="J384" s="168"/>
    </row>
    <row r="385" spans="1:10" ht="17">
      <c r="A385" s="168"/>
      <c r="B385" s="168"/>
      <c r="C385" s="168"/>
      <c r="G385" s="175"/>
      <c r="H385" s="175"/>
      <c r="I385" s="168"/>
      <c r="J385" s="168"/>
    </row>
    <row r="386" spans="1:10" ht="17">
      <c r="A386" s="168"/>
      <c r="B386" s="168"/>
      <c r="C386" s="168"/>
      <c r="G386" s="175"/>
      <c r="H386" s="175"/>
      <c r="I386" s="168"/>
      <c r="J386" s="168"/>
    </row>
    <row r="387" spans="1:10" ht="17">
      <c r="A387" s="168"/>
      <c r="B387" s="168"/>
      <c r="C387" s="168"/>
      <c r="G387" s="175"/>
      <c r="H387" s="175"/>
      <c r="I387" s="168"/>
      <c r="J387" s="168"/>
    </row>
    <row r="388" spans="1:10" ht="17">
      <c r="A388" s="168"/>
      <c r="B388" s="168"/>
      <c r="C388" s="168"/>
      <c r="G388" s="175"/>
      <c r="H388" s="175"/>
      <c r="I388" s="168"/>
      <c r="J388" s="168"/>
    </row>
    <row r="389" spans="1:10" ht="17">
      <c r="A389" s="168"/>
      <c r="B389" s="168"/>
      <c r="C389" s="168"/>
      <c r="G389" s="175"/>
      <c r="H389" s="175"/>
      <c r="I389" s="168"/>
      <c r="J389" s="168"/>
    </row>
    <row r="390" spans="1:10" ht="17">
      <c r="A390" s="168"/>
      <c r="B390" s="168"/>
      <c r="C390" s="168"/>
      <c r="G390" s="175"/>
      <c r="H390" s="175"/>
      <c r="I390" s="168"/>
      <c r="J390" s="168"/>
    </row>
    <row r="391" spans="1:10" ht="17">
      <c r="A391" s="168"/>
      <c r="B391" s="168"/>
      <c r="C391" s="168"/>
      <c r="G391" s="175"/>
      <c r="H391" s="175"/>
      <c r="I391" s="168"/>
      <c r="J391" s="168"/>
    </row>
    <row r="392" spans="1:10" ht="17">
      <c r="A392" s="168"/>
      <c r="B392" s="168"/>
      <c r="C392" s="168"/>
      <c r="G392" s="175"/>
      <c r="H392" s="175"/>
      <c r="I392" s="168"/>
      <c r="J392" s="168"/>
    </row>
    <row r="393" spans="1:10" ht="17">
      <c r="A393" s="168"/>
      <c r="B393" s="168"/>
      <c r="C393" s="168"/>
      <c r="G393" s="175"/>
      <c r="H393" s="175"/>
      <c r="I393" s="168"/>
      <c r="J393" s="168"/>
    </row>
    <row r="394" spans="1:10" ht="17">
      <c r="A394" s="168"/>
      <c r="B394" s="168"/>
      <c r="C394" s="168"/>
      <c r="G394" s="175"/>
      <c r="H394" s="175"/>
      <c r="I394" s="168"/>
      <c r="J394" s="168"/>
    </row>
    <row r="395" spans="1:10" ht="17">
      <c r="A395" s="168"/>
      <c r="B395" s="168"/>
      <c r="C395" s="168"/>
      <c r="G395" s="175"/>
      <c r="H395" s="175"/>
      <c r="I395" s="168"/>
      <c r="J395" s="168"/>
    </row>
    <row r="396" spans="1:10" ht="17">
      <c r="A396" s="168"/>
      <c r="B396" s="168"/>
      <c r="C396" s="168"/>
      <c r="G396" s="175"/>
      <c r="H396" s="175"/>
      <c r="I396" s="168"/>
      <c r="J396" s="168"/>
    </row>
    <row r="397" spans="1:10" ht="17">
      <c r="A397" s="168"/>
      <c r="B397" s="168"/>
      <c r="C397" s="168"/>
      <c r="G397" s="175"/>
      <c r="H397" s="175"/>
      <c r="I397" s="168"/>
      <c r="J397" s="168"/>
    </row>
    <row r="398" spans="1:10" ht="17">
      <c r="A398" s="168"/>
      <c r="B398" s="168"/>
      <c r="C398" s="168"/>
      <c r="G398" s="175"/>
      <c r="H398" s="175"/>
      <c r="I398" s="168"/>
      <c r="J398" s="168"/>
    </row>
    <row r="399" spans="1:10" ht="17">
      <c r="A399" s="168"/>
      <c r="B399" s="168"/>
      <c r="C399" s="168"/>
      <c r="G399" s="175"/>
      <c r="H399" s="175"/>
      <c r="I399" s="168"/>
      <c r="J399" s="168"/>
    </row>
    <row r="400" spans="1:10" ht="17">
      <c r="A400" s="168"/>
      <c r="B400" s="168"/>
      <c r="C400" s="168"/>
      <c r="G400" s="175"/>
      <c r="H400" s="175"/>
      <c r="I400" s="168"/>
      <c r="J400" s="168"/>
    </row>
    <row r="401" spans="1:10" ht="17">
      <c r="A401" s="168"/>
      <c r="B401" s="168"/>
      <c r="C401" s="168"/>
      <c r="G401" s="175"/>
      <c r="H401" s="175"/>
      <c r="I401" s="168"/>
      <c r="J401" s="168"/>
    </row>
    <row r="402" spans="1:10" ht="17">
      <c r="A402" s="168"/>
      <c r="B402" s="168"/>
      <c r="C402" s="168"/>
      <c r="G402" s="175"/>
      <c r="H402" s="175"/>
      <c r="I402" s="168"/>
      <c r="J402" s="168"/>
    </row>
    <row r="403" spans="1:10" ht="17">
      <c r="A403" s="168"/>
      <c r="B403" s="168"/>
      <c r="C403" s="168"/>
      <c r="G403" s="175"/>
      <c r="H403" s="175"/>
      <c r="I403" s="168"/>
      <c r="J403" s="168"/>
    </row>
    <row r="404" spans="1:10" ht="17">
      <c r="A404" s="168"/>
      <c r="B404" s="168"/>
      <c r="C404" s="168"/>
      <c r="G404" s="175"/>
      <c r="H404" s="175"/>
      <c r="I404" s="168"/>
      <c r="J404" s="168"/>
    </row>
    <row r="405" spans="1:10" ht="17">
      <c r="A405" s="168"/>
      <c r="B405" s="168"/>
      <c r="C405" s="168"/>
      <c r="G405" s="175"/>
      <c r="H405" s="175"/>
      <c r="I405" s="168"/>
      <c r="J405" s="168"/>
    </row>
    <row r="406" spans="1:10" ht="17">
      <c r="A406" s="168"/>
      <c r="B406" s="168"/>
      <c r="C406" s="168"/>
      <c r="G406" s="175"/>
      <c r="H406" s="175"/>
      <c r="I406" s="168"/>
      <c r="J406" s="168"/>
    </row>
    <row r="407" spans="1:10" ht="17">
      <c r="A407" s="168"/>
      <c r="B407" s="168"/>
      <c r="C407" s="168"/>
      <c r="G407" s="175"/>
      <c r="H407" s="175"/>
      <c r="I407" s="168"/>
      <c r="J407" s="168"/>
    </row>
    <row r="408" spans="1:10" ht="17">
      <c r="A408" s="168"/>
      <c r="B408" s="168"/>
      <c r="C408" s="168"/>
      <c r="G408" s="175"/>
      <c r="H408" s="175"/>
      <c r="I408" s="168"/>
      <c r="J408" s="168"/>
    </row>
    <row r="409" spans="1:10" ht="17">
      <c r="A409" s="168"/>
      <c r="B409" s="168"/>
      <c r="C409" s="168"/>
      <c r="G409" s="175"/>
      <c r="H409" s="175"/>
      <c r="I409" s="168"/>
      <c r="J409" s="168"/>
    </row>
    <row r="410" spans="1:10" ht="17">
      <c r="A410" s="168"/>
      <c r="B410" s="168"/>
      <c r="C410" s="168"/>
      <c r="G410" s="175"/>
      <c r="H410" s="175"/>
      <c r="I410" s="168"/>
      <c r="J410" s="168"/>
    </row>
    <row r="411" spans="1:10" ht="17">
      <c r="A411" s="168"/>
      <c r="B411" s="168"/>
      <c r="C411" s="168"/>
      <c r="G411" s="175"/>
      <c r="H411" s="175"/>
      <c r="I411" s="168"/>
      <c r="J411" s="168"/>
    </row>
    <row r="412" spans="1:10" ht="17">
      <c r="A412" s="168"/>
      <c r="B412" s="168"/>
      <c r="C412" s="168"/>
      <c r="G412" s="175"/>
      <c r="H412" s="175"/>
      <c r="I412" s="168"/>
      <c r="J412" s="168"/>
    </row>
    <row r="413" spans="1:10" ht="17">
      <c r="A413" s="168"/>
      <c r="B413" s="168"/>
      <c r="C413" s="168"/>
      <c r="G413" s="175"/>
      <c r="H413" s="175"/>
      <c r="I413" s="168"/>
      <c r="J413" s="168"/>
    </row>
    <row r="414" spans="1:10" ht="17">
      <c r="A414" s="168"/>
      <c r="B414" s="168"/>
      <c r="C414" s="168"/>
      <c r="G414" s="175"/>
      <c r="H414" s="175"/>
      <c r="I414" s="168"/>
      <c r="J414" s="168"/>
    </row>
    <row r="415" spans="1:10" ht="17">
      <c r="A415" s="168"/>
      <c r="B415" s="168"/>
      <c r="C415" s="168"/>
      <c r="G415" s="175"/>
      <c r="H415" s="175"/>
      <c r="I415" s="168"/>
      <c r="J415" s="168"/>
    </row>
    <row r="416" spans="1:10" ht="17">
      <c r="A416" s="168"/>
      <c r="B416" s="168"/>
      <c r="C416" s="168"/>
      <c r="G416" s="175"/>
      <c r="H416" s="175"/>
      <c r="I416" s="168"/>
      <c r="J416" s="168"/>
    </row>
    <row r="417" spans="1:10" ht="17">
      <c r="A417" s="168"/>
      <c r="B417" s="168"/>
      <c r="C417" s="168"/>
      <c r="G417" s="175"/>
      <c r="H417" s="175"/>
      <c r="I417" s="168"/>
      <c r="J417" s="168"/>
    </row>
    <row r="418" spans="1:10" ht="17">
      <c r="A418" s="168"/>
      <c r="B418" s="168"/>
      <c r="C418" s="168"/>
      <c r="G418" s="175"/>
      <c r="H418" s="175"/>
      <c r="I418" s="168"/>
      <c r="J418" s="168"/>
    </row>
    <row r="419" spans="1:10" ht="17">
      <c r="A419" s="168"/>
      <c r="B419" s="168"/>
      <c r="C419" s="168"/>
      <c r="G419" s="175"/>
      <c r="H419" s="175"/>
      <c r="I419" s="168"/>
      <c r="J419" s="168"/>
    </row>
    <row r="420" spans="1:10" ht="17">
      <c r="A420" s="168"/>
      <c r="B420" s="168"/>
      <c r="C420" s="168"/>
      <c r="G420" s="175"/>
      <c r="H420" s="175"/>
      <c r="I420" s="168"/>
      <c r="J420" s="168"/>
    </row>
    <row r="421" spans="1:10" ht="17">
      <c r="A421" s="168"/>
      <c r="B421" s="168"/>
      <c r="C421" s="168"/>
      <c r="G421" s="175"/>
      <c r="H421" s="175"/>
      <c r="I421" s="168"/>
      <c r="J421" s="168"/>
    </row>
    <row r="422" spans="1:10" ht="17">
      <c r="A422" s="168"/>
      <c r="B422" s="168"/>
      <c r="C422" s="168"/>
      <c r="G422" s="175"/>
      <c r="H422" s="175"/>
      <c r="I422" s="168"/>
      <c r="J422" s="168"/>
    </row>
    <row r="423" spans="1:10" ht="17">
      <c r="A423" s="168"/>
      <c r="B423" s="168"/>
      <c r="C423" s="168"/>
      <c r="G423" s="175"/>
      <c r="H423" s="175"/>
      <c r="I423" s="168"/>
      <c r="J423" s="168"/>
    </row>
    <row r="424" spans="1:10" ht="17">
      <c r="A424" s="168"/>
      <c r="B424" s="168"/>
      <c r="C424" s="168"/>
      <c r="G424" s="175"/>
      <c r="H424" s="175"/>
      <c r="I424" s="168"/>
      <c r="J424" s="168"/>
    </row>
    <row r="425" spans="1:10" ht="17">
      <c r="A425" s="168"/>
      <c r="B425" s="168"/>
      <c r="C425" s="168"/>
      <c r="G425" s="175"/>
      <c r="H425" s="175"/>
      <c r="I425" s="168"/>
      <c r="J425" s="168"/>
    </row>
    <row r="426" spans="1:10" ht="17">
      <c r="A426" s="168"/>
      <c r="B426" s="168"/>
      <c r="C426" s="168"/>
      <c r="G426" s="175"/>
      <c r="H426" s="175"/>
      <c r="I426" s="168"/>
      <c r="J426" s="168"/>
    </row>
    <row r="427" spans="1:10" ht="17">
      <c r="A427" s="168"/>
      <c r="B427" s="168"/>
      <c r="C427" s="168"/>
      <c r="G427" s="175"/>
      <c r="H427" s="175"/>
      <c r="I427" s="168"/>
      <c r="J427" s="168"/>
    </row>
    <row r="428" spans="1:10" ht="17">
      <c r="A428" s="168"/>
      <c r="B428" s="168"/>
      <c r="C428" s="168"/>
      <c r="G428" s="175"/>
      <c r="H428" s="175"/>
      <c r="I428" s="168"/>
      <c r="J428" s="168"/>
    </row>
    <row r="429" spans="1:10" ht="17">
      <c r="A429" s="168"/>
      <c r="B429" s="168"/>
      <c r="C429" s="168"/>
      <c r="G429" s="175"/>
      <c r="H429" s="175"/>
      <c r="I429" s="168"/>
      <c r="J429" s="168"/>
    </row>
    <row r="430" spans="1:10" ht="17">
      <c r="A430" s="168"/>
      <c r="B430" s="168"/>
      <c r="C430" s="168"/>
      <c r="G430" s="175"/>
      <c r="H430" s="175"/>
      <c r="I430" s="168"/>
      <c r="J430" s="168"/>
    </row>
    <row r="431" spans="1:10" ht="17">
      <c r="A431" s="168"/>
      <c r="B431" s="168"/>
      <c r="C431" s="168"/>
      <c r="G431" s="175"/>
      <c r="H431" s="175"/>
      <c r="I431" s="168"/>
      <c r="J431" s="168"/>
    </row>
    <row r="432" spans="1:10" ht="17">
      <c r="A432" s="168"/>
      <c r="B432" s="168"/>
      <c r="C432" s="168"/>
      <c r="G432" s="175"/>
      <c r="H432" s="175"/>
      <c r="I432" s="168"/>
      <c r="J432" s="168"/>
    </row>
    <row r="433" spans="1:10" ht="17">
      <c r="A433" s="168"/>
      <c r="B433" s="168"/>
      <c r="C433" s="168"/>
      <c r="G433" s="175"/>
      <c r="H433" s="175"/>
      <c r="I433" s="168"/>
      <c r="J433" s="168"/>
    </row>
    <row r="434" spans="1:10" ht="17">
      <c r="A434" s="168"/>
      <c r="B434" s="168"/>
      <c r="C434" s="168"/>
      <c r="G434" s="175"/>
      <c r="H434" s="175"/>
      <c r="I434" s="168"/>
      <c r="J434" s="168"/>
    </row>
    <row r="435" spans="1:10" ht="17">
      <c r="A435" s="168"/>
      <c r="B435" s="168"/>
      <c r="C435" s="168"/>
      <c r="G435" s="175"/>
      <c r="H435" s="175"/>
      <c r="I435" s="168"/>
      <c r="J435" s="168"/>
    </row>
    <row r="436" spans="1:10" ht="17">
      <c r="A436" s="168"/>
      <c r="B436" s="168"/>
      <c r="C436" s="168"/>
      <c r="G436" s="175"/>
      <c r="H436" s="175"/>
      <c r="I436" s="168"/>
      <c r="J436" s="168"/>
    </row>
    <row r="437" spans="1:10" ht="17">
      <c r="A437" s="168"/>
      <c r="B437" s="168"/>
      <c r="C437" s="168"/>
      <c r="G437" s="175"/>
      <c r="H437" s="175"/>
      <c r="I437" s="168"/>
      <c r="J437" s="168"/>
    </row>
    <row r="438" spans="1:10" ht="17">
      <c r="A438" s="168"/>
      <c r="B438" s="168"/>
      <c r="C438" s="168"/>
      <c r="G438" s="175"/>
      <c r="H438" s="175"/>
      <c r="I438" s="168"/>
      <c r="J438" s="168"/>
    </row>
    <row r="439" spans="1:10" ht="17">
      <c r="A439" s="168"/>
      <c r="B439" s="168"/>
      <c r="C439" s="168"/>
      <c r="G439" s="175"/>
      <c r="H439" s="175"/>
      <c r="I439" s="168"/>
      <c r="J439" s="168"/>
    </row>
    <row r="440" spans="1:10" ht="17">
      <c r="A440" s="168"/>
      <c r="B440" s="168"/>
      <c r="C440" s="168"/>
      <c r="G440" s="175"/>
      <c r="H440" s="175"/>
      <c r="I440" s="168"/>
      <c r="J440" s="168"/>
    </row>
    <row r="441" spans="1:10" ht="17">
      <c r="A441" s="168"/>
      <c r="B441" s="168"/>
      <c r="C441" s="168"/>
      <c r="G441" s="175"/>
      <c r="H441" s="175"/>
      <c r="I441" s="168"/>
      <c r="J441" s="168"/>
    </row>
    <row r="442" spans="1:10" ht="17">
      <c r="A442" s="168"/>
      <c r="B442" s="168"/>
      <c r="C442" s="168"/>
      <c r="G442" s="175"/>
      <c r="H442" s="175"/>
      <c r="I442" s="168"/>
      <c r="J442" s="168"/>
    </row>
    <row r="443" spans="1:10" ht="17">
      <c r="A443" s="168"/>
      <c r="B443" s="168"/>
      <c r="C443" s="168"/>
      <c r="G443" s="175"/>
      <c r="H443" s="175"/>
      <c r="I443" s="168"/>
      <c r="J443" s="168"/>
    </row>
    <row r="444" spans="1:10" ht="17">
      <c r="A444" s="168"/>
      <c r="B444" s="168"/>
      <c r="C444" s="168"/>
      <c r="G444" s="175"/>
      <c r="H444" s="175"/>
      <c r="I444" s="168"/>
      <c r="J444" s="168"/>
    </row>
    <row r="445" spans="1:10" ht="17">
      <c r="A445" s="168"/>
      <c r="B445" s="168"/>
      <c r="C445" s="168"/>
      <c r="G445" s="175"/>
      <c r="H445" s="175"/>
      <c r="I445" s="168"/>
      <c r="J445" s="168"/>
    </row>
    <row r="446" spans="1:10" ht="17">
      <c r="A446" s="168"/>
      <c r="B446" s="168"/>
      <c r="C446" s="168"/>
      <c r="G446" s="175"/>
      <c r="H446" s="175"/>
      <c r="I446" s="168"/>
      <c r="J446" s="168"/>
    </row>
    <row r="447" spans="1:10" ht="17">
      <c r="A447" s="168"/>
      <c r="B447" s="168"/>
      <c r="C447" s="168"/>
      <c r="G447" s="175"/>
      <c r="H447" s="175"/>
      <c r="I447" s="168"/>
      <c r="J447" s="168"/>
    </row>
    <row r="448" spans="1:10" ht="17">
      <c r="A448" s="168"/>
      <c r="B448" s="168"/>
      <c r="C448" s="168"/>
      <c r="G448" s="175"/>
      <c r="H448" s="175"/>
      <c r="I448" s="168"/>
      <c r="J448" s="168"/>
    </row>
    <row r="449" spans="1:10" ht="17">
      <c r="A449" s="168"/>
      <c r="B449" s="168"/>
      <c r="C449" s="168"/>
      <c r="G449" s="175"/>
      <c r="H449" s="175"/>
      <c r="I449" s="168"/>
      <c r="J449" s="168"/>
    </row>
    <row r="450" spans="1:10" ht="17">
      <c r="A450" s="168"/>
      <c r="B450" s="168"/>
      <c r="C450" s="168"/>
      <c r="G450" s="175"/>
      <c r="H450" s="175"/>
      <c r="I450" s="168"/>
      <c r="J450" s="168"/>
    </row>
    <row r="451" spans="1:10" ht="17">
      <c r="A451" s="168"/>
      <c r="B451" s="168"/>
      <c r="C451" s="168"/>
      <c r="G451" s="175"/>
      <c r="H451" s="175"/>
      <c r="I451" s="168"/>
      <c r="J451" s="168"/>
    </row>
    <row r="452" spans="1:10" ht="17">
      <c r="A452" s="168"/>
      <c r="B452" s="168"/>
      <c r="C452" s="168"/>
      <c r="G452" s="175"/>
      <c r="H452" s="175"/>
      <c r="I452" s="168"/>
      <c r="J452" s="168"/>
    </row>
    <row r="453" spans="1:10" ht="17">
      <c r="A453" s="168"/>
      <c r="B453" s="168"/>
      <c r="C453" s="168"/>
      <c r="G453" s="175"/>
      <c r="H453" s="175"/>
      <c r="I453" s="168"/>
      <c r="J453" s="168"/>
    </row>
    <row r="454" spans="1:10" ht="17">
      <c r="A454" s="168"/>
      <c r="B454" s="168"/>
      <c r="C454" s="168"/>
      <c r="G454" s="175"/>
      <c r="H454" s="175"/>
      <c r="I454" s="168"/>
      <c r="J454" s="168"/>
    </row>
    <row r="455" spans="1:10" ht="17">
      <c r="A455" s="168"/>
      <c r="B455" s="168"/>
      <c r="C455" s="168"/>
      <c r="G455" s="175"/>
      <c r="H455" s="175"/>
      <c r="I455" s="168"/>
      <c r="J455" s="168"/>
    </row>
    <row r="456" spans="1:10" ht="17">
      <c r="A456" s="168"/>
      <c r="B456" s="168"/>
      <c r="C456" s="168"/>
      <c r="G456" s="175"/>
      <c r="H456" s="175"/>
      <c r="I456" s="168"/>
      <c r="J456" s="168"/>
    </row>
    <row r="457" spans="1:10" ht="17">
      <c r="A457" s="168"/>
      <c r="B457" s="168"/>
      <c r="C457" s="168"/>
      <c r="G457" s="175"/>
      <c r="H457" s="175"/>
      <c r="I457" s="168"/>
      <c r="J457" s="168"/>
    </row>
    <row r="458" spans="1:10" ht="17">
      <c r="A458" s="168"/>
      <c r="B458" s="168"/>
      <c r="C458" s="168"/>
      <c r="G458" s="175"/>
      <c r="H458" s="175"/>
      <c r="I458" s="168"/>
      <c r="J458" s="168"/>
    </row>
    <row r="459" spans="1:10" ht="17">
      <c r="A459" s="168"/>
      <c r="B459" s="168"/>
      <c r="C459" s="168"/>
      <c r="G459" s="175"/>
      <c r="H459" s="175"/>
      <c r="I459" s="168"/>
      <c r="J459" s="168"/>
    </row>
    <row r="460" spans="1:10" ht="17">
      <c r="A460" s="168"/>
      <c r="B460" s="168"/>
      <c r="C460" s="168"/>
      <c r="G460" s="175"/>
      <c r="H460" s="175"/>
      <c r="I460" s="168"/>
      <c r="J460" s="168"/>
    </row>
    <row r="461" spans="1:10" ht="17">
      <c r="A461" s="168"/>
      <c r="B461" s="168"/>
      <c r="C461" s="168"/>
      <c r="G461" s="175"/>
      <c r="H461" s="175"/>
      <c r="I461" s="168"/>
      <c r="J461" s="168"/>
    </row>
    <row r="462" spans="1:10" ht="17">
      <c r="A462" s="168"/>
      <c r="B462" s="168"/>
      <c r="C462" s="168"/>
      <c r="G462" s="175"/>
      <c r="H462" s="175"/>
      <c r="I462" s="168"/>
      <c r="J462" s="168"/>
    </row>
    <row r="463" spans="1:10" ht="17">
      <c r="A463" s="168"/>
      <c r="B463" s="168"/>
      <c r="C463" s="168"/>
      <c r="G463" s="175"/>
      <c r="H463" s="175"/>
      <c r="I463" s="168"/>
      <c r="J463" s="168"/>
    </row>
    <row r="464" spans="1:10" ht="17">
      <c r="A464" s="168"/>
      <c r="B464" s="168"/>
      <c r="C464" s="168"/>
      <c r="G464" s="175"/>
      <c r="H464" s="175"/>
      <c r="I464" s="168"/>
      <c r="J464" s="168"/>
    </row>
    <row r="465" spans="1:10" ht="17">
      <c r="A465" s="168"/>
      <c r="B465" s="168"/>
      <c r="C465" s="168"/>
      <c r="G465" s="175"/>
      <c r="H465" s="175"/>
      <c r="I465" s="168"/>
      <c r="J465" s="168"/>
    </row>
    <row r="466" spans="1:10" ht="17">
      <c r="A466" s="168"/>
      <c r="B466" s="168"/>
      <c r="C466" s="168"/>
      <c r="G466" s="175"/>
      <c r="H466" s="175"/>
      <c r="I466" s="168"/>
      <c r="J466" s="168"/>
    </row>
    <row r="467" spans="1:10" ht="17">
      <c r="A467" s="168"/>
      <c r="B467" s="168"/>
      <c r="C467" s="168"/>
      <c r="G467" s="175"/>
      <c r="H467" s="175"/>
      <c r="I467" s="168"/>
      <c r="J467" s="168"/>
    </row>
    <row r="468" spans="1:10" ht="17">
      <c r="A468" s="168"/>
      <c r="B468" s="168"/>
      <c r="C468" s="168"/>
      <c r="G468" s="175"/>
      <c r="H468" s="175"/>
      <c r="I468" s="168"/>
      <c r="J468" s="168"/>
    </row>
    <row r="469" spans="1:10" ht="17">
      <c r="A469" s="168"/>
      <c r="B469" s="168"/>
      <c r="C469" s="168"/>
      <c r="G469" s="175"/>
      <c r="H469" s="175"/>
      <c r="I469" s="168"/>
      <c r="J469" s="168"/>
    </row>
    <row r="470" spans="1:10" ht="17">
      <c r="A470" s="168"/>
      <c r="B470" s="168"/>
      <c r="C470" s="168"/>
      <c r="G470" s="175"/>
      <c r="H470" s="175"/>
      <c r="I470" s="168"/>
      <c r="J470" s="168"/>
    </row>
    <row r="471" spans="1:10" ht="17">
      <c r="A471" s="168"/>
      <c r="B471" s="168"/>
      <c r="C471" s="168"/>
      <c r="G471" s="175"/>
      <c r="H471" s="175"/>
      <c r="I471" s="168"/>
      <c r="J471" s="168"/>
    </row>
    <row r="472" spans="1:10" ht="17">
      <c r="A472" s="168"/>
      <c r="B472" s="168"/>
      <c r="C472" s="168"/>
      <c r="G472" s="175"/>
      <c r="H472" s="175"/>
      <c r="I472" s="168"/>
      <c r="J472" s="168"/>
    </row>
    <row r="473" spans="1:10" ht="17">
      <c r="A473" s="168"/>
      <c r="B473" s="168"/>
      <c r="C473" s="168"/>
      <c r="G473" s="175"/>
      <c r="H473" s="175"/>
      <c r="I473" s="168"/>
      <c r="J473" s="168"/>
    </row>
    <row r="474" spans="1:10" ht="17">
      <c r="A474" s="168"/>
      <c r="B474" s="168"/>
      <c r="C474" s="168"/>
      <c r="G474" s="175"/>
      <c r="H474" s="175"/>
      <c r="I474" s="168"/>
      <c r="J474" s="168"/>
    </row>
    <row r="475" spans="1:10" ht="17">
      <c r="A475" s="168"/>
      <c r="B475" s="168"/>
      <c r="C475" s="168"/>
      <c r="G475" s="175"/>
      <c r="H475" s="175"/>
      <c r="I475" s="168"/>
      <c r="J475" s="168"/>
    </row>
    <row r="476" spans="1:10" ht="17">
      <c r="A476" s="168"/>
      <c r="B476" s="168"/>
      <c r="C476" s="168"/>
      <c r="G476" s="175"/>
      <c r="H476" s="175"/>
      <c r="I476" s="168"/>
      <c r="J476" s="168"/>
    </row>
    <row r="477" spans="1:10" ht="17">
      <c r="A477" s="168"/>
      <c r="B477" s="168"/>
      <c r="C477" s="168"/>
      <c r="G477" s="175"/>
      <c r="H477" s="175"/>
      <c r="I477" s="168"/>
      <c r="J477" s="168"/>
    </row>
    <row r="478" spans="1:10" ht="17">
      <c r="A478" s="168"/>
      <c r="B478" s="168"/>
      <c r="C478" s="168"/>
      <c r="G478" s="175"/>
      <c r="H478" s="175"/>
      <c r="I478" s="168"/>
      <c r="J478" s="168"/>
    </row>
    <row r="479" spans="1:10" ht="17">
      <c r="A479" s="168"/>
      <c r="B479" s="168"/>
      <c r="C479" s="168"/>
      <c r="G479" s="175"/>
      <c r="H479" s="175"/>
      <c r="I479" s="168"/>
      <c r="J479" s="168"/>
    </row>
    <row r="480" spans="1:10" ht="17">
      <c r="A480" s="168"/>
      <c r="B480" s="168"/>
      <c r="C480" s="168"/>
      <c r="G480" s="175"/>
      <c r="H480" s="175"/>
      <c r="I480" s="168"/>
      <c r="J480" s="168"/>
    </row>
    <row r="481" spans="1:10" ht="17">
      <c r="A481" s="168"/>
      <c r="B481" s="168"/>
      <c r="C481" s="168"/>
      <c r="G481" s="175"/>
      <c r="H481" s="175"/>
      <c r="I481" s="168"/>
      <c r="J481" s="168"/>
    </row>
    <row r="482" spans="1:10" ht="17">
      <c r="A482" s="168"/>
      <c r="B482" s="168"/>
      <c r="C482" s="168"/>
      <c r="G482" s="175"/>
      <c r="H482" s="175"/>
      <c r="I482" s="168"/>
      <c r="J482" s="168"/>
    </row>
    <row r="483" spans="1:10" ht="17">
      <c r="A483" s="168"/>
      <c r="B483" s="168"/>
      <c r="C483" s="168"/>
      <c r="G483" s="175"/>
      <c r="H483" s="175"/>
      <c r="I483" s="168"/>
      <c r="J483" s="168"/>
    </row>
    <row r="484" spans="1:10" ht="17">
      <c r="A484" s="168"/>
      <c r="B484" s="168"/>
      <c r="C484" s="168"/>
      <c r="G484" s="175"/>
      <c r="H484" s="175"/>
      <c r="I484" s="168"/>
      <c r="J484" s="168"/>
    </row>
    <row r="485" spans="1:10" ht="17">
      <c r="A485" s="168"/>
      <c r="B485" s="168"/>
      <c r="C485" s="168"/>
      <c r="G485" s="175"/>
      <c r="H485" s="175"/>
      <c r="I485" s="168"/>
      <c r="J485" s="168"/>
    </row>
    <row r="486" spans="1:10" ht="17">
      <c r="A486" s="168"/>
      <c r="B486" s="168"/>
      <c r="C486" s="168"/>
      <c r="G486" s="175"/>
      <c r="H486" s="175"/>
      <c r="I486" s="168"/>
      <c r="J486" s="168"/>
    </row>
    <row r="487" spans="1:10" ht="17">
      <c r="A487" s="168"/>
      <c r="B487" s="168"/>
      <c r="C487" s="168"/>
      <c r="G487" s="175"/>
      <c r="H487" s="175"/>
      <c r="I487" s="168"/>
      <c r="J487" s="168"/>
    </row>
    <row r="488" spans="1:10" ht="17">
      <c r="A488" s="168"/>
      <c r="B488" s="168"/>
      <c r="C488" s="168"/>
      <c r="G488" s="175"/>
      <c r="H488" s="175"/>
      <c r="I488" s="168"/>
      <c r="J488" s="168"/>
    </row>
    <row r="489" spans="1:10" ht="17">
      <c r="A489" s="168"/>
      <c r="B489" s="168"/>
      <c r="C489" s="168"/>
      <c r="G489" s="175"/>
      <c r="H489" s="175"/>
      <c r="I489" s="168"/>
      <c r="J489" s="168"/>
    </row>
    <row r="490" spans="1:10" ht="17">
      <c r="A490" s="168"/>
      <c r="B490" s="168"/>
      <c r="C490" s="168"/>
      <c r="G490" s="175"/>
      <c r="H490" s="175"/>
      <c r="I490" s="168"/>
      <c r="J490" s="168"/>
    </row>
    <row r="491" spans="1:10" ht="17">
      <c r="A491" s="168"/>
      <c r="B491" s="168"/>
      <c r="C491" s="168"/>
      <c r="G491" s="175"/>
      <c r="H491" s="175"/>
      <c r="I491" s="168"/>
      <c r="J491" s="168"/>
    </row>
    <row r="492" spans="1:10" ht="17">
      <c r="A492" s="168"/>
      <c r="B492" s="168"/>
      <c r="C492" s="168"/>
      <c r="G492" s="175"/>
      <c r="H492" s="175"/>
      <c r="I492" s="168"/>
      <c r="J492" s="168"/>
    </row>
    <row r="493" spans="1:10" ht="17">
      <c r="A493" s="168"/>
      <c r="B493" s="168"/>
      <c r="C493" s="168"/>
      <c r="G493" s="175"/>
      <c r="H493" s="175"/>
      <c r="I493" s="168"/>
      <c r="J493" s="168"/>
    </row>
    <row r="494" spans="1:10" ht="17">
      <c r="A494" s="168"/>
      <c r="B494" s="168"/>
      <c r="C494" s="168"/>
      <c r="G494" s="175"/>
      <c r="H494" s="175"/>
      <c r="I494" s="168"/>
      <c r="J494" s="168"/>
    </row>
    <row r="495" spans="1:10" ht="17">
      <c r="A495" s="168"/>
      <c r="B495" s="168"/>
      <c r="C495" s="168"/>
      <c r="G495" s="175"/>
      <c r="H495" s="175"/>
      <c r="I495" s="168"/>
      <c r="J495" s="168"/>
    </row>
    <row r="496" spans="1:10" ht="17">
      <c r="A496" s="168"/>
      <c r="B496" s="168"/>
      <c r="C496" s="168"/>
      <c r="G496" s="175"/>
      <c r="H496" s="175"/>
      <c r="I496" s="168"/>
      <c r="J496" s="168"/>
    </row>
    <row r="497" spans="1:10" ht="17">
      <c r="A497" s="168"/>
      <c r="B497" s="168"/>
      <c r="C497" s="168"/>
      <c r="G497" s="175"/>
      <c r="H497" s="175"/>
      <c r="I497" s="168"/>
      <c r="J497" s="168"/>
    </row>
    <row r="498" spans="1:10" ht="17">
      <c r="A498" s="168"/>
      <c r="B498" s="168"/>
      <c r="C498" s="168"/>
      <c r="G498" s="175"/>
      <c r="H498" s="175"/>
      <c r="I498" s="168"/>
      <c r="J498" s="168"/>
    </row>
    <row r="499" spans="1:10" ht="17">
      <c r="A499" s="168"/>
      <c r="B499" s="168"/>
      <c r="C499" s="168"/>
      <c r="G499" s="175"/>
      <c r="H499" s="175"/>
      <c r="I499" s="168"/>
      <c r="J499" s="168"/>
    </row>
    <row r="500" spans="1:10" ht="17">
      <c r="A500" s="168"/>
      <c r="B500" s="168"/>
      <c r="C500" s="168"/>
      <c r="G500" s="175"/>
      <c r="H500" s="175"/>
      <c r="I500" s="168"/>
      <c r="J500" s="168"/>
    </row>
    <row r="501" spans="1:10" ht="17">
      <c r="A501" s="168"/>
      <c r="B501" s="168"/>
      <c r="C501" s="168"/>
      <c r="G501" s="175"/>
      <c r="H501" s="175"/>
      <c r="I501" s="168"/>
      <c r="J501" s="168"/>
    </row>
    <row r="502" spans="1:10" ht="17">
      <c r="A502" s="168"/>
      <c r="B502" s="168"/>
      <c r="C502" s="168"/>
      <c r="G502" s="175"/>
      <c r="H502" s="175"/>
      <c r="I502" s="168"/>
      <c r="J502" s="168"/>
    </row>
    <row r="503" spans="1:10" ht="17">
      <c r="A503" s="168"/>
      <c r="B503" s="168"/>
      <c r="C503" s="168"/>
      <c r="G503" s="175"/>
      <c r="H503" s="175"/>
      <c r="I503" s="168"/>
      <c r="J503" s="168"/>
    </row>
    <row r="504" spans="1:10" ht="17">
      <c r="A504" s="168"/>
      <c r="B504" s="168"/>
      <c r="C504" s="168"/>
      <c r="G504" s="175"/>
      <c r="H504" s="175"/>
      <c r="I504" s="168"/>
      <c r="J504" s="168"/>
    </row>
    <row r="505" spans="1:10" ht="17">
      <c r="A505" s="168"/>
      <c r="B505" s="168"/>
      <c r="C505" s="168"/>
      <c r="G505" s="175"/>
      <c r="H505" s="175"/>
      <c r="I505" s="168"/>
      <c r="J505" s="168"/>
    </row>
    <row r="506" spans="1:10" ht="17">
      <c r="A506" s="168"/>
      <c r="B506" s="168"/>
      <c r="C506" s="168"/>
      <c r="G506" s="175"/>
      <c r="H506" s="175"/>
      <c r="I506" s="168"/>
      <c r="J506" s="168"/>
    </row>
    <row r="507" spans="1:10" ht="17">
      <c r="A507" s="168"/>
      <c r="B507" s="168"/>
      <c r="C507" s="168"/>
      <c r="G507" s="175"/>
      <c r="H507" s="175"/>
      <c r="I507" s="168"/>
      <c r="J507" s="168"/>
    </row>
    <row r="508" spans="1:10" ht="17">
      <c r="A508" s="168"/>
      <c r="B508" s="168"/>
      <c r="C508" s="168"/>
      <c r="G508" s="175"/>
      <c r="H508" s="175"/>
      <c r="I508" s="168"/>
      <c r="J508" s="168"/>
    </row>
    <row r="509" spans="1:10" ht="17">
      <c r="A509" s="168"/>
      <c r="B509" s="168"/>
      <c r="C509" s="168"/>
      <c r="G509" s="175"/>
      <c r="H509" s="175"/>
      <c r="I509" s="168"/>
      <c r="J509" s="168"/>
    </row>
    <row r="510" spans="1:10" ht="17">
      <c r="A510" s="168"/>
      <c r="B510" s="168"/>
      <c r="C510" s="168"/>
      <c r="G510" s="175"/>
      <c r="H510" s="175"/>
      <c r="I510" s="168"/>
      <c r="J510" s="168"/>
    </row>
    <row r="511" spans="1:10" ht="17">
      <c r="A511" s="168"/>
      <c r="B511" s="168"/>
      <c r="C511" s="168"/>
      <c r="G511" s="175"/>
      <c r="H511" s="175"/>
      <c r="I511" s="168"/>
      <c r="J511" s="168"/>
    </row>
    <row r="512" spans="1:10" ht="17">
      <c r="A512" s="168"/>
      <c r="B512" s="168"/>
      <c r="C512" s="168"/>
      <c r="G512" s="175"/>
      <c r="H512" s="175"/>
      <c r="I512" s="168"/>
      <c r="J512" s="168"/>
    </row>
    <row r="513" spans="1:10" ht="17">
      <c r="A513" s="168"/>
      <c r="B513" s="168"/>
      <c r="C513" s="168"/>
      <c r="G513" s="175"/>
      <c r="H513" s="175"/>
      <c r="I513" s="168"/>
      <c r="J513" s="168"/>
    </row>
    <row r="514" spans="1:10" ht="17">
      <c r="A514" s="168"/>
      <c r="B514" s="168"/>
      <c r="C514" s="168"/>
      <c r="G514" s="175"/>
      <c r="H514" s="175"/>
      <c r="I514" s="168"/>
      <c r="J514" s="168"/>
    </row>
    <row r="515" spans="1:10" ht="17">
      <c r="A515" s="168"/>
      <c r="B515" s="168"/>
      <c r="C515" s="168"/>
      <c r="G515" s="175"/>
      <c r="H515" s="175"/>
      <c r="I515" s="168"/>
      <c r="J515" s="168"/>
    </row>
    <row r="516" spans="1:10" ht="17">
      <c r="A516" s="168"/>
      <c r="B516" s="168"/>
      <c r="C516" s="168"/>
      <c r="G516" s="175"/>
      <c r="H516" s="175"/>
      <c r="I516" s="168"/>
      <c r="J516" s="168"/>
    </row>
    <row r="517" spans="1:10" ht="17">
      <c r="A517" s="168"/>
      <c r="B517" s="168"/>
      <c r="C517" s="168"/>
      <c r="G517" s="175"/>
      <c r="H517" s="175"/>
      <c r="I517" s="168"/>
      <c r="J517" s="168"/>
    </row>
    <row r="518" spans="1:10" ht="17">
      <c r="A518" s="168"/>
      <c r="B518" s="168"/>
      <c r="C518" s="168"/>
      <c r="G518" s="175"/>
      <c r="H518" s="175"/>
      <c r="I518" s="168"/>
      <c r="J518" s="168"/>
    </row>
    <row r="519" spans="1:10" ht="17">
      <c r="A519" s="168"/>
      <c r="B519" s="168"/>
      <c r="C519" s="168"/>
      <c r="G519" s="175"/>
      <c r="H519" s="175"/>
      <c r="I519" s="168"/>
      <c r="J519" s="168"/>
    </row>
    <row r="520" spans="1:10" ht="17">
      <c r="A520" s="168"/>
      <c r="B520" s="168"/>
      <c r="C520" s="168"/>
      <c r="G520" s="175"/>
      <c r="H520" s="175"/>
      <c r="I520" s="168"/>
      <c r="J520" s="168"/>
    </row>
    <row r="521" spans="1:10" ht="17">
      <c r="A521" s="168"/>
      <c r="B521" s="168"/>
      <c r="C521" s="168"/>
      <c r="G521" s="175"/>
      <c r="H521" s="175"/>
      <c r="I521" s="168"/>
      <c r="J521" s="168"/>
    </row>
    <row r="522" spans="1:10" ht="17">
      <c r="A522" s="168"/>
      <c r="B522" s="168"/>
      <c r="C522" s="168"/>
      <c r="G522" s="175"/>
      <c r="H522" s="175"/>
      <c r="I522" s="168"/>
      <c r="J522" s="168"/>
    </row>
    <row r="523" spans="1:10" ht="17">
      <c r="A523" s="168"/>
      <c r="B523" s="168"/>
      <c r="C523" s="168"/>
      <c r="G523" s="175"/>
      <c r="H523" s="175"/>
      <c r="I523" s="168"/>
      <c r="J523" s="168"/>
    </row>
    <row r="524" spans="1:10" ht="17">
      <c r="A524" s="168"/>
      <c r="B524" s="168"/>
      <c r="C524" s="168"/>
      <c r="G524" s="175"/>
      <c r="H524" s="175"/>
      <c r="I524" s="168"/>
      <c r="J524" s="168"/>
    </row>
    <row r="525" spans="1:10" ht="17">
      <c r="A525" s="168"/>
      <c r="B525" s="168"/>
      <c r="C525" s="168"/>
      <c r="G525" s="175"/>
      <c r="H525" s="175"/>
      <c r="I525" s="168"/>
      <c r="J525" s="168"/>
    </row>
    <row r="526" spans="1:10" ht="17">
      <c r="A526" s="168"/>
      <c r="B526" s="168"/>
      <c r="C526" s="168"/>
      <c r="G526" s="175"/>
      <c r="H526" s="175"/>
      <c r="I526" s="168"/>
      <c r="J526" s="168"/>
    </row>
    <row r="527" spans="1:10" ht="17">
      <c r="A527" s="168"/>
      <c r="B527" s="168"/>
      <c r="C527" s="168"/>
      <c r="G527" s="175"/>
      <c r="H527" s="175"/>
      <c r="I527" s="168"/>
      <c r="J527" s="168"/>
    </row>
    <row r="528" spans="1:10" ht="17">
      <c r="A528" s="168"/>
      <c r="B528" s="168"/>
      <c r="C528" s="168"/>
      <c r="G528" s="175"/>
      <c r="H528" s="175"/>
      <c r="I528" s="168"/>
      <c r="J528" s="168"/>
    </row>
    <row r="529" spans="1:10" ht="17">
      <c r="A529" s="168"/>
      <c r="B529" s="168"/>
      <c r="C529" s="168"/>
      <c r="G529" s="175"/>
      <c r="H529" s="175"/>
      <c r="I529" s="168"/>
      <c r="J529" s="168"/>
    </row>
    <row r="530" spans="1:10" ht="17">
      <c r="A530" s="168"/>
      <c r="B530" s="168"/>
      <c r="C530" s="168"/>
      <c r="G530" s="175"/>
      <c r="H530" s="175"/>
      <c r="I530" s="168"/>
      <c r="J530" s="168"/>
    </row>
    <row r="531" spans="1:10" ht="17">
      <c r="A531" s="168"/>
      <c r="B531" s="168"/>
      <c r="C531" s="168"/>
      <c r="G531" s="175"/>
      <c r="H531" s="175"/>
      <c r="I531" s="168"/>
      <c r="J531" s="168"/>
    </row>
    <row r="532" spans="1:10" ht="17">
      <c r="A532" s="168"/>
      <c r="B532" s="168"/>
      <c r="C532" s="168"/>
      <c r="G532" s="175"/>
      <c r="H532" s="175"/>
      <c r="I532" s="168"/>
      <c r="J532" s="168"/>
    </row>
    <row r="533" spans="1:10" ht="17">
      <c r="A533" s="168"/>
      <c r="B533" s="168"/>
      <c r="C533" s="168"/>
      <c r="G533" s="175"/>
      <c r="H533" s="175"/>
      <c r="I533" s="168"/>
      <c r="J533" s="168"/>
    </row>
    <row r="534" spans="1:10" ht="17">
      <c r="A534" s="168"/>
      <c r="B534" s="168"/>
      <c r="C534" s="168"/>
      <c r="G534" s="175"/>
      <c r="H534" s="175"/>
      <c r="I534" s="168"/>
      <c r="J534" s="168"/>
    </row>
    <row r="535" spans="1:10" ht="17">
      <c r="A535" s="168"/>
      <c r="B535" s="168"/>
      <c r="C535" s="168"/>
      <c r="G535" s="175"/>
      <c r="H535" s="175"/>
      <c r="I535" s="168"/>
      <c r="J535" s="168"/>
    </row>
    <row r="536" spans="1:10" ht="17">
      <c r="A536" s="168"/>
      <c r="B536" s="168"/>
      <c r="C536" s="168"/>
      <c r="G536" s="175"/>
      <c r="H536" s="175"/>
      <c r="I536" s="168"/>
      <c r="J536" s="168"/>
    </row>
    <row r="537" spans="1:10" ht="17">
      <c r="A537" s="168"/>
      <c r="B537" s="168"/>
      <c r="C537" s="168"/>
      <c r="G537" s="175"/>
      <c r="H537" s="175"/>
      <c r="I537" s="168"/>
      <c r="J537" s="168"/>
    </row>
    <row r="538" spans="1:10" ht="17">
      <c r="A538" s="168"/>
      <c r="B538" s="168"/>
      <c r="C538" s="168"/>
      <c r="G538" s="175"/>
      <c r="H538" s="175"/>
      <c r="I538" s="168"/>
      <c r="J538" s="168"/>
    </row>
    <row r="539" spans="1:10" ht="17">
      <c r="A539" s="168"/>
      <c r="B539" s="168"/>
      <c r="C539" s="168"/>
      <c r="G539" s="175"/>
      <c r="H539" s="175"/>
      <c r="I539" s="168"/>
      <c r="J539" s="168"/>
    </row>
    <row r="540" spans="1:10" ht="17">
      <c r="A540" s="168"/>
      <c r="B540" s="168"/>
      <c r="C540" s="168"/>
      <c r="G540" s="175"/>
      <c r="H540" s="175"/>
      <c r="I540" s="168"/>
      <c r="J540" s="168"/>
    </row>
    <row r="541" spans="1:10" ht="17">
      <c r="A541" s="168"/>
      <c r="B541" s="168"/>
      <c r="C541" s="168"/>
      <c r="G541" s="175"/>
      <c r="H541" s="175"/>
      <c r="I541" s="168"/>
      <c r="J541" s="168"/>
    </row>
    <row r="542" spans="1:10" ht="17">
      <c r="A542" s="168"/>
      <c r="B542" s="168"/>
      <c r="C542" s="168"/>
      <c r="G542" s="175"/>
      <c r="H542" s="175"/>
      <c r="I542" s="168"/>
      <c r="J542" s="168"/>
    </row>
    <row r="543" spans="1:10" ht="17">
      <c r="A543" s="168"/>
      <c r="B543" s="168"/>
      <c r="C543" s="168"/>
      <c r="G543" s="175"/>
      <c r="H543" s="175"/>
      <c r="I543" s="168"/>
      <c r="J543" s="168"/>
    </row>
    <row r="544" spans="1:10" ht="17">
      <c r="A544" s="168"/>
      <c r="B544" s="168"/>
      <c r="C544" s="168"/>
      <c r="G544" s="175"/>
      <c r="H544" s="175"/>
      <c r="I544" s="168"/>
      <c r="J544" s="168"/>
    </row>
    <row r="545" spans="1:10" ht="17">
      <c r="A545" s="168"/>
      <c r="B545" s="168"/>
      <c r="C545" s="168"/>
      <c r="G545" s="175"/>
      <c r="H545" s="175"/>
      <c r="I545" s="168"/>
      <c r="J545" s="168"/>
    </row>
    <row r="546" spans="1:10" ht="17">
      <c r="A546" s="168"/>
      <c r="B546" s="168"/>
      <c r="C546" s="168"/>
      <c r="G546" s="175"/>
      <c r="H546" s="175"/>
      <c r="I546" s="168"/>
      <c r="J546" s="168"/>
    </row>
    <row r="547" spans="1:10" ht="17">
      <c r="A547" s="168"/>
      <c r="B547" s="168"/>
      <c r="C547" s="168"/>
      <c r="G547" s="175"/>
      <c r="H547" s="175"/>
      <c r="I547" s="168"/>
      <c r="J547" s="168"/>
    </row>
    <row r="548" spans="1:10" ht="17">
      <c r="A548" s="168"/>
      <c r="B548" s="168"/>
      <c r="C548" s="168"/>
      <c r="G548" s="175"/>
      <c r="H548" s="175"/>
      <c r="I548" s="168"/>
      <c r="J548" s="168"/>
    </row>
    <row r="549" spans="1:10" ht="17">
      <c r="A549" s="168"/>
      <c r="B549" s="168"/>
      <c r="C549" s="168"/>
      <c r="G549" s="175"/>
      <c r="H549" s="175"/>
      <c r="I549" s="168"/>
      <c r="J549" s="168"/>
    </row>
    <row r="550" spans="1:10" ht="17">
      <c r="A550" s="168"/>
      <c r="B550" s="168"/>
      <c r="C550" s="168"/>
      <c r="G550" s="175"/>
      <c r="H550" s="175"/>
      <c r="I550" s="168"/>
      <c r="J550" s="168"/>
    </row>
    <row r="551" spans="1:10" ht="17">
      <c r="A551" s="168"/>
      <c r="B551" s="168"/>
      <c r="C551" s="168"/>
      <c r="G551" s="175"/>
      <c r="H551" s="175"/>
      <c r="I551" s="168"/>
      <c r="J551" s="168"/>
    </row>
    <row r="552" spans="1:10" ht="17">
      <c r="A552" s="168"/>
      <c r="B552" s="168"/>
      <c r="C552" s="168"/>
      <c r="G552" s="175"/>
      <c r="H552" s="175"/>
      <c r="I552" s="168"/>
      <c r="J552" s="168"/>
    </row>
    <row r="553" spans="1:10" ht="17">
      <c r="A553" s="168"/>
      <c r="B553" s="168"/>
      <c r="C553" s="168"/>
      <c r="G553" s="175"/>
      <c r="H553" s="175"/>
      <c r="I553" s="168"/>
      <c r="J553" s="168"/>
    </row>
    <row r="554" spans="1:10" ht="17">
      <c r="A554" s="168"/>
      <c r="B554" s="168"/>
      <c r="C554" s="168"/>
      <c r="G554" s="175"/>
      <c r="H554" s="175"/>
      <c r="I554" s="168"/>
      <c r="J554" s="168"/>
    </row>
    <row r="555" spans="1:10" ht="17">
      <c r="A555" s="168"/>
      <c r="B555" s="168"/>
      <c r="C555" s="168"/>
      <c r="G555" s="175"/>
      <c r="H555" s="175"/>
      <c r="I555" s="168"/>
      <c r="J555" s="168"/>
    </row>
    <row r="556" spans="1:10" ht="17">
      <c r="A556" s="168"/>
      <c r="B556" s="168"/>
      <c r="C556" s="168"/>
      <c r="G556" s="175"/>
      <c r="H556" s="175"/>
      <c r="I556" s="168"/>
      <c r="J556" s="168"/>
    </row>
    <row r="557" spans="1:10" ht="17">
      <c r="A557" s="168"/>
      <c r="B557" s="168"/>
      <c r="C557" s="168"/>
      <c r="G557" s="175"/>
      <c r="H557" s="175"/>
      <c r="I557" s="168"/>
      <c r="J557" s="168"/>
    </row>
    <row r="558" spans="1:10" ht="17">
      <c r="A558" s="168"/>
      <c r="B558" s="168"/>
      <c r="C558" s="168"/>
      <c r="G558" s="175"/>
      <c r="H558" s="175"/>
      <c r="I558" s="168"/>
      <c r="J558" s="168"/>
    </row>
    <row r="559" spans="1:10" ht="17">
      <c r="A559" s="168"/>
      <c r="B559" s="168"/>
      <c r="C559" s="168"/>
      <c r="G559" s="175"/>
      <c r="H559" s="175"/>
      <c r="I559" s="168"/>
      <c r="J559" s="168"/>
    </row>
    <row r="560" spans="1:10" ht="17">
      <c r="A560" s="168"/>
      <c r="B560" s="168"/>
      <c r="C560" s="168"/>
      <c r="G560" s="175"/>
      <c r="H560" s="175"/>
      <c r="I560" s="168"/>
      <c r="J560" s="168"/>
    </row>
    <row r="561" spans="1:10" ht="17">
      <c r="A561" s="168"/>
      <c r="B561" s="168"/>
      <c r="C561" s="168"/>
      <c r="G561" s="175"/>
      <c r="H561" s="175"/>
      <c r="I561" s="168"/>
      <c r="J561" s="168"/>
    </row>
    <row r="562" spans="1:10" ht="17">
      <c r="A562" s="168"/>
      <c r="B562" s="168"/>
      <c r="C562" s="168"/>
      <c r="G562" s="175"/>
      <c r="H562" s="175"/>
      <c r="I562" s="168"/>
      <c r="J562" s="168"/>
    </row>
    <row r="563" spans="1:10" ht="17">
      <c r="A563" s="168"/>
      <c r="B563" s="168"/>
      <c r="C563" s="168"/>
      <c r="G563" s="175"/>
      <c r="H563" s="175"/>
      <c r="I563" s="168"/>
      <c r="J563" s="168"/>
    </row>
    <row r="564" spans="1:10" ht="17">
      <c r="A564" s="168"/>
      <c r="B564" s="168"/>
      <c r="C564" s="168"/>
      <c r="G564" s="175"/>
      <c r="H564" s="175"/>
      <c r="I564" s="168"/>
      <c r="J564" s="168"/>
    </row>
    <row r="565" spans="1:10" ht="17">
      <c r="A565" s="168"/>
      <c r="B565" s="168"/>
      <c r="C565" s="168"/>
      <c r="G565" s="175"/>
      <c r="H565" s="175"/>
      <c r="I565" s="168"/>
      <c r="J565" s="168"/>
    </row>
    <row r="566" spans="1:10" ht="17">
      <c r="A566" s="168"/>
      <c r="B566" s="168"/>
      <c r="C566" s="168"/>
      <c r="G566" s="175"/>
      <c r="H566" s="175"/>
      <c r="I566" s="168"/>
      <c r="J566" s="168"/>
    </row>
    <row r="567" spans="1:10" ht="17">
      <c r="A567" s="168"/>
      <c r="B567" s="168"/>
      <c r="C567" s="168"/>
      <c r="G567" s="175"/>
      <c r="H567" s="175"/>
      <c r="I567" s="168"/>
      <c r="J567" s="168"/>
    </row>
    <row r="568" spans="1:10" ht="17">
      <c r="A568" s="168"/>
      <c r="B568" s="168"/>
      <c r="C568" s="168"/>
      <c r="G568" s="175"/>
      <c r="H568" s="175"/>
      <c r="I568" s="168"/>
      <c r="J568" s="168"/>
    </row>
    <row r="569" spans="1:10" ht="17">
      <c r="A569" s="168"/>
      <c r="B569" s="168"/>
      <c r="C569" s="168"/>
      <c r="G569" s="175"/>
      <c r="H569" s="175"/>
      <c r="I569" s="168"/>
      <c r="J569" s="168"/>
    </row>
    <row r="570" spans="1:10" ht="17">
      <c r="A570" s="168"/>
      <c r="B570" s="168"/>
      <c r="C570" s="168"/>
      <c r="G570" s="175"/>
      <c r="H570" s="175"/>
      <c r="I570" s="168"/>
      <c r="J570" s="168"/>
    </row>
    <row r="571" spans="1:10" ht="17">
      <c r="A571" s="168"/>
      <c r="B571" s="168"/>
      <c r="C571" s="168"/>
      <c r="G571" s="175"/>
      <c r="H571" s="175"/>
      <c r="I571" s="168"/>
      <c r="J571" s="168"/>
    </row>
    <row r="572" spans="1:10" ht="17">
      <c r="A572" s="168"/>
      <c r="B572" s="168"/>
      <c r="C572" s="168"/>
      <c r="G572" s="175"/>
      <c r="H572" s="175"/>
      <c r="I572" s="168"/>
      <c r="J572" s="168"/>
    </row>
    <row r="573" spans="1:10" ht="17">
      <c r="A573" s="168"/>
      <c r="B573" s="168"/>
      <c r="C573" s="168"/>
      <c r="G573" s="175"/>
      <c r="H573" s="175"/>
      <c r="I573" s="168"/>
      <c r="J573" s="168"/>
    </row>
    <row r="574" spans="1:10" ht="17">
      <c r="A574" s="168"/>
      <c r="B574" s="168"/>
      <c r="C574" s="168"/>
      <c r="G574" s="175"/>
      <c r="H574" s="175"/>
      <c r="I574" s="168"/>
      <c r="J574" s="168"/>
    </row>
    <row r="575" spans="1:10" ht="17">
      <c r="A575" s="168"/>
      <c r="B575" s="168"/>
      <c r="C575" s="168"/>
      <c r="G575" s="175"/>
      <c r="H575" s="175"/>
      <c r="I575" s="168"/>
      <c r="J575" s="168"/>
    </row>
    <row r="576" spans="1:10" ht="17">
      <c r="A576" s="168"/>
      <c r="B576" s="168"/>
      <c r="C576" s="168"/>
      <c r="G576" s="175"/>
      <c r="H576" s="175"/>
      <c r="I576" s="168"/>
      <c r="J576" s="168"/>
    </row>
    <row r="577" spans="1:10" ht="17">
      <c r="A577" s="168"/>
      <c r="B577" s="168"/>
      <c r="C577" s="168"/>
      <c r="G577" s="175"/>
      <c r="H577" s="175"/>
      <c r="I577" s="168"/>
      <c r="J577" s="168"/>
    </row>
    <row r="578" spans="1:10" ht="17">
      <c r="A578" s="168"/>
      <c r="B578" s="168"/>
      <c r="C578" s="168"/>
      <c r="G578" s="175"/>
      <c r="H578" s="175"/>
      <c r="I578" s="168"/>
      <c r="J578" s="168"/>
    </row>
    <row r="579" spans="1:10" ht="17">
      <c r="A579" s="168"/>
      <c r="B579" s="168"/>
      <c r="C579" s="168"/>
      <c r="G579" s="175"/>
      <c r="H579" s="175"/>
      <c r="I579" s="168"/>
      <c r="J579" s="168"/>
    </row>
    <row r="580" spans="1:10" ht="17">
      <c r="A580" s="168"/>
      <c r="B580" s="168"/>
      <c r="C580" s="168"/>
      <c r="G580" s="175"/>
      <c r="H580" s="175"/>
      <c r="I580" s="168"/>
      <c r="J580" s="168"/>
    </row>
    <row r="581" spans="1:10" ht="17">
      <c r="A581" s="168"/>
      <c r="B581" s="168"/>
      <c r="C581" s="168"/>
      <c r="G581" s="175"/>
      <c r="H581" s="175"/>
      <c r="I581" s="168"/>
      <c r="J581" s="168"/>
    </row>
    <row r="582" spans="1:10" ht="17">
      <c r="A582" s="168"/>
      <c r="B582" s="168"/>
      <c r="C582" s="168"/>
      <c r="G582" s="175"/>
      <c r="H582" s="175"/>
      <c r="I582" s="168"/>
      <c r="J582" s="168"/>
    </row>
    <row r="583" spans="1:10" ht="17">
      <c r="A583" s="168"/>
      <c r="B583" s="168"/>
      <c r="C583" s="168"/>
      <c r="G583" s="175"/>
      <c r="H583" s="175"/>
      <c r="I583" s="168"/>
      <c r="J583" s="168"/>
    </row>
    <row r="584" spans="1:10" ht="17">
      <c r="A584" s="168"/>
      <c r="B584" s="168"/>
      <c r="C584" s="168"/>
      <c r="G584" s="175"/>
      <c r="H584" s="175"/>
      <c r="I584" s="168"/>
      <c r="J584" s="168"/>
    </row>
    <row r="585" spans="1:10" ht="17">
      <c r="A585" s="168"/>
      <c r="B585" s="168"/>
      <c r="C585" s="168"/>
      <c r="G585" s="175"/>
      <c r="H585" s="175"/>
      <c r="I585" s="168"/>
      <c r="J585" s="168"/>
    </row>
    <row r="586" spans="1:10" ht="17">
      <c r="A586" s="168"/>
      <c r="B586" s="168"/>
      <c r="C586" s="168"/>
      <c r="G586" s="175"/>
      <c r="H586" s="175"/>
      <c r="I586" s="168"/>
      <c r="J586" s="168"/>
    </row>
    <row r="587" spans="1:10" ht="17">
      <c r="A587" s="168"/>
      <c r="B587" s="168"/>
      <c r="C587" s="168"/>
      <c r="G587" s="175"/>
      <c r="H587" s="175"/>
      <c r="I587" s="168"/>
      <c r="J587" s="168"/>
    </row>
    <row r="588" spans="1:10" ht="17">
      <c r="A588" s="168"/>
      <c r="B588" s="168"/>
      <c r="C588" s="168"/>
      <c r="G588" s="175"/>
      <c r="H588" s="175"/>
      <c r="I588" s="168"/>
      <c r="J588" s="168"/>
    </row>
    <row r="589" spans="1:10" ht="17">
      <c r="A589" s="168"/>
      <c r="B589" s="168"/>
      <c r="C589" s="168"/>
      <c r="G589" s="175"/>
      <c r="H589" s="175"/>
      <c r="I589" s="168"/>
      <c r="J589" s="168"/>
    </row>
    <row r="590" spans="1:10" ht="17">
      <c r="A590" s="168"/>
      <c r="B590" s="168"/>
      <c r="C590" s="168"/>
      <c r="G590" s="175"/>
      <c r="H590" s="175"/>
      <c r="I590" s="168"/>
      <c r="J590" s="168"/>
    </row>
    <row r="591" spans="1:10" ht="17">
      <c r="A591" s="168"/>
      <c r="B591" s="168"/>
      <c r="C591" s="168"/>
      <c r="G591" s="175"/>
      <c r="H591" s="175"/>
      <c r="I591" s="168"/>
      <c r="J591" s="168"/>
    </row>
    <row r="592" spans="1:10" ht="17">
      <c r="A592" s="168"/>
      <c r="B592" s="168"/>
      <c r="C592" s="168"/>
      <c r="G592" s="175"/>
      <c r="H592" s="175"/>
      <c r="I592" s="168"/>
      <c r="J592" s="168"/>
    </row>
    <row r="593" spans="1:10" ht="17">
      <c r="A593" s="168"/>
      <c r="B593" s="168"/>
      <c r="C593" s="168"/>
      <c r="G593" s="175"/>
      <c r="H593" s="175"/>
      <c r="I593" s="168"/>
      <c r="J593" s="168"/>
    </row>
    <row r="594" spans="1:10" ht="17">
      <c r="A594" s="168"/>
      <c r="B594" s="168"/>
      <c r="C594" s="168"/>
      <c r="G594" s="175"/>
      <c r="H594" s="175"/>
      <c r="I594" s="168"/>
      <c r="J594" s="168"/>
    </row>
    <row r="595" spans="1:10" ht="17">
      <c r="A595" s="168"/>
      <c r="B595" s="168"/>
      <c r="C595" s="168"/>
      <c r="G595" s="175"/>
      <c r="H595" s="175"/>
      <c r="I595" s="168"/>
      <c r="J595" s="168"/>
    </row>
    <row r="596" spans="1:10" ht="17">
      <c r="A596" s="168"/>
      <c r="B596" s="168"/>
      <c r="C596" s="168"/>
      <c r="G596" s="175"/>
      <c r="H596" s="175"/>
      <c r="I596" s="168"/>
      <c r="J596" s="168"/>
    </row>
    <row r="597" spans="1:10" ht="17">
      <c r="A597" s="168"/>
      <c r="B597" s="168"/>
      <c r="C597" s="168"/>
      <c r="G597" s="175"/>
      <c r="H597" s="175"/>
      <c r="I597" s="168"/>
      <c r="J597" s="168"/>
    </row>
    <row r="598" spans="1:10" ht="17">
      <c r="A598" s="168"/>
      <c r="B598" s="168"/>
      <c r="C598" s="168"/>
      <c r="G598" s="175"/>
      <c r="H598" s="175"/>
      <c r="I598" s="168"/>
      <c r="J598" s="168"/>
    </row>
    <row r="599" spans="1:10" ht="17">
      <c r="A599" s="168"/>
      <c r="B599" s="168"/>
      <c r="C599" s="168"/>
      <c r="G599" s="175"/>
      <c r="H599" s="175"/>
      <c r="I599" s="168"/>
      <c r="J599" s="168"/>
    </row>
    <row r="600" spans="1:10" ht="17">
      <c r="A600" s="168"/>
      <c r="B600" s="168"/>
      <c r="C600" s="168"/>
      <c r="G600" s="175"/>
      <c r="H600" s="175"/>
      <c r="I600" s="168"/>
      <c r="J600" s="168"/>
    </row>
    <row r="601" spans="1:10" ht="17">
      <c r="A601" s="168"/>
      <c r="B601" s="168"/>
      <c r="C601" s="168"/>
      <c r="G601" s="175"/>
      <c r="H601" s="175"/>
      <c r="I601" s="168"/>
      <c r="J601" s="168"/>
    </row>
    <row r="602" spans="1:10" ht="17">
      <c r="A602" s="168"/>
      <c r="B602" s="168"/>
      <c r="C602" s="168"/>
      <c r="G602" s="175"/>
      <c r="H602" s="175"/>
      <c r="I602" s="168"/>
      <c r="J602" s="168"/>
    </row>
    <row r="603" spans="1:10" ht="17">
      <c r="A603" s="168"/>
      <c r="B603" s="168"/>
      <c r="C603" s="168"/>
      <c r="G603" s="175"/>
      <c r="H603" s="175"/>
      <c r="I603" s="168"/>
      <c r="J603" s="168"/>
    </row>
    <row r="604" spans="1:10" ht="17">
      <c r="A604" s="168"/>
      <c r="B604" s="168"/>
      <c r="C604" s="168"/>
      <c r="G604" s="175"/>
      <c r="H604" s="175"/>
      <c r="I604" s="168"/>
      <c r="J604" s="168"/>
    </row>
    <row r="605" spans="1:10" ht="17">
      <c r="A605" s="168"/>
      <c r="B605" s="168"/>
      <c r="C605" s="168"/>
      <c r="G605" s="175"/>
      <c r="H605" s="175"/>
      <c r="I605" s="168"/>
      <c r="J605" s="168"/>
    </row>
    <row r="606" spans="1:10" ht="17">
      <c r="A606" s="168"/>
      <c r="B606" s="168"/>
      <c r="C606" s="168"/>
      <c r="G606" s="175"/>
      <c r="H606" s="175"/>
      <c r="I606" s="168"/>
      <c r="J606" s="168"/>
    </row>
    <row r="607" spans="1:10" ht="17">
      <c r="A607" s="168"/>
      <c r="B607" s="168"/>
      <c r="C607" s="168"/>
      <c r="G607" s="175"/>
      <c r="H607" s="175"/>
      <c r="I607" s="168"/>
      <c r="J607" s="168"/>
    </row>
    <row r="608" spans="1:10" ht="17">
      <c r="A608" s="168"/>
      <c r="B608" s="168"/>
      <c r="C608" s="168"/>
      <c r="G608" s="175"/>
      <c r="H608" s="175"/>
      <c r="I608" s="168"/>
      <c r="J608" s="168"/>
    </row>
    <row r="609" spans="1:10" ht="17">
      <c r="A609" s="168"/>
      <c r="B609" s="168"/>
      <c r="C609" s="168"/>
      <c r="G609" s="175"/>
      <c r="H609" s="175"/>
      <c r="I609" s="168"/>
      <c r="J609" s="168"/>
    </row>
    <row r="610" spans="1:10" ht="17">
      <c r="A610" s="168"/>
      <c r="B610" s="168"/>
      <c r="C610" s="168"/>
      <c r="G610" s="175"/>
      <c r="H610" s="175"/>
      <c r="I610" s="168"/>
      <c r="J610" s="168"/>
    </row>
    <row r="611" spans="1:10" ht="17">
      <c r="A611" s="168"/>
      <c r="B611" s="168"/>
      <c r="C611" s="168"/>
      <c r="G611" s="175"/>
      <c r="H611" s="175"/>
      <c r="I611" s="168"/>
      <c r="J611" s="168"/>
    </row>
    <row r="612" spans="1:10" ht="17">
      <c r="A612" s="168"/>
      <c r="B612" s="168"/>
      <c r="C612" s="168"/>
      <c r="G612" s="175"/>
      <c r="H612" s="175"/>
      <c r="I612" s="168"/>
      <c r="J612" s="168"/>
    </row>
    <row r="613" spans="1:10" ht="17">
      <c r="A613" s="168"/>
      <c r="B613" s="168"/>
      <c r="C613" s="168"/>
      <c r="G613" s="175"/>
      <c r="H613" s="175"/>
      <c r="I613" s="168"/>
      <c r="J613" s="168"/>
    </row>
    <row r="614" spans="1:10" ht="17">
      <c r="A614" s="168"/>
      <c r="B614" s="168"/>
      <c r="C614" s="168"/>
      <c r="G614" s="175"/>
      <c r="H614" s="175"/>
      <c r="I614" s="168"/>
      <c r="J614" s="168"/>
    </row>
    <row r="615" spans="1:10" ht="17">
      <c r="A615" s="168"/>
      <c r="B615" s="168"/>
      <c r="C615" s="168"/>
      <c r="G615" s="175"/>
      <c r="H615" s="175"/>
      <c r="I615" s="168"/>
      <c r="J615" s="168"/>
    </row>
    <row r="616" spans="1:10" ht="17">
      <c r="A616" s="168"/>
      <c r="B616" s="168"/>
      <c r="C616" s="168"/>
      <c r="G616" s="175"/>
      <c r="H616" s="175"/>
      <c r="I616" s="168"/>
      <c r="J616" s="168"/>
    </row>
    <row r="617" spans="1:10" ht="17">
      <c r="A617" s="168"/>
      <c r="B617" s="168"/>
      <c r="C617" s="168"/>
      <c r="G617" s="175"/>
      <c r="H617" s="175"/>
      <c r="I617" s="168"/>
      <c r="J617" s="168"/>
    </row>
    <row r="618" spans="1:10" ht="17">
      <c r="A618" s="168"/>
      <c r="B618" s="168"/>
      <c r="C618" s="168"/>
      <c r="G618" s="175"/>
      <c r="H618" s="175"/>
      <c r="I618" s="168"/>
      <c r="J618" s="168"/>
    </row>
    <row r="619" spans="1:10" ht="17">
      <c r="A619" s="168"/>
      <c r="B619" s="168"/>
      <c r="C619" s="168"/>
      <c r="G619" s="175"/>
      <c r="H619" s="175"/>
      <c r="I619" s="168"/>
      <c r="J619" s="168"/>
    </row>
    <row r="620" spans="1:10" ht="17">
      <c r="A620" s="168"/>
      <c r="B620" s="168"/>
      <c r="C620" s="168"/>
      <c r="G620" s="175"/>
      <c r="H620" s="175"/>
      <c r="I620" s="168"/>
      <c r="J620" s="168"/>
    </row>
    <row r="621" spans="1:10" ht="17">
      <c r="A621" s="168"/>
      <c r="B621" s="168"/>
      <c r="C621" s="168"/>
      <c r="G621" s="175"/>
      <c r="H621" s="175"/>
      <c r="I621" s="168"/>
      <c r="J621" s="168"/>
    </row>
    <row r="622" spans="1:10" ht="17">
      <c r="A622" s="168"/>
      <c r="B622" s="168"/>
      <c r="C622" s="168"/>
      <c r="G622" s="175"/>
      <c r="H622" s="175"/>
      <c r="I622" s="168"/>
      <c r="J622" s="168"/>
    </row>
    <row r="623" spans="1:10" ht="17">
      <c r="A623" s="168"/>
      <c r="B623" s="168"/>
      <c r="C623" s="168"/>
      <c r="G623" s="175"/>
      <c r="H623" s="175"/>
      <c r="I623" s="168"/>
      <c r="J623" s="168"/>
    </row>
    <row r="624" spans="1:10" ht="17">
      <c r="A624" s="168"/>
      <c r="B624" s="168"/>
      <c r="C624" s="168"/>
      <c r="G624" s="175"/>
      <c r="H624" s="175"/>
      <c r="I624" s="168"/>
      <c r="J624" s="168"/>
    </row>
    <row r="625" spans="1:10" ht="17">
      <c r="A625" s="168"/>
      <c r="B625" s="168"/>
      <c r="C625" s="168"/>
      <c r="G625" s="175"/>
      <c r="H625" s="175"/>
      <c r="I625" s="168"/>
      <c r="J625" s="168"/>
    </row>
    <row r="626" spans="1:10" ht="17">
      <c r="A626" s="168"/>
      <c r="B626" s="168"/>
      <c r="C626" s="168"/>
      <c r="G626" s="175"/>
      <c r="H626" s="175"/>
      <c r="I626" s="168"/>
      <c r="J626" s="168"/>
    </row>
    <row r="627" spans="1:10" ht="17">
      <c r="A627" s="168"/>
      <c r="B627" s="168"/>
      <c r="C627" s="168"/>
      <c r="G627" s="175"/>
      <c r="H627" s="175"/>
      <c r="I627" s="168"/>
      <c r="J627" s="168"/>
    </row>
    <row r="628" spans="1:10" ht="17">
      <c r="A628" s="168"/>
      <c r="B628" s="168"/>
      <c r="C628" s="168"/>
      <c r="G628" s="175"/>
      <c r="H628" s="175"/>
      <c r="I628" s="168"/>
      <c r="J628" s="168"/>
    </row>
    <row r="629" spans="1:10" ht="17">
      <c r="A629" s="168"/>
      <c r="B629" s="168"/>
      <c r="C629" s="168"/>
      <c r="G629" s="175"/>
      <c r="H629" s="175"/>
      <c r="I629" s="168"/>
      <c r="J629" s="168"/>
    </row>
    <row r="630" spans="1:10" ht="17">
      <c r="A630" s="168"/>
      <c r="B630" s="168"/>
      <c r="C630" s="168"/>
      <c r="G630" s="175"/>
      <c r="H630" s="175"/>
      <c r="I630" s="168"/>
      <c r="J630" s="168"/>
    </row>
    <row r="631" spans="1:10" ht="17">
      <c r="A631" s="168"/>
      <c r="B631" s="168"/>
      <c r="C631" s="168"/>
      <c r="G631" s="175"/>
      <c r="H631" s="175"/>
      <c r="I631" s="168"/>
      <c r="J631" s="168"/>
    </row>
    <row r="632" spans="1:10" ht="17">
      <c r="A632" s="168"/>
      <c r="B632" s="168"/>
      <c r="C632" s="168"/>
      <c r="G632" s="175"/>
      <c r="H632" s="175"/>
      <c r="I632" s="168"/>
      <c r="J632" s="168"/>
    </row>
    <row r="633" spans="1:10" ht="17">
      <c r="A633" s="168"/>
      <c r="B633" s="168"/>
      <c r="C633" s="168"/>
      <c r="G633" s="175"/>
      <c r="H633" s="175"/>
      <c r="I633" s="168"/>
      <c r="J633" s="168"/>
    </row>
    <row r="634" spans="1:10" ht="17">
      <c r="A634" s="168"/>
      <c r="B634" s="168"/>
      <c r="C634" s="168"/>
      <c r="G634" s="175"/>
      <c r="H634" s="175"/>
      <c r="I634" s="168"/>
      <c r="J634" s="168"/>
    </row>
    <row r="635" spans="1:10" ht="17">
      <c r="A635" s="168"/>
      <c r="B635" s="168"/>
      <c r="C635" s="168"/>
      <c r="G635" s="175"/>
      <c r="H635" s="175"/>
      <c r="I635" s="168"/>
      <c r="J635" s="168"/>
    </row>
    <row r="636" spans="1:10" ht="17">
      <c r="A636" s="168"/>
      <c r="B636" s="168"/>
      <c r="C636" s="168"/>
      <c r="G636" s="175"/>
      <c r="H636" s="175"/>
      <c r="I636" s="168"/>
      <c r="J636" s="168"/>
    </row>
    <row r="637" spans="1:10" ht="17">
      <c r="A637" s="168"/>
      <c r="B637" s="168"/>
      <c r="C637" s="168"/>
      <c r="G637" s="175"/>
      <c r="H637" s="175"/>
      <c r="I637" s="168"/>
      <c r="J637" s="168"/>
    </row>
    <row r="638" spans="1:10" ht="17">
      <c r="A638" s="168"/>
      <c r="B638" s="168"/>
      <c r="C638" s="168"/>
      <c r="G638" s="175"/>
      <c r="H638" s="175"/>
      <c r="I638" s="168"/>
      <c r="J638" s="168"/>
    </row>
    <row r="639" spans="1:10" ht="17">
      <c r="A639" s="168"/>
      <c r="B639" s="168"/>
      <c r="C639" s="168"/>
      <c r="G639" s="175"/>
      <c r="H639" s="175"/>
      <c r="I639" s="168"/>
      <c r="J639" s="168"/>
    </row>
    <row r="640" spans="1:10" ht="17">
      <c r="A640" s="168"/>
      <c r="B640" s="168"/>
      <c r="C640" s="168"/>
      <c r="G640" s="175"/>
      <c r="H640" s="175"/>
      <c r="I640" s="168"/>
      <c r="J640" s="168"/>
    </row>
    <row r="641" spans="1:10" ht="17">
      <c r="A641" s="168"/>
      <c r="B641" s="168"/>
      <c r="C641" s="168"/>
      <c r="G641" s="175"/>
      <c r="H641" s="175"/>
      <c r="I641" s="168"/>
      <c r="J641" s="168"/>
    </row>
    <row r="642" spans="1:10" ht="17">
      <c r="A642" s="168"/>
      <c r="B642" s="168"/>
      <c r="C642" s="168"/>
      <c r="G642" s="175"/>
      <c r="H642" s="175"/>
      <c r="I642" s="168"/>
      <c r="J642" s="168"/>
    </row>
    <row r="643" spans="1:10" ht="17">
      <c r="A643" s="168"/>
      <c r="B643" s="168"/>
      <c r="C643" s="168"/>
      <c r="G643" s="175"/>
      <c r="H643" s="175"/>
      <c r="I643" s="168"/>
      <c r="J643" s="168"/>
    </row>
    <row r="644" spans="1:10" ht="17">
      <c r="A644" s="168"/>
      <c r="B644" s="168"/>
      <c r="C644" s="168"/>
      <c r="G644" s="175"/>
      <c r="H644" s="175"/>
      <c r="I644" s="168"/>
      <c r="J644" s="168"/>
    </row>
    <row r="645" spans="1:10" ht="17">
      <c r="A645" s="168"/>
      <c r="B645" s="168"/>
      <c r="C645" s="168"/>
      <c r="G645" s="175"/>
      <c r="H645" s="175"/>
      <c r="I645" s="168"/>
      <c r="J645" s="168"/>
    </row>
    <row r="646" spans="1:10" ht="17">
      <c r="A646" s="168"/>
      <c r="B646" s="168"/>
      <c r="C646" s="168"/>
      <c r="G646" s="175"/>
      <c r="H646" s="175"/>
      <c r="I646" s="168"/>
      <c r="J646" s="168"/>
    </row>
    <row r="647" spans="1:10" ht="17">
      <c r="A647" s="168"/>
      <c r="B647" s="168"/>
      <c r="C647" s="168"/>
      <c r="G647" s="175"/>
      <c r="H647" s="175"/>
      <c r="I647" s="168"/>
      <c r="J647" s="168"/>
    </row>
    <row r="648" spans="1:10" ht="17">
      <c r="A648" s="168"/>
      <c r="B648" s="168"/>
      <c r="C648" s="168"/>
      <c r="G648" s="175"/>
      <c r="H648" s="175"/>
      <c r="I648" s="168"/>
      <c r="J648" s="168"/>
    </row>
    <row r="649" spans="1:10" ht="17">
      <c r="A649" s="168"/>
      <c r="B649" s="168"/>
      <c r="C649" s="168"/>
      <c r="G649" s="175"/>
      <c r="H649" s="175"/>
      <c r="I649" s="168"/>
      <c r="J649" s="168"/>
    </row>
    <row r="650" spans="1:10" ht="17">
      <c r="A650" s="168"/>
      <c r="B650" s="168"/>
      <c r="C650" s="168"/>
      <c r="G650" s="175"/>
      <c r="H650" s="175"/>
      <c r="I650" s="168"/>
      <c r="J650" s="168"/>
    </row>
    <row r="651" spans="1:10" ht="17">
      <c r="A651" s="168"/>
      <c r="B651" s="168"/>
      <c r="C651" s="168"/>
      <c r="G651" s="175"/>
      <c r="H651" s="175"/>
      <c r="I651" s="168"/>
      <c r="J651" s="168"/>
    </row>
    <row r="652" spans="1:10" ht="17">
      <c r="A652" s="168"/>
      <c r="B652" s="168"/>
      <c r="C652" s="168"/>
      <c r="G652" s="175"/>
      <c r="H652" s="175"/>
      <c r="I652" s="168"/>
      <c r="J652" s="168"/>
    </row>
    <row r="653" spans="1:10" ht="17">
      <c r="A653" s="168"/>
      <c r="B653" s="168"/>
      <c r="C653" s="168"/>
      <c r="G653" s="175"/>
      <c r="H653" s="175"/>
      <c r="I653" s="168"/>
      <c r="J653" s="168"/>
    </row>
    <row r="654" spans="1:10" ht="17">
      <c r="A654" s="168"/>
      <c r="B654" s="168"/>
      <c r="C654" s="168"/>
      <c r="G654" s="175"/>
      <c r="H654" s="175"/>
      <c r="I654" s="168"/>
      <c r="J654" s="168"/>
    </row>
    <row r="655" spans="1:10" ht="17">
      <c r="A655" s="168"/>
      <c r="B655" s="168"/>
      <c r="C655" s="168"/>
      <c r="G655" s="175"/>
      <c r="H655" s="175"/>
      <c r="I655" s="168"/>
      <c r="J655" s="168"/>
    </row>
    <row r="656" spans="1:10" ht="17">
      <c r="A656" s="168"/>
      <c r="B656" s="168"/>
      <c r="C656" s="168"/>
      <c r="G656" s="175"/>
      <c r="H656" s="175"/>
      <c r="I656" s="168"/>
      <c r="J656" s="168"/>
    </row>
    <row r="657" spans="1:10" ht="17">
      <c r="A657" s="168"/>
      <c r="B657" s="168"/>
      <c r="C657" s="168"/>
      <c r="G657" s="175"/>
      <c r="H657" s="175"/>
      <c r="I657" s="168"/>
      <c r="J657" s="168"/>
    </row>
    <row r="658" spans="1:10" ht="17">
      <c r="A658" s="168"/>
      <c r="B658" s="168"/>
      <c r="C658" s="168"/>
      <c r="G658" s="175"/>
      <c r="H658" s="175"/>
      <c r="I658" s="168"/>
      <c r="J658" s="168"/>
    </row>
    <row r="659" spans="1:10" ht="17">
      <c r="A659" s="168"/>
      <c r="B659" s="168"/>
      <c r="C659" s="168"/>
      <c r="G659" s="175"/>
      <c r="H659" s="175"/>
      <c r="I659" s="168"/>
      <c r="J659" s="168"/>
    </row>
    <row r="660" spans="1:10" ht="17">
      <c r="A660" s="168"/>
      <c r="B660" s="168"/>
      <c r="C660" s="168"/>
      <c r="G660" s="175"/>
      <c r="H660" s="175"/>
      <c r="I660" s="168"/>
      <c r="J660" s="168"/>
    </row>
    <row r="661" spans="1:10" ht="17">
      <c r="A661" s="168"/>
      <c r="B661" s="168"/>
      <c r="C661" s="168"/>
      <c r="G661" s="175"/>
      <c r="H661" s="175"/>
      <c r="I661" s="168"/>
      <c r="J661" s="168"/>
    </row>
    <row r="662" spans="1:10" ht="17">
      <c r="A662" s="168"/>
      <c r="B662" s="168"/>
      <c r="C662" s="168"/>
      <c r="G662" s="175"/>
      <c r="H662" s="175"/>
      <c r="I662" s="168"/>
      <c r="J662" s="168"/>
    </row>
    <row r="663" spans="1:10" ht="17">
      <c r="A663" s="168"/>
      <c r="B663" s="168"/>
      <c r="C663" s="168"/>
      <c r="G663" s="175"/>
      <c r="H663" s="175"/>
      <c r="I663" s="168"/>
      <c r="J663" s="168"/>
    </row>
    <row r="664" spans="1:10" ht="17">
      <c r="A664" s="168"/>
      <c r="B664" s="168"/>
      <c r="C664" s="168"/>
      <c r="G664" s="175"/>
      <c r="H664" s="175"/>
      <c r="I664" s="168"/>
      <c r="J664" s="168"/>
    </row>
    <row r="665" spans="1:10" ht="17">
      <c r="A665" s="168"/>
      <c r="B665" s="168"/>
      <c r="C665" s="168"/>
      <c r="G665" s="175"/>
      <c r="H665" s="175"/>
      <c r="I665" s="168"/>
      <c r="J665" s="168"/>
    </row>
    <row r="666" spans="1:10" ht="17">
      <c r="A666" s="168"/>
      <c r="B666" s="168"/>
      <c r="C666" s="168"/>
      <c r="G666" s="175"/>
      <c r="H666" s="175"/>
      <c r="I666" s="168"/>
      <c r="J666" s="168"/>
    </row>
    <row r="667" spans="1:10" ht="17">
      <c r="A667" s="168"/>
      <c r="B667" s="168"/>
      <c r="C667" s="168"/>
      <c r="G667" s="175"/>
      <c r="H667" s="175"/>
      <c r="I667" s="168"/>
      <c r="J667" s="168"/>
    </row>
    <row r="668" spans="1:10" ht="17">
      <c r="A668" s="168"/>
      <c r="B668" s="168"/>
      <c r="C668" s="168"/>
      <c r="G668" s="175"/>
      <c r="H668" s="175"/>
      <c r="I668" s="168"/>
      <c r="J668" s="168"/>
    </row>
    <row r="669" spans="1:10" ht="17">
      <c r="A669" s="168"/>
      <c r="B669" s="168"/>
      <c r="C669" s="168"/>
      <c r="G669" s="175"/>
      <c r="H669" s="175"/>
      <c r="I669" s="168"/>
      <c r="J669" s="168"/>
    </row>
    <row r="670" spans="1:10" ht="17">
      <c r="A670" s="168"/>
      <c r="B670" s="168"/>
      <c r="C670" s="168"/>
      <c r="G670" s="175"/>
      <c r="H670" s="175"/>
      <c r="I670" s="168"/>
      <c r="J670" s="168"/>
    </row>
    <row r="671" spans="1:10" ht="17">
      <c r="A671" s="168"/>
      <c r="B671" s="168"/>
      <c r="C671" s="168"/>
      <c r="G671" s="175"/>
      <c r="H671" s="175"/>
      <c r="I671" s="168"/>
      <c r="J671" s="168"/>
    </row>
    <row r="672" spans="1:10" ht="17">
      <c r="A672" s="168"/>
      <c r="B672" s="168"/>
      <c r="C672" s="168"/>
      <c r="G672" s="175"/>
      <c r="H672" s="175"/>
      <c r="I672" s="168"/>
      <c r="J672" s="168"/>
    </row>
    <row r="673" spans="1:10" ht="17">
      <c r="A673" s="168"/>
      <c r="B673" s="168"/>
      <c r="C673" s="168"/>
      <c r="G673" s="175"/>
      <c r="H673" s="175"/>
      <c r="I673" s="168"/>
      <c r="J673" s="168"/>
    </row>
    <row r="674" spans="1:10" ht="17">
      <c r="A674" s="168"/>
      <c r="B674" s="168"/>
      <c r="C674" s="168"/>
      <c r="G674" s="175"/>
      <c r="H674" s="175"/>
      <c r="I674" s="168"/>
      <c r="J674" s="168"/>
    </row>
    <row r="675" spans="1:10" ht="17">
      <c r="A675" s="168"/>
      <c r="B675" s="168"/>
      <c r="C675" s="168"/>
      <c r="G675" s="175"/>
      <c r="H675" s="175"/>
      <c r="I675" s="168"/>
      <c r="J675" s="168"/>
    </row>
    <row r="676" spans="1:10" ht="17">
      <c r="A676" s="168"/>
      <c r="B676" s="168"/>
      <c r="C676" s="168"/>
      <c r="G676" s="175"/>
      <c r="H676" s="175"/>
      <c r="I676" s="168"/>
      <c r="J676" s="168"/>
    </row>
    <row r="677" spans="1:10" ht="17">
      <c r="A677" s="168"/>
      <c r="B677" s="168"/>
      <c r="C677" s="168"/>
      <c r="G677" s="175"/>
      <c r="H677" s="175"/>
      <c r="I677" s="168"/>
      <c r="J677" s="168"/>
    </row>
    <row r="678" spans="1:10" ht="17">
      <c r="A678" s="168"/>
      <c r="B678" s="168"/>
      <c r="C678" s="168"/>
      <c r="G678" s="175"/>
      <c r="H678" s="175"/>
      <c r="I678" s="168"/>
      <c r="J678" s="168"/>
    </row>
    <row r="679" spans="1:10" ht="17">
      <c r="A679" s="168"/>
      <c r="B679" s="168"/>
      <c r="C679" s="168"/>
      <c r="G679" s="175"/>
      <c r="H679" s="175"/>
      <c r="I679" s="168"/>
      <c r="J679" s="168"/>
    </row>
    <row r="680" spans="1:10" ht="17">
      <c r="A680" s="168"/>
      <c r="B680" s="168"/>
      <c r="C680" s="168"/>
      <c r="G680" s="175"/>
      <c r="H680" s="175"/>
      <c r="I680" s="168"/>
      <c r="J680" s="168"/>
    </row>
    <row r="681" spans="1:10" ht="17">
      <c r="A681" s="168"/>
      <c r="B681" s="168"/>
      <c r="C681" s="168"/>
      <c r="G681" s="175"/>
      <c r="H681" s="175"/>
      <c r="I681" s="168"/>
      <c r="J681" s="168"/>
    </row>
    <row r="682" spans="1:10" ht="17">
      <c r="A682" s="168"/>
      <c r="B682" s="168"/>
      <c r="C682" s="168"/>
      <c r="G682" s="175"/>
      <c r="H682" s="175"/>
      <c r="I682" s="168"/>
      <c r="J682" s="168"/>
    </row>
    <row r="683" spans="1:10" ht="17">
      <c r="A683" s="168"/>
      <c r="B683" s="168"/>
      <c r="C683" s="168"/>
      <c r="G683" s="175"/>
      <c r="H683" s="175"/>
      <c r="I683" s="168"/>
      <c r="J683" s="168"/>
    </row>
    <row r="684" spans="1:10" ht="17">
      <c r="A684" s="168"/>
      <c r="B684" s="168"/>
      <c r="C684" s="168"/>
      <c r="G684" s="175"/>
      <c r="H684" s="175"/>
      <c r="I684" s="168"/>
      <c r="J684" s="168"/>
    </row>
    <row r="685" spans="1:10" ht="17">
      <c r="A685" s="168"/>
      <c r="B685" s="168"/>
      <c r="C685" s="168"/>
      <c r="G685" s="175"/>
      <c r="H685" s="175"/>
      <c r="I685" s="168"/>
      <c r="J685" s="168"/>
    </row>
    <row r="686" spans="1:10" ht="17">
      <c r="A686" s="168"/>
      <c r="B686" s="168"/>
      <c r="C686" s="168"/>
      <c r="G686" s="175"/>
      <c r="H686" s="175"/>
      <c r="I686" s="168"/>
      <c r="J686" s="168"/>
    </row>
    <row r="687" spans="1:10" ht="17">
      <c r="A687" s="168"/>
      <c r="B687" s="168"/>
      <c r="C687" s="168"/>
      <c r="G687" s="175"/>
      <c r="H687" s="175"/>
      <c r="I687" s="168"/>
      <c r="J687" s="168"/>
    </row>
    <row r="688" spans="1:10" ht="17">
      <c r="A688" s="168"/>
      <c r="B688" s="168"/>
      <c r="C688" s="168"/>
      <c r="G688" s="175"/>
      <c r="H688" s="175"/>
      <c r="I688" s="168"/>
      <c r="J688" s="168"/>
    </row>
    <row r="689" spans="1:10" ht="17">
      <c r="A689" s="168"/>
      <c r="B689" s="168"/>
      <c r="C689" s="168"/>
      <c r="G689" s="175"/>
      <c r="H689" s="175"/>
      <c r="I689" s="168"/>
      <c r="J689" s="168"/>
    </row>
    <row r="690" spans="1:10" ht="17">
      <c r="A690" s="168"/>
      <c r="B690" s="168"/>
      <c r="C690" s="168"/>
      <c r="G690" s="175"/>
      <c r="H690" s="175"/>
      <c r="I690" s="168"/>
      <c r="J690" s="168"/>
    </row>
    <row r="691" spans="1:10" ht="17">
      <c r="A691" s="168"/>
      <c r="B691" s="168"/>
      <c r="C691" s="168"/>
      <c r="G691" s="175"/>
      <c r="H691" s="175"/>
      <c r="I691" s="168"/>
      <c r="J691" s="168"/>
    </row>
    <row r="692" spans="1:10" ht="17">
      <c r="A692" s="168"/>
      <c r="B692" s="168"/>
      <c r="C692" s="168"/>
      <c r="G692" s="175"/>
      <c r="H692" s="175"/>
      <c r="I692" s="168"/>
      <c r="J692" s="168"/>
    </row>
    <row r="693" spans="1:10" ht="17">
      <c r="A693" s="168"/>
      <c r="B693" s="168"/>
      <c r="C693" s="168"/>
      <c r="G693" s="175"/>
      <c r="H693" s="175"/>
      <c r="I693" s="168"/>
      <c r="J693" s="168"/>
    </row>
    <row r="694" spans="1:10" ht="17">
      <c r="A694" s="168"/>
      <c r="B694" s="168"/>
      <c r="C694" s="168"/>
      <c r="G694" s="175"/>
      <c r="H694" s="175"/>
      <c r="I694" s="168"/>
      <c r="J694" s="168"/>
    </row>
    <row r="695" spans="1:10" ht="17">
      <c r="A695" s="168"/>
      <c r="B695" s="168"/>
      <c r="C695" s="168"/>
      <c r="G695" s="175"/>
      <c r="H695" s="175"/>
      <c r="I695" s="168"/>
      <c r="J695" s="168"/>
    </row>
    <row r="696" spans="1:10" ht="17">
      <c r="A696" s="168"/>
      <c r="B696" s="168"/>
      <c r="C696" s="168"/>
      <c r="G696" s="175"/>
      <c r="H696" s="175"/>
      <c r="I696" s="168"/>
      <c r="J696" s="168"/>
    </row>
    <row r="697" spans="1:10" ht="17">
      <c r="A697" s="168"/>
      <c r="B697" s="168"/>
      <c r="C697" s="168"/>
      <c r="G697" s="175"/>
      <c r="H697" s="175"/>
      <c r="I697" s="168"/>
      <c r="J697" s="168"/>
    </row>
    <row r="698" spans="1:10" ht="17">
      <c r="A698" s="168"/>
      <c r="B698" s="168"/>
      <c r="C698" s="168"/>
      <c r="G698" s="175"/>
      <c r="H698" s="175"/>
      <c r="I698" s="168"/>
      <c r="J698" s="168"/>
    </row>
    <row r="699" spans="1:10" ht="17">
      <c r="A699" s="168"/>
      <c r="B699" s="168"/>
      <c r="C699" s="168"/>
      <c r="G699" s="175"/>
      <c r="H699" s="175"/>
      <c r="I699" s="168"/>
      <c r="J699" s="168"/>
    </row>
    <row r="700" spans="1:10" ht="17">
      <c r="A700" s="168"/>
      <c r="B700" s="168"/>
      <c r="C700" s="168"/>
      <c r="G700" s="175"/>
      <c r="H700" s="175"/>
      <c r="I700" s="168"/>
      <c r="J700" s="168"/>
    </row>
    <row r="701" spans="1:10" ht="17">
      <c r="A701" s="168"/>
      <c r="B701" s="168"/>
      <c r="C701" s="168"/>
      <c r="G701" s="175"/>
      <c r="H701" s="175"/>
      <c r="I701" s="168"/>
      <c r="J701" s="168"/>
    </row>
    <row r="702" spans="1:10" ht="17">
      <c r="A702" s="168"/>
      <c r="B702" s="168"/>
      <c r="C702" s="168"/>
      <c r="G702" s="175"/>
      <c r="H702" s="175"/>
      <c r="I702" s="168"/>
      <c r="J702" s="168"/>
    </row>
    <row r="703" spans="1:10" ht="17">
      <c r="A703" s="168"/>
      <c r="B703" s="168"/>
      <c r="C703" s="168"/>
      <c r="G703" s="175"/>
      <c r="H703" s="175"/>
      <c r="I703" s="168"/>
      <c r="J703" s="168"/>
    </row>
    <row r="704" spans="1:10" ht="17">
      <c r="A704" s="168"/>
      <c r="B704" s="168"/>
      <c r="C704" s="168"/>
      <c r="G704" s="175"/>
      <c r="H704" s="175"/>
      <c r="I704" s="168"/>
      <c r="J704" s="168"/>
    </row>
    <row r="705" spans="1:10" ht="17">
      <c r="A705" s="168"/>
      <c r="B705" s="168"/>
      <c r="C705" s="168"/>
      <c r="G705" s="175"/>
      <c r="H705" s="175"/>
      <c r="I705" s="168"/>
      <c r="J705" s="168"/>
    </row>
    <row r="706" spans="1:10" ht="17">
      <c r="A706" s="168"/>
      <c r="B706" s="168"/>
      <c r="C706" s="168"/>
      <c r="G706" s="175"/>
      <c r="H706" s="175"/>
      <c r="I706" s="168"/>
      <c r="J706" s="168"/>
    </row>
    <row r="707" spans="1:10" ht="17">
      <c r="A707" s="168"/>
      <c r="B707" s="168"/>
      <c r="C707" s="168"/>
      <c r="G707" s="175"/>
      <c r="H707" s="175"/>
      <c r="I707" s="168"/>
      <c r="J707" s="168"/>
    </row>
    <row r="708" spans="1:10" ht="17">
      <c r="A708" s="168"/>
      <c r="B708" s="168"/>
      <c r="C708" s="168"/>
      <c r="G708" s="175"/>
      <c r="H708" s="175"/>
      <c r="I708" s="168"/>
      <c r="J708" s="168"/>
    </row>
    <row r="709" spans="1:10" ht="17">
      <c r="A709" s="168"/>
      <c r="B709" s="168"/>
      <c r="C709" s="168"/>
      <c r="G709" s="175"/>
      <c r="H709" s="175"/>
      <c r="I709" s="168"/>
      <c r="J709" s="168"/>
    </row>
    <row r="710" spans="1:10" ht="17">
      <c r="A710" s="168"/>
      <c r="B710" s="168"/>
      <c r="C710" s="168"/>
      <c r="G710" s="175"/>
      <c r="H710" s="175"/>
      <c r="I710" s="168"/>
      <c r="J710" s="168"/>
    </row>
    <row r="711" spans="1:10" ht="17">
      <c r="A711" s="168"/>
      <c r="B711" s="168"/>
      <c r="C711" s="168"/>
      <c r="G711" s="175"/>
      <c r="H711" s="175"/>
      <c r="I711" s="168"/>
      <c r="J711" s="168"/>
    </row>
    <row r="712" spans="1:10" ht="17">
      <c r="A712" s="168"/>
      <c r="B712" s="168"/>
      <c r="C712" s="168"/>
      <c r="G712" s="175"/>
      <c r="H712" s="175"/>
      <c r="I712" s="168"/>
      <c r="J712" s="168"/>
    </row>
    <row r="713" spans="1:10" ht="17">
      <c r="A713" s="168"/>
      <c r="B713" s="168"/>
      <c r="C713" s="168"/>
      <c r="G713" s="175"/>
      <c r="H713" s="175"/>
      <c r="I713" s="168"/>
      <c r="J713" s="168"/>
    </row>
    <row r="714" spans="1:10" ht="17">
      <c r="A714" s="168"/>
      <c r="B714" s="168"/>
      <c r="C714" s="168"/>
      <c r="G714" s="175"/>
      <c r="H714" s="175"/>
      <c r="I714" s="168"/>
      <c r="J714" s="168"/>
    </row>
    <row r="715" spans="1:10" ht="17">
      <c r="A715" s="168"/>
      <c r="B715" s="168"/>
      <c r="C715" s="168"/>
      <c r="G715" s="175"/>
      <c r="H715" s="175"/>
      <c r="I715" s="168"/>
      <c r="J715" s="168"/>
    </row>
    <row r="716" spans="1:10" ht="17">
      <c r="A716" s="168"/>
      <c r="B716" s="168"/>
      <c r="C716" s="168"/>
      <c r="G716" s="175"/>
      <c r="H716" s="175"/>
      <c r="I716" s="168"/>
      <c r="J716" s="168"/>
    </row>
    <row r="717" spans="1:10" ht="17">
      <c r="A717" s="168"/>
      <c r="B717" s="168"/>
      <c r="C717" s="168"/>
      <c r="G717" s="175"/>
      <c r="H717" s="175"/>
      <c r="I717" s="168"/>
      <c r="J717" s="168"/>
    </row>
    <row r="718" spans="1:10" ht="17">
      <c r="A718" s="168"/>
      <c r="B718" s="168"/>
      <c r="C718" s="168"/>
      <c r="G718" s="175"/>
      <c r="H718" s="175"/>
      <c r="I718" s="168"/>
      <c r="J718" s="168"/>
    </row>
    <row r="719" spans="1:10" ht="17">
      <c r="A719" s="168"/>
      <c r="B719" s="168"/>
      <c r="C719" s="168"/>
      <c r="G719" s="175"/>
      <c r="H719" s="175"/>
      <c r="I719" s="168"/>
      <c r="J719" s="168"/>
    </row>
    <row r="720" spans="1:10" ht="17">
      <c r="A720" s="168"/>
      <c r="B720" s="168"/>
      <c r="C720" s="168"/>
      <c r="G720" s="175"/>
      <c r="H720" s="175"/>
      <c r="I720" s="168"/>
      <c r="J720" s="168"/>
    </row>
    <row r="721" spans="1:10" ht="17">
      <c r="A721" s="168"/>
      <c r="B721" s="168"/>
      <c r="C721" s="168"/>
      <c r="G721" s="175"/>
      <c r="H721" s="175"/>
      <c r="I721" s="168"/>
      <c r="J721" s="168"/>
    </row>
    <row r="722" spans="1:10" ht="17">
      <c r="A722" s="168"/>
      <c r="B722" s="168"/>
      <c r="C722" s="168"/>
      <c r="G722" s="175"/>
      <c r="H722" s="175"/>
      <c r="I722" s="168"/>
      <c r="J722" s="168"/>
    </row>
    <row r="723" spans="1:10" ht="17">
      <c r="A723" s="168"/>
      <c r="B723" s="168"/>
      <c r="C723" s="168"/>
      <c r="G723" s="175"/>
      <c r="H723" s="175"/>
      <c r="I723" s="168"/>
      <c r="J723" s="168"/>
    </row>
    <row r="724" spans="1:10" ht="17">
      <c r="A724" s="168"/>
      <c r="B724" s="168"/>
      <c r="C724" s="168"/>
      <c r="G724" s="175"/>
      <c r="H724" s="175"/>
      <c r="I724" s="168"/>
      <c r="J724" s="168"/>
    </row>
    <row r="725" spans="1:10" ht="17">
      <c r="A725" s="168"/>
      <c r="B725" s="168"/>
      <c r="C725" s="168"/>
      <c r="G725" s="175"/>
      <c r="H725" s="175"/>
      <c r="I725" s="168"/>
      <c r="J725" s="168"/>
    </row>
    <row r="726" spans="1:10" ht="17">
      <c r="A726" s="168"/>
      <c r="B726" s="168"/>
      <c r="C726" s="168"/>
      <c r="G726" s="175"/>
      <c r="H726" s="175"/>
      <c r="I726" s="168"/>
      <c r="J726" s="168"/>
    </row>
    <row r="727" spans="1:10" ht="17">
      <c r="A727" s="168"/>
      <c r="B727" s="168"/>
      <c r="C727" s="168"/>
      <c r="G727" s="175"/>
      <c r="H727" s="175"/>
      <c r="I727" s="168"/>
      <c r="J727" s="168"/>
    </row>
    <row r="728" spans="1:10" ht="17">
      <c r="A728" s="168"/>
      <c r="B728" s="168"/>
      <c r="C728" s="168"/>
      <c r="G728" s="175"/>
      <c r="H728" s="175"/>
      <c r="I728" s="168"/>
      <c r="J728" s="168"/>
    </row>
    <row r="729" spans="1:10" ht="17">
      <c r="A729" s="168"/>
      <c r="B729" s="168"/>
      <c r="C729" s="168"/>
      <c r="G729" s="175"/>
      <c r="H729" s="175"/>
      <c r="I729" s="168"/>
      <c r="J729" s="168"/>
    </row>
    <row r="730" spans="1:10" ht="17">
      <c r="A730" s="168"/>
      <c r="B730" s="168"/>
      <c r="C730" s="168"/>
      <c r="G730" s="175"/>
      <c r="H730" s="175"/>
      <c r="I730" s="168"/>
      <c r="J730" s="168"/>
    </row>
    <row r="731" spans="1:10" ht="17">
      <c r="A731" s="168"/>
      <c r="B731" s="168"/>
      <c r="C731" s="168"/>
      <c r="G731" s="175"/>
      <c r="H731" s="175"/>
      <c r="I731" s="168"/>
      <c r="J731" s="168"/>
    </row>
    <row r="732" spans="1:10" ht="17">
      <c r="A732" s="168"/>
      <c r="B732" s="168"/>
      <c r="C732" s="168"/>
      <c r="G732" s="175"/>
      <c r="H732" s="175"/>
      <c r="I732" s="168"/>
      <c r="J732" s="168"/>
    </row>
    <row r="733" spans="1:10" ht="17">
      <c r="A733" s="168"/>
      <c r="B733" s="168"/>
      <c r="C733" s="168"/>
      <c r="G733" s="175"/>
      <c r="H733" s="175"/>
      <c r="I733" s="168"/>
      <c r="J733" s="168"/>
    </row>
    <row r="734" spans="1:10" ht="17">
      <c r="A734" s="168"/>
      <c r="B734" s="168"/>
      <c r="C734" s="168"/>
      <c r="G734" s="175"/>
      <c r="H734" s="175"/>
      <c r="I734" s="168"/>
      <c r="J734" s="168"/>
    </row>
    <row r="735" spans="1:10" ht="17">
      <c r="A735" s="168"/>
      <c r="B735" s="168"/>
      <c r="C735" s="168"/>
      <c r="G735" s="175"/>
      <c r="H735" s="175"/>
      <c r="I735" s="168"/>
      <c r="J735" s="168"/>
    </row>
    <row r="736" spans="1:10" ht="17">
      <c r="A736" s="168"/>
      <c r="B736" s="168"/>
      <c r="C736" s="168"/>
      <c r="G736" s="175"/>
      <c r="H736" s="175"/>
      <c r="I736" s="168"/>
      <c r="J736" s="168"/>
    </row>
    <row r="737" spans="1:10" ht="17">
      <c r="A737" s="168"/>
      <c r="B737" s="168"/>
      <c r="C737" s="168"/>
      <c r="G737" s="175"/>
      <c r="H737" s="175"/>
      <c r="I737" s="168"/>
      <c r="J737" s="168"/>
    </row>
    <row r="738" spans="1:10" ht="17">
      <c r="A738" s="168"/>
      <c r="B738" s="168"/>
      <c r="C738" s="168"/>
      <c r="G738" s="175"/>
      <c r="H738" s="175"/>
      <c r="I738" s="168"/>
      <c r="J738" s="168"/>
    </row>
    <row r="739" spans="1:10" ht="17">
      <c r="A739" s="168"/>
      <c r="B739" s="168"/>
      <c r="C739" s="168"/>
      <c r="G739" s="175"/>
      <c r="H739" s="175"/>
      <c r="I739" s="168"/>
      <c r="J739" s="168"/>
    </row>
    <row r="740" spans="1:10" ht="17">
      <c r="A740" s="168"/>
      <c r="B740" s="168"/>
      <c r="C740" s="168"/>
      <c r="G740" s="175"/>
      <c r="H740" s="175"/>
      <c r="I740" s="168"/>
      <c r="J740" s="168"/>
    </row>
    <row r="741" spans="1:10" ht="17">
      <c r="A741" s="168"/>
      <c r="B741" s="168"/>
      <c r="C741" s="168"/>
      <c r="G741" s="175"/>
      <c r="H741" s="175"/>
      <c r="I741" s="168"/>
      <c r="J741" s="168"/>
    </row>
    <row r="742" spans="1:10" ht="17">
      <c r="A742" s="168"/>
      <c r="B742" s="168"/>
      <c r="C742" s="168"/>
      <c r="G742" s="175"/>
      <c r="H742" s="175"/>
      <c r="I742" s="168"/>
      <c r="J742" s="168"/>
    </row>
    <row r="743" spans="1:10" ht="17">
      <c r="A743" s="168"/>
      <c r="B743" s="168"/>
      <c r="C743" s="168"/>
      <c r="G743" s="175"/>
      <c r="H743" s="175"/>
      <c r="I743" s="168"/>
      <c r="J743" s="168"/>
    </row>
    <row r="744" spans="1:10" ht="17">
      <c r="A744" s="168"/>
      <c r="B744" s="168"/>
      <c r="C744" s="168"/>
      <c r="G744" s="175"/>
      <c r="H744" s="175"/>
      <c r="I744" s="168"/>
      <c r="J744" s="168"/>
    </row>
    <row r="745" spans="1:10" ht="17">
      <c r="A745" s="168"/>
      <c r="B745" s="168"/>
      <c r="C745" s="168"/>
      <c r="G745" s="175"/>
      <c r="H745" s="175"/>
      <c r="I745" s="168"/>
      <c r="J745" s="168"/>
    </row>
    <row r="746" spans="1:10" ht="17">
      <c r="A746" s="168"/>
      <c r="B746" s="168"/>
      <c r="C746" s="168"/>
      <c r="G746" s="175"/>
      <c r="H746" s="175"/>
      <c r="I746" s="168"/>
      <c r="J746" s="168"/>
    </row>
    <row r="747" spans="1:10" ht="17">
      <c r="A747" s="168"/>
      <c r="B747" s="168"/>
      <c r="C747" s="168"/>
      <c r="G747" s="175"/>
      <c r="H747" s="175"/>
      <c r="I747" s="168"/>
      <c r="J747" s="168"/>
    </row>
    <row r="748" spans="1:10" ht="17">
      <c r="A748" s="168"/>
      <c r="B748" s="168"/>
      <c r="C748" s="168"/>
      <c r="G748" s="175"/>
      <c r="H748" s="175"/>
      <c r="I748" s="168"/>
      <c r="J748" s="168"/>
    </row>
    <row r="749" spans="1:10" ht="17">
      <c r="A749" s="168"/>
      <c r="B749" s="168"/>
      <c r="C749" s="168"/>
      <c r="G749" s="175"/>
      <c r="H749" s="175"/>
      <c r="I749" s="168"/>
      <c r="J749" s="168"/>
    </row>
    <row r="750" spans="1:10" ht="17">
      <c r="A750" s="168"/>
      <c r="B750" s="168"/>
      <c r="C750" s="168"/>
      <c r="G750" s="175"/>
      <c r="H750" s="175"/>
      <c r="I750" s="168"/>
      <c r="J750" s="168"/>
    </row>
    <row r="751" spans="1:10" ht="17">
      <c r="A751" s="168"/>
      <c r="B751" s="168"/>
      <c r="C751" s="168"/>
      <c r="G751" s="175"/>
      <c r="H751" s="175"/>
      <c r="I751" s="168"/>
      <c r="J751" s="168"/>
    </row>
    <row r="752" spans="1:10" ht="17">
      <c r="A752" s="168"/>
      <c r="B752" s="168"/>
      <c r="C752" s="168"/>
      <c r="G752" s="175"/>
      <c r="H752" s="175"/>
      <c r="I752" s="168"/>
      <c r="J752" s="168"/>
    </row>
    <row r="753" spans="1:10" ht="17">
      <c r="A753" s="168"/>
      <c r="B753" s="168"/>
      <c r="C753" s="168"/>
      <c r="G753" s="175"/>
      <c r="H753" s="175"/>
      <c r="I753" s="168"/>
      <c r="J753" s="168"/>
    </row>
    <row r="754" spans="1:10" ht="17">
      <c r="A754" s="168"/>
      <c r="B754" s="168"/>
      <c r="C754" s="168"/>
      <c r="G754" s="175"/>
      <c r="H754" s="175"/>
      <c r="I754" s="168"/>
      <c r="J754" s="168"/>
    </row>
    <row r="755" spans="1:10" ht="17">
      <c r="A755" s="168"/>
      <c r="B755" s="168"/>
      <c r="C755" s="168"/>
      <c r="G755" s="175"/>
      <c r="H755" s="175"/>
      <c r="I755" s="168"/>
      <c r="J755" s="168"/>
    </row>
    <row r="756" spans="1:10" ht="17">
      <c r="A756" s="168"/>
      <c r="B756" s="168"/>
      <c r="C756" s="168"/>
      <c r="G756" s="175"/>
      <c r="H756" s="175"/>
      <c r="I756" s="168"/>
      <c r="J756" s="168"/>
    </row>
    <row r="757" spans="1:10" ht="17">
      <c r="A757" s="168"/>
      <c r="B757" s="168"/>
      <c r="C757" s="168"/>
      <c r="G757" s="175"/>
      <c r="H757" s="175"/>
      <c r="I757" s="168"/>
      <c r="J757" s="168"/>
    </row>
    <row r="758" spans="1:10" ht="17">
      <c r="A758" s="168"/>
      <c r="B758" s="168"/>
      <c r="C758" s="168"/>
      <c r="G758" s="175"/>
      <c r="H758" s="175"/>
      <c r="I758" s="168"/>
      <c r="J758" s="168"/>
    </row>
    <row r="759" spans="1:10" ht="17">
      <c r="A759" s="168"/>
      <c r="B759" s="168"/>
      <c r="C759" s="168"/>
      <c r="G759" s="175"/>
      <c r="H759" s="175"/>
      <c r="I759" s="168"/>
      <c r="J759" s="168"/>
    </row>
    <row r="760" spans="1:10" ht="17">
      <c r="A760" s="168"/>
      <c r="B760" s="168"/>
      <c r="C760" s="168"/>
      <c r="G760" s="175"/>
      <c r="H760" s="175"/>
      <c r="I760" s="168"/>
      <c r="J760" s="168"/>
    </row>
    <row r="761" spans="1:10" ht="17">
      <c r="A761" s="168"/>
      <c r="B761" s="168"/>
      <c r="C761" s="168"/>
      <c r="G761" s="175"/>
      <c r="H761" s="175"/>
      <c r="I761" s="168"/>
      <c r="J761" s="168"/>
    </row>
    <row r="762" spans="1:10" ht="17">
      <c r="A762" s="168"/>
      <c r="B762" s="168"/>
      <c r="C762" s="168"/>
      <c r="G762" s="175"/>
      <c r="H762" s="175"/>
      <c r="I762" s="168"/>
      <c r="J762" s="168"/>
    </row>
    <row r="763" spans="1:10" ht="17">
      <c r="A763" s="168"/>
      <c r="B763" s="168"/>
      <c r="C763" s="168"/>
      <c r="G763" s="175"/>
      <c r="H763" s="175"/>
      <c r="I763" s="168"/>
      <c r="J763" s="168"/>
    </row>
    <row r="764" spans="1:10" ht="17">
      <c r="A764" s="168"/>
      <c r="B764" s="168"/>
      <c r="C764" s="168"/>
      <c r="G764" s="175"/>
      <c r="H764" s="175"/>
      <c r="I764" s="168"/>
      <c r="J764" s="168"/>
    </row>
    <row r="765" spans="1:10" ht="17">
      <c r="A765" s="168"/>
      <c r="B765" s="168"/>
      <c r="C765" s="168"/>
      <c r="G765" s="175"/>
      <c r="H765" s="175"/>
      <c r="I765" s="168"/>
      <c r="J765" s="168"/>
    </row>
    <row r="766" spans="1:10" ht="17">
      <c r="A766" s="168"/>
      <c r="B766" s="168"/>
      <c r="C766" s="168"/>
      <c r="G766" s="175"/>
      <c r="H766" s="175"/>
      <c r="I766" s="168"/>
      <c r="J766" s="168"/>
    </row>
    <row r="767" spans="1:10" ht="17">
      <c r="A767" s="168"/>
      <c r="B767" s="168"/>
      <c r="C767" s="168"/>
      <c r="G767" s="175"/>
      <c r="H767" s="175"/>
      <c r="I767" s="168"/>
      <c r="J767" s="168"/>
    </row>
    <row r="768" spans="1:10" ht="17">
      <c r="A768" s="168"/>
      <c r="B768" s="168"/>
      <c r="C768" s="168"/>
      <c r="G768" s="175"/>
      <c r="H768" s="175"/>
      <c r="I768" s="168"/>
      <c r="J768" s="168"/>
    </row>
    <row r="769" spans="1:10" ht="17">
      <c r="A769" s="168"/>
      <c r="B769" s="168"/>
      <c r="C769" s="168"/>
      <c r="G769" s="175"/>
      <c r="H769" s="175"/>
      <c r="I769" s="168"/>
      <c r="J769" s="168"/>
    </row>
    <row r="770" spans="1:10" ht="17">
      <c r="A770" s="168"/>
      <c r="B770" s="168"/>
      <c r="C770" s="168"/>
      <c r="G770" s="175"/>
      <c r="H770" s="175"/>
      <c r="I770" s="168"/>
      <c r="J770" s="168"/>
    </row>
    <row r="771" spans="1:10" ht="17">
      <c r="A771" s="168"/>
      <c r="B771" s="168"/>
      <c r="C771" s="168"/>
      <c r="G771" s="175"/>
      <c r="H771" s="175"/>
      <c r="I771" s="168"/>
      <c r="J771" s="168"/>
    </row>
    <row r="772" spans="1:10" ht="17">
      <c r="A772" s="168"/>
      <c r="B772" s="168"/>
      <c r="C772" s="168"/>
      <c r="G772" s="175"/>
      <c r="H772" s="175"/>
      <c r="I772" s="168"/>
      <c r="J772" s="168"/>
    </row>
    <row r="773" spans="1:10" ht="17">
      <c r="A773" s="168"/>
      <c r="B773" s="168"/>
      <c r="C773" s="168"/>
      <c r="G773" s="175"/>
      <c r="H773" s="175"/>
      <c r="I773" s="168"/>
      <c r="J773" s="168"/>
    </row>
    <row r="774" spans="1:10" ht="17">
      <c r="A774" s="168"/>
      <c r="B774" s="168"/>
      <c r="C774" s="168"/>
      <c r="G774" s="175"/>
      <c r="H774" s="175"/>
      <c r="I774" s="168"/>
      <c r="J774" s="168"/>
    </row>
    <row r="775" spans="1:10" ht="17">
      <c r="A775" s="168"/>
      <c r="B775" s="168"/>
      <c r="C775" s="168"/>
      <c r="G775" s="175"/>
      <c r="H775" s="175"/>
      <c r="I775" s="168"/>
      <c r="J775" s="168"/>
    </row>
    <row r="776" spans="1:10" ht="17">
      <c r="A776" s="168"/>
      <c r="B776" s="168"/>
      <c r="C776" s="168"/>
      <c r="G776" s="175"/>
      <c r="H776" s="175"/>
      <c r="I776" s="168"/>
      <c r="J776" s="168"/>
    </row>
    <row r="777" spans="1:10" ht="17">
      <c r="A777" s="168"/>
      <c r="B777" s="168"/>
      <c r="C777" s="168"/>
      <c r="G777" s="175"/>
      <c r="H777" s="175"/>
      <c r="I777" s="168"/>
      <c r="J777" s="168"/>
    </row>
    <row r="778" spans="1:10" ht="17">
      <c r="A778" s="168"/>
      <c r="B778" s="168"/>
      <c r="C778" s="168"/>
      <c r="G778" s="175"/>
      <c r="H778" s="175"/>
      <c r="I778" s="168"/>
      <c r="J778" s="168"/>
    </row>
    <row r="779" spans="1:10" ht="17">
      <c r="A779" s="168"/>
      <c r="B779" s="168"/>
      <c r="C779" s="168"/>
      <c r="G779" s="175"/>
      <c r="H779" s="175"/>
      <c r="I779" s="168"/>
      <c r="J779" s="168"/>
    </row>
    <row r="780" spans="1:10" ht="17">
      <c r="A780" s="168"/>
      <c r="B780" s="168"/>
      <c r="C780" s="168"/>
      <c r="G780" s="175"/>
      <c r="H780" s="175"/>
      <c r="I780" s="168"/>
      <c r="J780" s="168"/>
    </row>
    <row r="781" spans="1:10" ht="17">
      <c r="A781" s="168"/>
      <c r="B781" s="168"/>
      <c r="C781" s="168"/>
      <c r="G781" s="175"/>
      <c r="H781" s="175"/>
      <c r="I781" s="168"/>
      <c r="J781" s="168"/>
    </row>
    <row r="782" spans="1:10" ht="17">
      <c r="A782" s="168"/>
      <c r="B782" s="168"/>
      <c r="C782" s="168"/>
      <c r="G782" s="175"/>
      <c r="H782" s="175"/>
      <c r="I782" s="168"/>
      <c r="J782" s="168"/>
    </row>
    <row r="783" spans="1:10" ht="17">
      <c r="A783" s="168"/>
      <c r="B783" s="168"/>
      <c r="C783" s="168"/>
      <c r="G783" s="175"/>
      <c r="H783" s="175"/>
      <c r="I783" s="168"/>
      <c r="J783" s="168"/>
    </row>
    <row r="784" spans="1:10" ht="17">
      <c r="A784" s="168"/>
      <c r="B784" s="168"/>
      <c r="C784" s="168"/>
      <c r="G784" s="175"/>
      <c r="H784" s="175"/>
      <c r="I784" s="168"/>
      <c r="J784" s="168"/>
    </row>
    <row r="785" spans="1:10" ht="17">
      <c r="A785" s="168"/>
      <c r="B785" s="168"/>
      <c r="C785" s="168"/>
      <c r="G785" s="175"/>
      <c r="H785" s="175"/>
      <c r="I785" s="168"/>
      <c r="J785" s="168"/>
    </row>
    <row r="786" spans="1:10" ht="17">
      <c r="A786" s="168"/>
      <c r="B786" s="168"/>
      <c r="C786" s="168"/>
      <c r="G786" s="175"/>
      <c r="H786" s="175"/>
      <c r="I786" s="168"/>
      <c r="J786" s="168"/>
    </row>
    <row r="787" spans="1:10" ht="17">
      <c r="A787" s="168"/>
      <c r="B787" s="168"/>
      <c r="C787" s="168"/>
      <c r="G787" s="175"/>
      <c r="H787" s="175"/>
      <c r="I787" s="168"/>
      <c r="J787" s="168"/>
    </row>
    <row r="788" spans="1:10" ht="17">
      <c r="A788" s="168"/>
      <c r="B788" s="168"/>
      <c r="C788" s="168"/>
      <c r="G788" s="175"/>
      <c r="H788" s="175"/>
      <c r="I788" s="168"/>
      <c r="J788" s="168"/>
    </row>
    <row r="789" spans="1:10" ht="17">
      <c r="A789" s="168"/>
      <c r="B789" s="168"/>
      <c r="C789" s="168"/>
      <c r="G789" s="175"/>
      <c r="H789" s="175"/>
      <c r="I789" s="168"/>
      <c r="J789" s="168"/>
    </row>
    <row r="790" spans="1:10" ht="17">
      <c r="A790" s="168"/>
      <c r="B790" s="168"/>
      <c r="C790" s="168"/>
      <c r="G790" s="175"/>
      <c r="H790" s="175"/>
      <c r="I790" s="168"/>
      <c r="J790" s="168"/>
    </row>
    <row r="791" spans="1:10" ht="17">
      <c r="A791" s="168"/>
      <c r="B791" s="168"/>
      <c r="C791" s="168"/>
      <c r="G791" s="175"/>
      <c r="H791" s="175"/>
      <c r="I791" s="168"/>
      <c r="J791" s="168"/>
    </row>
    <row r="792" spans="1:10" ht="17">
      <c r="A792" s="168"/>
      <c r="B792" s="168"/>
      <c r="C792" s="168"/>
      <c r="G792" s="175"/>
      <c r="H792" s="175"/>
      <c r="I792" s="168"/>
      <c r="J792" s="168"/>
    </row>
    <row r="793" spans="1:10" ht="17">
      <c r="A793" s="168"/>
      <c r="B793" s="168"/>
      <c r="C793" s="168"/>
      <c r="G793" s="175"/>
      <c r="H793" s="175"/>
      <c r="I793" s="168"/>
      <c r="J793" s="168"/>
    </row>
    <row r="794" spans="1:10" ht="17">
      <c r="A794" s="168"/>
      <c r="B794" s="168"/>
      <c r="C794" s="168"/>
      <c r="G794" s="175"/>
      <c r="H794" s="175"/>
      <c r="I794" s="168"/>
      <c r="J794" s="168"/>
    </row>
    <row r="795" spans="1:10" ht="17">
      <c r="A795" s="168"/>
      <c r="B795" s="168"/>
      <c r="C795" s="168"/>
      <c r="G795" s="175"/>
      <c r="H795" s="175"/>
      <c r="I795" s="168"/>
      <c r="J795" s="168"/>
    </row>
    <row r="796" spans="1:10" ht="17">
      <c r="A796" s="168"/>
      <c r="B796" s="168"/>
      <c r="C796" s="168"/>
      <c r="G796" s="175"/>
      <c r="H796" s="175"/>
      <c r="I796" s="168"/>
      <c r="J796" s="168"/>
    </row>
    <row r="797" spans="1:10" ht="17">
      <c r="A797" s="168"/>
      <c r="B797" s="168"/>
      <c r="C797" s="168"/>
      <c r="G797" s="175"/>
      <c r="H797" s="175"/>
      <c r="I797" s="168"/>
      <c r="J797" s="168"/>
    </row>
    <row r="798" spans="1:10" ht="17">
      <c r="A798" s="168"/>
      <c r="B798" s="168"/>
      <c r="C798" s="168"/>
      <c r="G798" s="175"/>
      <c r="H798" s="175"/>
      <c r="I798" s="168"/>
      <c r="J798" s="168"/>
    </row>
    <row r="799" spans="1:10" ht="17">
      <c r="A799" s="168"/>
      <c r="B799" s="168"/>
      <c r="C799" s="168"/>
      <c r="G799" s="175"/>
      <c r="H799" s="175"/>
      <c r="I799" s="168"/>
      <c r="J799" s="168"/>
    </row>
    <row r="800" spans="1:10" ht="17">
      <c r="A800" s="168"/>
      <c r="B800" s="168"/>
      <c r="C800" s="168"/>
      <c r="G800" s="175"/>
      <c r="H800" s="175"/>
      <c r="I800" s="168"/>
      <c r="J800" s="168"/>
    </row>
    <row r="801" spans="1:10" ht="17">
      <c r="A801" s="168"/>
      <c r="B801" s="168"/>
      <c r="C801" s="168"/>
      <c r="G801" s="175"/>
      <c r="H801" s="175"/>
      <c r="I801" s="168"/>
      <c r="J801" s="168"/>
    </row>
    <row r="802" spans="1:10" ht="17">
      <c r="A802" s="168"/>
      <c r="B802" s="168"/>
      <c r="C802" s="168"/>
      <c r="G802" s="175"/>
      <c r="H802" s="175"/>
      <c r="I802" s="168"/>
      <c r="J802" s="168"/>
    </row>
    <row r="803" spans="1:10" ht="17">
      <c r="A803" s="168"/>
      <c r="B803" s="168"/>
      <c r="C803" s="168"/>
      <c r="G803" s="175"/>
      <c r="H803" s="175"/>
      <c r="I803" s="168"/>
      <c r="J803" s="168"/>
    </row>
    <row r="804" spans="1:10" ht="17">
      <c r="A804" s="168"/>
      <c r="B804" s="168"/>
      <c r="C804" s="168"/>
      <c r="G804" s="175"/>
      <c r="H804" s="175"/>
      <c r="I804" s="168"/>
      <c r="J804" s="168"/>
    </row>
    <row r="805" spans="1:10" ht="17">
      <c r="A805" s="168"/>
      <c r="B805" s="168"/>
      <c r="C805" s="168"/>
      <c r="G805" s="175"/>
      <c r="H805" s="175"/>
      <c r="I805" s="168"/>
      <c r="J805" s="168"/>
    </row>
    <row r="806" spans="1:10" ht="17">
      <c r="A806" s="168"/>
      <c r="B806" s="168"/>
      <c r="C806" s="168"/>
      <c r="G806" s="175"/>
      <c r="H806" s="175"/>
      <c r="I806" s="168"/>
      <c r="J806" s="168"/>
    </row>
    <row r="807" spans="1:10" ht="17">
      <c r="A807" s="168"/>
      <c r="B807" s="168"/>
      <c r="C807" s="168"/>
      <c r="G807" s="175"/>
      <c r="H807" s="175"/>
      <c r="I807" s="168"/>
      <c r="J807" s="168"/>
    </row>
    <row r="808" spans="1:10" ht="17">
      <c r="A808" s="168"/>
      <c r="B808" s="168"/>
      <c r="C808" s="168"/>
      <c r="G808" s="175"/>
      <c r="H808" s="175"/>
      <c r="I808" s="168"/>
      <c r="J808" s="168"/>
    </row>
    <row r="809" spans="1:10" ht="17">
      <c r="A809" s="168"/>
      <c r="B809" s="168"/>
      <c r="C809" s="168"/>
      <c r="G809" s="175"/>
      <c r="H809" s="175"/>
      <c r="I809" s="168"/>
      <c r="J809" s="168"/>
    </row>
    <row r="810" spans="1:10" ht="17">
      <c r="A810" s="168"/>
      <c r="B810" s="168"/>
      <c r="C810" s="168"/>
      <c r="G810" s="175"/>
      <c r="H810" s="175"/>
      <c r="I810" s="168"/>
      <c r="J810" s="168"/>
    </row>
    <row r="811" spans="1:10" ht="17">
      <c r="A811" s="168"/>
      <c r="B811" s="168"/>
      <c r="C811" s="168"/>
      <c r="G811" s="175"/>
      <c r="H811" s="175"/>
      <c r="I811" s="168"/>
      <c r="J811" s="168"/>
    </row>
    <row r="812" spans="1:10" ht="17">
      <c r="A812" s="168"/>
      <c r="B812" s="168"/>
      <c r="C812" s="168"/>
      <c r="G812" s="175"/>
      <c r="H812" s="175"/>
      <c r="I812" s="168"/>
      <c r="J812" s="168"/>
    </row>
    <row r="813" spans="1:10" ht="17">
      <c r="A813" s="168"/>
      <c r="B813" s="168"/>
      <c r="C813" s="168"/>
      <c r="G813" s="175"/>
      <c r="H813" s="175"/>
      <c r="I813" s="168"/>
      <c r="J813" s="168"/>
    </row>
    <row r="814" spans="1:10" ht="17">
      <c r="A814" s="168"/>
      <c r="B814" s="168"/>
      <c r="C814" s="168"/>
      <c r="G814" s="175"/>
      <c r="H814" s="175"/>
      <c r="I814" s="168"/>
      <c r="J814" s="168"/>
    </row>
    <row r="815" spans="1:10" ht="17">
      <c r="A815" s="168"/>
      <c r="B815" s="168"/>
      <c r="C815" s="168"/>
      <c r="G815" s="175"/>
      <c r="H815" s="175"/>
      <c r="I815" s="168"/>
      <c r="J815" s="168"/>
    </row>
    <row r="816" spans="1:10" ht="17">
      <c r="A816" s="168"/>
      <c r="B816" s="168"/>
      <c r="C816" s="168"/>
      <c r="G816" s="175"/>
      <c r="H816" s="175"/>
      <c r="I816" s="168"/>
      <c r="J816" s="168"/>
    </row>
    <row r="817" spans="1:10" ht="17">
      <c r="A817" s="168"/>
      <c r="B817" s="168"/>
      <c r="C817" s="168"/>
      <c r="G817" s="175"/>
      <c r="H817" s="175"/>
      <c r="I817" s="168"/>
      <c r="J817" s="168"/>
    </row>
    <row r="818" spans="1:10" ht="17">
      <c r="A818" s="168"/>
      <c r="B818" s="168"/>
      <c r="C818" s="168"/>
      <c r="G818" s="175"/>
      <c r="H818" s="175"/>
      <c r="I818" s="168"/>
      <c r="J818" s="168"/>
    </row>
    <row r="819" spans="1:10" ht="17">
      <c r="A819" s="168"/>
      <c r="B819" s="168"/>
      <c r="C819" s="168"/>
      <c r="G819" s="175"/>
      <c r="H819" s="175"/>
      <c r="I819" s="168"/>
      <c r="J819" s="168"/>
    </row>
    <row r="820" spans="1:10" ht="17">
      <c r="A820" s="168"/>
      <c r="B820" s="168"/>
      <c r="C820" s="168"/>
      <c r="G820" s="175"/>
      <c r="H820" s="175"/>
      <c r="I820" s="168"/>
      <c r="J820" s="168"/>
    </row>
    <row r="821" spans="1:10" ht="17">
      <c r="A821" s="168"/>
      <c r="B821" s="168"/>
      <c r="C821" s="168"/>
      <c r="G821" s="175"/>
      <c r="H821" s="175"/>
      <c r="I821" s="168"/>
      <c r="J821" s="168"/>
    </row>
    <row r="822" spans="1:10" ht="17">
      <c r="A822" s="168"/>
      <c r="B822" s="168"/>
      <c r="C822" s="168"/>
      <c r="G822" s="175"/>
      <c r="H822" s="175"/>
      <c r="I822" s="168"/>
      <c r="J822" s="168"/>
    </row>
    <row r="823" spans="1:10" ht="17">
      <c r="A823" s="168"/>
      <c r="B823" s="168"/>
      <c r="C823" s="168"/>
      <c r="G823" s="175"/>
      <c r="H823" s="175"/>
      <c r="I823" s="168"/>
      <c r="J823" s="168"/>
    </row>
    <row r="824" spans="1:10" ht="17">
      <c r="A824" s="168"/>
      <c r="B824" s="168"/>
      <c r="C824" s="168"/>
      <c r="G824" s="175"/>
      <c r="H824" s="175"/>
      <c r="I824" s="168"/>
      <c r="J824" s="168"/>
    </row>
    <row r="825" spans="1:10" ht="17">
      <c r="A825" s="168"/>
      <c r="B825" s="168"/>
      <c r="C825" s="168"/>
      <c r="G825" s="175"/>
      <c r="H825" s="175"/>
      <c r="I825" s="168"/>
      <c r="J825" s="168"/>
    </row>
    <row r="826" spans="1:10" ht="17">
      <c r="A826" s="168"/>
      <c r="B826" s="168"/>
      <c r="C826" s="168"/>
      <c r="G826" s="175"/>
      <c r="H826" s="175"/>
      <c r="I826" s="168"/>
      <c r="J826" s="168"/>
    </row>
    <row r="827" spans="1:10" ht="17">
      <c r="A827" s="168"/>
      <c r="B827" s="168"/>
      <c r="C827" s="168"/>
      <c r="G827" s="175"/>
      <c r="H827" s="175"/>
      <c r="I827" s="168"/>
      <c r="J827" s="168"/>
    </row>
    <row r="828" spans="1:10" ht="17">
      <c r="A828" s="168"/>
      <c r="B828" s="168"/>
      <c r="C828" s="168"/>
      <c r="G828" s="175"/>
      <c r="H828" s="175"/>
      <c r="I828" s="168"/>
      <c r="J828" s="168"/>
    </row>
    <row r="829" spans="1:10" ht="17">
      <c r="A829" s="168"/>
      <c r="B829" s="168"/>
      <c r="C829" s="168"/>
      <c r="G829" s="175"/>
      <c r="H829" s="175"/>
      <c r="I829" s="168"/>
      <c r="J829" s="168"/>
    </row>
    <row r="830" spans="1:10" ht="17">
      <c r="A830" s="168"/>
      <c r="B830" s="168"/>
      <c r="C830" s="168"/>
      <c r="G830" s="175"/>
      <c r="H830" s="175"/>
      <c r="I830" s="168"/>
      <c r="J830" s="168"/>
    </row>
    <row r="831" spans="1:10" ht="17">
      <c r="A831" s="168"/>
      <c r="B831" s="168"/>
      <c r="C831" s="168"/>
      <c r="G831" s="175"/>
      <c r="H831" s="175"/>
      <c r="I831" s="168"/>
      <c r="J831" s="168"/>
    </row>
    <row r="832" spans="1:10" ht="17">
      <c r="A832" s="168"/>
      <c r="B832" s="168"/>
      <c r="C832" s="168"/>
      <c r="G832" s="175"/>
      <c r="H832" s="175"/>
      <c r="I832" s="168"/>
      <c r="J832" s="168"/>
    </row>
    <row r="833" spans="1:10" ht="17">
      <c r="A833" s="168"/>
      <c r="B833" s="168"/>
      <c r="C833" s="168"/>
      <c r="G833" s="175"/>
      <c r="H833" s="175"/>
      <c r="I833" s="168"/>
      <c r="J833" s="168"/>
    </row>
    <row r="834" spans="1:10" ht="17">
      <c r="A834" s="168"/>
      <c r="B834" s="168"/>
      <c r="C834" s="168"/>
      <c r="G834" s="175"/>
      <c r="H834" s="175"/>
      <c r="I834" s="168"/>
      <c r="J834" s="168"/>
    </row>
    <row r="835" spans="1:10" ht="17">
      <c r="A835" s="168"/>
      <c r="B835" s="168"/>
      <c r="C835" s="168"/>
      <c r="G835" s="175"/>
      <c r="H835" s="175"/>
      <c r="I835" s="168"/>
      <c r="J835" s="168"/>
    </row>
    <row r="836" spans="1:10" ht="17">
      <c r="A836" s="168"/>
      <c r="B836" s="168"/>
      <c r="C836" s="168"/>
      <c r="G836" s="175"/>
      <c r="H836" s="175"/>
      <c r="I836" s="168"/>
      <c r="J836" s="168"/>
    </row>
    <row r="837" spans="1:10" ht="17">
      <c r="A837" s="168"/>
      <c r="B837" s="168"/>
      <c r="C837" s="168"/>
      <c r="G837" s="175"/>
      <c r="H837" s="175"/>
      <c r="I837" s="168"/>
      <c r="J837" s="168"/>
    </row>
    <row r="838" spans="1:10" ht="17">
      <c r="A838" s="168"/>
      <c r="B838" s="168"/>
      <c r="C838" s="168"/>
      <c r="G838" s="175"/>
      <c r="H838" s="175"/>
      <c r="I838" s="168"/>
      <c r="J838" s="168"/>
    </row>
    <row r="839" spans="1:10" ht="17">
      <c r="A839" s="168"/>
      <c r="B839" s="168"/>
      <c r="C839" s="168"/>
      <c r="G839" s="175"/>
      <c r="H839" s="175"/>
      <c r="I839" s="168"/>
      <c r="J839" s="168"/>
    </row>
    <row r="840" spans="1:10" ht="17">
      <c r="A840" s="168"/>
      <c r="B840" s="168"/>
      <c r="C840" s="168"/>
      <c r="G840" s="175"/>
      <c r="H840" s="175"/>
      <c r="I840" s="168"/>
      <c r="J840" s="168"/>
    </row>
    <row r="841" spans="1:10" ht="17">
      <c r="A841" s="168"/>
      <c r="B841" s="168"/>
      <c r="C841" s="168"/>
      <c r="G841" s="175"/>
      <c r="H841" s="175"/>
      <c r="I841" s="168"/>
      <c r="J841" s="168"/>
    </row>
    <row r="842" spans="1:10" ht="17">
      <c r="A842" s="168"/>
      <c r="B842" s="168"/>
      <c r="C842" s="168"/>
      <c r="G842" s="175"/>
      <c r="H842" s="175"/>
      <c r="I842" s="168"/>
      <c r="J842" s="168"/>
    </row>
    <row r="843" spans="1:10" ht="17">
      <c r="A843" s="168"/>
      <c r="B843" s="168"/>
      <c r="C843" s="168"/>
      <c r="G843" s="175"/>
      <c r="H843" s="175"/>
      <c r="I843" s="168"/>
      <c r="J843" s="168"/>
    </row>
    <row r="844" spans="1:10" ht="17">
      <c r="A844" s="168"/>
      <c r="B844" s="168"/>
      <c r="C844" s="168"/>
      <c r="G844" s="175"/>
      <c r="H844" s="175"/>
      <c r="I844" s="168"/>
      <c r="J844" s="168"/>
    </row>
    <row r="845" spans="1:10" ht="17">
      <c r="A845" s="168"/>
      <c r="B845" s="168"/>
      <c r="C845" s="168"/>
      <c r="G845" s="175"/>
      <c r="H845" s="175"/>
      <c r="I845" s="168"/>
      <c r="J845" s="168"/>
    </row>
    <row r="846" spans="1:10" ht="17">
      <c r="A846" s="168"/>
      <c r="B846" s="168"/>
      <c r="C846" s="168"/>
      <c r="G846" s="175"/>
      <c r="H846" s="175"/>
      <c r="I846" s="168"/>
      <c r="J846" s="168"/>
    </row>
    <row r="847" spans="1:10" ht="17">
      <c r="A847" s="168"/>
      <c r="B847" s="168"/>
      <c r="C847" s="168"/>
      <c r="G847" s="175"/>
      <c r="H847" s="175"/>
      <c r="I847" s="168"/>
      <c r="J847" s="168"/>
    </row>
    <row r="848" spans="1:10" ht="17">
      <c r="A848" s="168"/>
      <c r="B848" s="168"/>
      <c r="C848" s="168"/>
      <c r="G848" s="175"/>
      <c r="H848" s="175"/>
      <c r="I848" s="168"/>
      <c r="J848" s="168"/>
    </row>
    <row r="849" spans="1:10" ht="17">
      <c r="A849" s="168"/>
      <c r="B849" s="168"/>
      <c r="C849" s="168"/>
      <c r="G849" s="175"/>
      <c r="H849" s="175"/>
      <c r="I849" s="168"/>
      <c r="J849" s="168"/>
    </row>
    <row r="850" spans="1:10" ht="17">
      <c r="A850" s="168"/>
      <c r="B850" s="168"/>
      <c r="C850" s="168"/>
      <c r="G850" s="175"/>
      <c r="H850" s="175"/>
      <c r="I850" s="168"/>
      <c r="J850" s="168"/>
    </row>
    <row r="851" spans="1:10" ht="17">
      <c r="A851" s="168"/>
      <c r="B851" s="168"/>
      <c r="C851" s="168"/>
      <c r="G851" s="175"/>
      <c r="H851" s="175"/>
      <c r="I851" s="168"/>
      <c r="J851" s="168"/>
    </row>
    <row r="852" spans="1:10" ht="17">
      <c r="A852" s="168"/>
      <c r="B852" s="168"/>
      <c r="C852" s="168"/>
      <c r="G852" s="175"/>
      <c r="H852" s="175"/>
      <c r="I852" s="168"/>
      <c r="J852" s="168"/>
    </row>
    <row r="853" spans="1:10" ht="17">
      <c r="A853" s="168"/>
      <c r="B853" s="168"/>
      <c r="C853" s="168"/>
      <c r="G853" s="175"/>
      <c r="H853" s="175"/>
      <c r="I853" s="168"/>
      <c r="J853" s="168"/>
    </row>
    <row r="854" spans="1:10" ht="17">
      <c r="A854" s="168"/>
      <c r="B854" s="168"/>
      <c r="C854" s="168"/>
      <c r="G854" s="175"/>
      <c r="H854" s="175"/>
      <c r="I854" s="168"/>
      <c r="J854" s="168"/>
    </row>
    <row r="855" spans="1:10" ht="17">
      <c r="A855" s="168"/>
      <c r="B855" s="168"/>
      <c r="C855" s="168"/>
      <c r="G855" s="175"/>
      <c r="H855" s="175"/>
      <c r="I855" s="168"/>
      <c r="J855" s="168"/>
    </row>
    <row r="856" spans="1:10" ht="17">
      <c r="A856" s="168"/>
      <c r="B856" s="168"/>
      <c r="C856" s="168"/>
      <c r="G856" s="175"/>
      <c r="H856" s="175"/>
      <c r="I856" s="168"/>
      <c r="J856" s="168"/>
    </row>
    <row r="857" spans="1:10" ht="17">
      <c r="A857" s="168"/>
      <c r="B857" s="168"/>
      <c r="C857" s="168"/>
      <c r="G857" s="175"/>
      <c r="H857" s="175"/>
      <c r="I857" s="168"/>
      <c r="J857" s="168"/>
    </row>
    <row r="858" spans="1:10" ht="17">
      <c r="A858" s="168"/>
      <c r="B858" s="168"/>
      <c r="C858" s="168"/>
      <c r="G858" s="175"/>
      <c r="H858" s="175"/>
      <c r="I858" s="168"/>
      <c r="J858" s="168"/>
    </row>
    <row r="859" spans="1:10" ht="17">
      <c r="A859" s="168"/>
      <c r="B859" s="168"/>
      <c r="C859" s="168"/>
      <c r="G859" s="175"/>
      <c r="H859" s="175"/>
      <c r="I859" s="168"/>
      <c r="J859" s="168"/>
    </row>
    <row r="860" spans="1:10" ht="17">
      <c r="A860" s="168"/>
      <c r="B860" s="168"/>
      <c r="C860" s="168"/>
      <c r="G860" s="175"/>
      <c r="H860" s="175"/>
      <c r="I860" s="168"/>
      <c r="J860" s="168"/>
    </row>
    <row r="861" spans="1:10" ht="17">
      <c r="A861" s="168"/>
      <c r="B861" s="168"/>
      <c r="C861" s="168"/>
      <c r="G861" s="175"/>
      <c r="H861" s="175"/>
      <c r="I861" s="168"/>
      <c r="J861" s="168"/>
    </row>
    <row r="862" spans="1:10" ht="17">
      <c r="A862" s="168"/>
      <c r="B862" s="168"/>
      <c r="C862" s="168"/>
      <c r="G862" s="175"/>
      <c r="H862" s="175"/>
      <c r="I862" s="168"/>
      <c r="J862" s="168"/>
    </row>
    <row r="863" spans="1:10" ht="17">
      <c r="A863" s="168"/>
      <c r="B863" s="168"/>
      <c r="C863" s="168"/>
      <c r="G863" s="175"/>
      <c r="H863" s="175"/>
      <c r="I863" s="168"/>
      <c r="J863" s="168"/>
    </row>
    <row r="864" spans="1:10" ht="17">
      <c r="A864" s="168"/>
      <c r="B864" s="168"/>
      <c r="C864" s="168"/>
      <c r="G864" s="175"/>
      <c r="H864" s="175"/>
      <c r="I864" s="168"/>
      <c r="J864" s="168"/>
    </row>
    <row r="865" spans="1:10" ht="17">
      <c r="A865" s="168"/>
      <c r="B865" s="168"/>
      <c r="C865" s="168"/>
      <c r="G865" s="175"/>
      <c r="H865" s="175"/>
      <c r="I865" s="168"/>
      <c r="J865" s="168"/>
    </row>
    <row r="866" spans="1:10" ht="17">
      <c r="A866" s="168"/>
      <c r="B866" s="168"/>
      <c r="C866" s="168"/>
      <c r="G866" s="175"/>
      <c r="H866" s="175"/>
      <c r="I866" s="168"/>
      <c r="J866" s="168"/>
    </row>
    <row r="867" spans="1:10" ht="17">
      <c r="A867" s="168"/>
      <c r="B867" s="168"/>
      <c r="C867" s="168"/>
      <c r="G867" s="175"/>
      <c r="H867" s="175"/>
      <c r="I867" s="168"/>
      <c r="J867" s="168"/>
    </row>
    <row r="868" spans="1:10" ht="17">
      <c r="A868" s="168"/>
      <c r="B868" s="168"/>
      <c r="C868" s="168"/>
      <c r="G868" s="175"/>
      <c r="H868" s="175"/>
      <c r="I868" s="168"/>
      <c r="J868" s="168"/>
    </row>
    <row r="869" spans="1:10" ht="17">
      <c r="A869" s="168"/>
      <c r="B869" s="168"/>
      <c r="C869" s="168"/>
      <c r="G869" s="175"/>
      <c r="H869" s="175"/>
      <c r="I869" s="168"/>
      <c r="J869" s="168"/>
    </row>
    <row r="870" spans="1:10" ht="17">
      <c r="A870" s="168"/>
      <c r="B870" s="168"/>
      <c r="C870" s="168"/>
      <c r="G870" s="175"/>
      <c r="H870" s="175"/>
      <c r="I870" s="168"/>
      <c r="J870" s="168"/>
    </row>
    <row r="871" spans="1:10" ht="17">
      <c r="A871" s="168"/>
      <c r="B871" s="168"/>
      <c r="C871" s="168"/>
      <c r="G871" s="175"/>
      <c r="H871" s="175"/>
      <c r="I871" s="168"/>
      <c r="J871" s="168"/>
    </row>
    <row r="872" spans="1:10" ht="17">
      <c r="A872" s="168"/>
      <c r="B872" s="168"/>
      <c r="C872" s="168"/>
      <c r="G872" s="175"/>
      <c r="H872" s="175"/>
      <c r="I872" s="168"/>
      <c r="J872" s="168"/>
    </row>
    <row r="873" spans="1:10" ht="17">
      <c r="A873" s="168"/>
      <c r="B873" s="168"/>
      <c r="C873" s="168"/>
      <c r="G873" s="175"/>
      <c r="H873" s="175"/>
      <c r="I873" s="168"/>
      <c r="J873" s="168"/>
    </row>
    <row r="874" spans="1:10" ht="17">
      <c r="A874" s="168"/>
      <c r="B874" s="168"/>
      <c r="C874" s="168"/>
      <c r="G874" s="175"/>
      <c r="H874" s="175"/>
      <c r="I874" s="168"/>
      <c r="J874" s="168"/>
    </row>
    <row r="875" spans="1:10" ht="17">
      <c r="A875" s="168"/>
      <c r="B875" s="168"/>
      <c r="C875" s="168"/>
      <c r="G875" s="175"/>
      <c r="H875" s="175"/>
      <c r="I875" s="168"/>
      <c r="J875" s="168"/>
    </row>
    <row r="876" spans="1:10" ht="17">
      <c r="A876" s="168"/>
      <c r="B876" s="168"/>
      <c r="C876" s="168"/>
      <c r="G876" s="175"/>
      <c r="H876" s="175"/>
      <c r="I876" s="168"/>
      <c r="J876" s="168"/>
    </row>
    <row r="877" spans="1:10" ht="17">
      <c r="A877" s="168"/>
      <c r="B877" s="168"/>
      <c r="C877" s="168"/>
      <c r="G877" s="175"/>
      <c r="H877" s="175"/>
      <c r="I877" s="168"/>
      <c r="J877" s="168"/>
    </row>
    <row r="878" spans="1:10" ht="17">
      <c r="A878" s="168"/>
      <c r="B878" s="168"/>
      <c r="C878" s="168"/>
      <c r="G878" s="175"/>
      <c r="H878" s="175"/>
      <c r="I878" s="168"/>
      <c r="J878" s="168"/>
    </row>
    <row r="879" spans="1:10" ht="17">
      <c r="A879" s="168"/>
      <c r="B879" s="168"/>
      <c r="C879" s="168"/>
      <c r="G879" s="175"/>
      <c r="H879" s="175"/>
      <c r="I879" s="168"/>
      <c r="J879" s="168"/>
    </row>
    <row r="880" spans="1:10" ht="17">
      <c r="A880" s="168"/>
      <c r="B880" s="168"/>
      <c r="C880" s="168"/>
      <c r="G880" s="175"/>
      <c r="H880" s="175"/>
      <c r="I880" s="168"/>
      <c r="J880" s="168"/>
    </row>
    <row r="881" spans="1:10" ht="17">
      <c r="A881" s="168"/>
      <c r="B881" s="168"/>
      <c r="C881" s="168"/>
      <c r="G881" s="175"/>
      <c r="H881" s="175"/>
      <c r="I881" s="168"/>
      <c r="J881" s="168"/>
    </row>
    <row r="882" spans="1:10" ht="17">
      <c r="A882" s="168"/>
      <c r="B882" s="168"/>
      <c r="C882" s="168"/>
      <c r="G882" s="175"/>
      <c r="H882" s="175"/>
      <c r="I882" s="168"/>
      <c r="J882" s="168"/>
    </row>
    <row r="883" spans="1:10" ht="17">
      <c r="A883" s="168"/>
      <c r="B883" s="168"/>
      <c r="C883" s="168"/>
      <c r="G883" s="175"/>
      <c r="H883" s="175"/>
      <c r="I883" s="168"/>
      <c r="J883" s="168"/>
    </row>
    <row r="884" spans="1:10" ht="17">
      <c r="A884" s="168"/>
      <c r="B884" s="168"/>
      <c r="C884" s="168"/>
      <c r="G884" s="175"/>
      <c r="H884" s="175"/>
      <c r="I884" s="168"/>
      <c r="J884" s="168"/>
    </row>
    <row r="885" spans="1:10" ht="17">
      <c r="A885" s="168"/>
      <c r="B885" s="168"/>
      <c r="C885" s="168"/>
      <c r="G885" s="175"/>
      <c r="H885" s="175"/>
      <c r="I885" s="168"/>
      <c r="J885" s="168"/>
    </row>
    <row r="886" spans="1:10" ht="17">
      <c r="A886" s="168"/>
      <c r="B886" s="168"/>
      <c r="C886" s="168"/>
      <c r="G886" s="175"/>
      <c r="H886" s="175"/>
      <c r="I886" s="168"/>
      <c r="J886" s="168"/>
    </row>
    <row r="887" spans="1:10" ht="17">
      <c r="A887" s="168"/>
      <c r="B887" s="168"/>
      <c r="C887" s="168"/>
      <c r="G887" s="175"/>
      <c r="H887" s="175"/>
      <c r="I887" s="168"/>
      <c r="J887" s="168"/>
    </row>
    <row r="888" spans="1:10" ht="17">
      <c r="A888" s="168"/>
      <c r="B888" s="168"/>
      <c r="C888" s="168"/>
      <c r="G888" s="175"/>
      <c r="H888" s="175"/>
      <c r="I888" s="168"/>
      <c r="J888" s="168"/>
    </row>
    <row r="889" spans="1:10" ht="17">
      <c r="A889" s="168"/>
      <c r="B889" s="168"/>
      <c r="C889" s="168"/>
      <c r="G889" s="175"/>
      <c r="H889" s="175"/>
      <c r="I889" s="168"/>
      <c r="J889" s="168"/>
    </row>
    <row r="890" spans="1:10" ht="17">
      <c r="A890" s="168"/>
      <c r="B890" s="168"/>
      <c r="C890" s="168"/>
      <c r="G890" s="175"/>
      <c r="H890" s="175"/>
      <c r="I890" s="168"/>
      <c r="J890" s="168"/>
    </row>
    <row r="891" spans="1:10" ht="17">
      <c r="A891" s="168"/>
      <c r="B891" s="168"/>
      <c r="C891" s="168"/>
      <c r="G891" s="175"/>
      <c r="H891" s="175"/>
      <c r="I891" s="168"/>
      <c r="J891" s="168"/>
    </row>
    <row r="892" spans="1:10" ht="17">
      <c r="A892" s="168"/>
      <c r="B892" s="168"/>
      <c r="C892" s="168"/>
      <c r="G892" s="175"/>
      <c r="H892" s="175"/>
      <c r="I892" s="168"/>
      <c r="J892" s="168"/>
    </row>
    <row r="893" spans="1:10" ht="17">
      <c r="A893" s="168"/>
      <c r="B893" s="168"/>
      <c r="C893" s="168"/>
      <c r="G893" s="175"/>
      <c r="H893" s="175"/>
      <c r="I893" s="168"/>
      <c r="J893" s="168"/>
    </row>
    <row r="894" spans="1:10" ht="17">
      <c r="A894" s="168"/>
      <c r="B894" s="168"/>
      <c r="C894" s="168"/>
      <c r="G894" s="175"/>
      <c r="H894" s="175"/>
      <c r="I894" s="168"/>
      <c r="J894" s="168"/>
    </row>
    <row r="895" spans="1:10" ht="17">
      <c r="A895" s="168"/>
      <c r="B895" s="168"/>
      <c r="C895" s="168"/>
      <c r="G895" s="175"/>
      <c r="H895" s="175"/>
      <c r="I895" s="168"/>
      <c r="J895" s="168"/>
    </row>
    <row r="896" spans="1:10" ht="17">
      <c r="A896" s="168"/>
      <c r="B896" s="168"/>
      <c r="C896" s="168"/>
      <c r="G896" s="175"/>
      <c r="H896" s="175"/>
      <c r="I896" s="168"/>
      <c r="J896" s="168"/>
    </row>
    <row r="897" spans="1:10" ht="17">
      <c r="A897" s="168"/>
      <c r="B897" s="168"/>
      <c r="C897" s="168"/>
      <c r="G897" s="175"/>
      <c r="H897" s="175"/>
      <c r="I897" s="168"/>
      <c r="J897" s="168"/>
    </row>
    <row r="898" spans="1:10" ht="17">
      <c r="A898" s="168"/>
      <c r="B898" s="168"/>
      <c r="C898" s="168"/>
      <c r="G898" s="175"/>
      <c r="H898" s="175"/>
      <c r="I898" s="168"/>
      <c r="J898" s="168"/>
    </row>
    <row r="899" spans="1:10" ht="17">
      <c r="A899" s="168"/>
      <c r="B899" s="168"/>
      <c r="C899" s="168"/>
      <c r="G899" s="175"/>
      <c r="H899" s="175"/>
      <c r="I899" s="168"/>
      <c r="J899" s="168"/>
    </row>
    <row r="900" spans="1:10" ht="17">
      <c r="A900" s="168"/>
      <c r="B900" s="168"/>
      <c r="C900" s="168"/>
      <c r="G900" s="175"/>
      <c r="H900" s="175"/>
      <c r="I900" s="168"/>
      <c r="J900" s="168"/>
    </row>
    <row r="901" spans="1:10" ht="17">
      <c r="A901" s="168"/>
      <c r="B901" s="168"/>
      <c r="C901" s="168"/>
      <c r="G901" s="175"/>
      <c r="H901" s="175"/>
      <c r="I901" s="168"/>
      <c r="J901" s="168"/>
    </row>
    <row r="902" spans="1:10" ht="17">
      <c r="A902" s="168"/>
      <c r="B902" s="168"/>
      <c r="C902" s="168"/>
      <c r="G902" s="175"/>
      <c r="H902" s="175"/>
      <c r="I902" s="168"/>
      <c r="J902" s="168"/>
    </row>
    <row r="903" spans="1:10" ht="17">
      <c r="A903" s="168"/>
      <c r="B903" s="168"/>
      <c r="C903" s="168"/>
      <c r="G903" s="175"/>
      <c r="H903" s="175"/>
      <c r="I903" s="168"/>
      <c r="J903" s="168"/>
    </row>
    <row r="904" spans="1:10" ht="17">
      <c r="A904" s="168"/>
      <c r="B904" s="168"/>
      <c r="C904" s="168"/>
      <c r="G904" s="175"/>
      <c r="H904" s="175"/>
      <c r="I904" s="168"/>
      <c r="J904" s="168"/>
    </row>
    <row r="905" spans="1:10" ht="17">
      <c r="A905" s="168"/>
      <c r="B905" s="168"/>
      <c r="C905" s="168"/>
      <c r="G905" s="175"/>
      <c r="H905" s="175"/>
      <c r="I905" s="168"/>
      <c r="J905" s="168"/>
    </row>
    <row r="906" spans="1:10" ht="17">
      <c r="A906" s="168"/>
      <c r="B906" s="168"/>
      <c r="C906" s="168"/>
      <c r="G906" s="175"/>
      <c r="H906" s="175"/>
      <c r="I906" s="168"/>
      <c r="J906" s="168"/>
    </row>
    <row r="907" spans="1:10" ht="17">
      <c r="A907" s="168"/>
      <c r="B907" s="168"/>
      <c r="C907" s="168"/>
      <c r="G907" s="175"/>
      <c r="H907" s="175"/>
      <c r="I907" s="168"/>
      <c r="J907" s="168"/>
    </row>
    <row r="908" spans="1:10" ht="17">
      <c r="A908" s="168"/>
      <c r="B908" s="168"/>
      <c r="C908" s="168"/>
      <c r="G908" s="175"/>
      <c r="H908" s="175"/>
      <c r="I908" s="168"/>
      <c r="J908" s="168"/>
    </row>
    <row r="909" spans="1:10" ht="17">
      <c r="A909" s="168"/>
      <c r="B909" s="168"/>
      <c r="C909" s="168"/>
      <c r="G909" s="175"/>
      <c r="H909" s="175"/>
      <c r="I909" s="168"/>
      <c r="J909" s="168"/>
    </row>
    <row r="910" spans="1:10" ht="17">
      <c r="A910" s="168"/>
      <c r="B910" s="168"/>
      <c r="C910" s="168"/>
      <c r="G910" s="175"/>
      <c r="H910" s="175"/>
      <c r="I910" s="168"/>
      <c r="J910" s="168"/>
    </row>
    <row r="911" spans="1:10" ht="17">
      <c r="A911" s="168"/>
      <c r="B911" s="168"/>
      <c r="C911" s="168"/>
      <c r="G911" s="175"/>
      <c r="H911" s="175"/>
      <c r="I911" s="168"/>
      <c r="J911" s="168"/>
    </row>
    <row r="912" spans="1:10" ht="17">
      <c r="A912" s="168"/>
      <c r="B912" s="168"/>
      <c r="C912" s="168"/>
      <c r="G912" s="175"/>
      <c r="H912" s="175"/>
      <c r="I912" s="168"/>
      <c r="J912" s="168"/>
    </row>
    <row r="913" spans="1:10" ht="17">
      <c r="A913" s="168"/>
      <c r="B913" s="168"/>
      <c r="C913" s="168"/>
      <c r="G913" s="175"/>
      <c r="H913" s="175"/>
      <c r="I913" s="168"/>
      <c r="J913" s="168"/>
    </row>
    <row r="914" spans="1:10" ht="17">
      <c r="A914" s="168"/>
      <c r="B914" s="168"/>
      <c r="C914" s="168"/>
      <c r="G914" s="175"/>
      <c r="H914" s="175"/>
      <c r="I914" s="168"/>
      <c r="J914" s="168"/>
    </row>
    <row r="915" spans="1:10" ht="17">
      <c r="A915" s="168"/>
      <c r="B915" s="168"/>
      <c r="C915" s="168"/>
      <c r="G915" s="175"/>
      <c r="H915" s="175"/>
      <c r="I915" s="168"/>
      <c r="J915" s="168"/>
    </row>
    <row r="916" spans="1:10" ht="17">
      <c r="A916" s="168"/>
      <c r="B916" s="168"/>
      <c r="C916" s="168"/>
      <c r="G916" s="175"/>
      <c r="H916" s="175"/>
      <c r="I916" s="168"/>
      <c r="J916" s="168"/>
    </row>
    <row r="917" spans="1:10" ht="17">
      <c r="A917" s="168"/>
      <c r="B917" s="168"/>
      <c r="C917" s="168"/>
      <c r="G917" s="175"/>
      <c r="H917" s="175"/>
      <c r="I917" s="168"/>
      <c r="J917" s="168"/>
    </row>
    <row r="918" spans="1:10" ht="17">
      <c r="A918" s="168"/>
      <c r="B918" s="168"/>
      <c r="C918" s="168"/>
      <c r="G918" s="175"/>
      <c r="H918" s="175"/>
      <c r="I918" s="168"/>
      <c r="J918" s="168"/>
    </row>
    <row r="919" spans="1:10" ht="17">
      <c r="A919" s="168"/>
      <c r="B919" s="168"/>
      <c r="C919" s="168"/>
      <c r="G919" s="175"/>
      <c r="H919" s="175"/>
      <c r="I919" s="168"/>
      <c r="J919" s="168"/>
    </row>
    <row r="920" spans="1:10" ht="17">
      <c r="A920" s="168"/>
      <c r="B920" s="168"/>
      <c r="C920" s="168"/>
      <c r="G920" s="175"/>
      <c r="H920" s="175"/>
      <c r="I920" s="168"/>
      <c r="J920" s="168"/>
    </row>
    <row r="921" spans="1:10" ht="17">
      <c r="A921" s="168"/>
      <c r="B921" s="168"/>
      <c r="C921" s="168"/>
      <c r="G921" s="175"/>
      <c r="H921" s="175"/>
      <c r="I921" s="168"/>
      <c r="J921" s="168"/>
    </row>
    <row r="922" spans="1:10" ht="17">
      <c r="A922" s="168"/>
      <c r="B922" s="168"/>
      <c r="C922" s="168"/>
      <c r="G922" s="175"/>
      <c r="H922" s="175"/>
      <c r="I922" s="168"/>
      <c r="J922" s="168"/>
    </row>
    <row r="923" spans="1:10" ht="17">
      <c r="A923" s="168"/>
      <c r="B923" s="168"/>
      <c r="C923" s="168"/>
      <c r="G923" s="175"/>
      <c r="H923" s="175"/>
      <c r="I923" s="168"/>
      <c r="J923" s="168"/>
    </row>
    <row r="924" spans="1:10" ht="17">
      <c r="A924" s="168"/>
      <c r="B924" s="168"/>
      <c r="C924" s="168"/>
      <c r="G924" s="175"/>
      <c r="H924" s="175"/>
      <c r="I924" s="168"/>
      <c r="J924" s="168"/>
    </row>
    <row r="925" spans="1:10" ht="17">
      <c r="A925" s="168"/>
      <c r="B925" s="168"/>
      <c r="C925" s="168"/>
      <c r="G925" s="175"/>
      <c r="H925" s="175"/>
      <c r="I925" s="168"/>
      <c r="J925" s="168"/>
    </row>
    <row r="926" spans="1:10" ht="17">
      <c r="A926" s="168"/>
      <c r="B926" s="168"/>
      <c r="C926" s="168"/>
      <c r="G926" s="175"/>
      <c r="H926" s="175"/>
      <c r="I926" s="168"/>
      <c r="J926" s="168"/>
    </row>
    <row r="927" spans="1:10" ht="17">
      <c r="A927" s="168"/>
      <c r="B927" s="168"/>
      <c r="C927" s="168"/>
      <c r="G927" s="175"/>
      <c r="H927" s="175"/>
      <c r="I927" s="168"/>
      <c r="J927" s="168"/>
    </row>
    <row r="928" spans="1:10" ht="17">
      <c r="A928" s="168"/>
      <c r="B928" s="168"/>
      <c r="C928" s="168"/>
      <c r="G928" s="175"/>
      <c r="H928" s="175"/>
      <c r="I928" s="168"/>
      <c r="J928" s="168"/>
    </row>
    <row r="929" spans="1:10" ht="17">
      <c r="A929" s="168"/>
      <c r="B929" s="168"/>
      <c r="C929" s="168"/>
      <c r="G929" s="175"/>
      <c r="H929" s="175"/>
      <c r="I929" s="168"/>
      <c r="J929" s="168"/>
    </row>
    <row r="930" spans="1:10" ht="17">
      <c r="A930" s="168"/>
      <c r="B930" s="168"/>
      <c r="C930" s="168"/>
      <c r="G930" s="175"/>
      <c r="H930" s="175"/>
      <c r="I930" s="168"/>
      <c r="J930" s="168"/>
    </row>
    <row r="931" spans="1:10" ht="17">
      <c r="A931" s="168"/>
      <c r="B931" s="168"/>
      <c r="C931" s="168"/>
      <c r="G931" s="175"/>
      <c r="H931" s="175"/>
      <c r="I931" s="168"/>
      <c r="J931" s="168"/>
    </row>
    <row r="932" spans="1:10" ht="17">
      <c r="A932" s="168"/>
      <c r="B932" s="168"/>
      <c r="C932" s="168"/>
      <c r="G932" s="175"/>
      <c r="H932" s="175"/>
      <c r="I932" s="168"/>
      <c r="J932" s="168"/>
    </row>
    <row r="933" spans="1:10" ht="17">
      <c r="A933" s="168"/>
      <c r="B933" s="168"/>
      <c r="C933" s="168"/>
      <c r="G933" s="175"/>
      <c r="H933" s="175"/>
      <c r="I933" s="168"/>
      <c r="J933" s="168"/>
    </row>
    <row r="934" spans="1:10" ht="17">
      <c r="A934" s="168"/>
      <c r="B934" s="168"/>
      <c r="C934" s="168"/>
      <c r="G934" s="175"/>
      <c r="H934" s="175"/>
      <c r="I934" s="168"/>
      <c r="J934" s="168"/>
    </row>
    <row r="935" spans="1:10" ht="17">
      <c r="A935" s="168"/>
      <c r="B935" s="168"/>
      <c r="C935" s="168"/>
      <c r="G935" s="175"/>
      <c r="H935" s="175"/>
      <c r="I935" s="168"/>
      <c r="J935" s="168"/>
    </row>
    <row r="936" spans="1:10" ht="17">
      <c r="A936" s="168"/>
      <c r="B936" s="168"/>
      <c r="C936" s="168"/>
      <c r="G936" s="175"/>
      <c r="H936" s="175"/>
      <c r="I936" s="168"/>
      <c r="J936" s="168"/>
    </row>
    <row r="937" spans="1:10" ht="17">
      <c r="A937" s="168"/>
      <c r="B937" s="168"/>
      <c r="C937" s="168"/>
      <c r="G937" s="175"/>
      <c r="H937" s="175"/>
      <c r="I937" s="168"/>
      <c r="J937" s="168"/>
    </row>
    <row r="938" spans="1:10" ht="17">
      <c r="A938" s="168"/>
      <c r="B938" s="168"/>
      <c r="C938" s="168"/>
      <c r="G938" s="175"/>
      <c r="H938" s="175"/>
      <c r="I938" s="168"/>
      <c r="J938" s="168"/>
    </row>
    <row r="939" spans="1:10" ht="17">
      <c r="A939" s="168"/>
      <c r="B939" s="168"/>
      <c r="C939" s="168"/>
      <c r="G939" s="175"/>
      <c r="H939" s="175"/>
      <c r="I939" s="168"/>
      <c r="J939" s="168"/>
    </row>
    <row r="940" spans="1:10" ht="17">
      <c r="A940" s="168"/>
      <c r="B940" s="168"/>
      <c r="C940" s="168"/>
      <c r="G940" s="175"/>
      <c r="H940" s="175"/>
      <c r="I940" s="168"/>
      <c r="J940" s="168"/>
    </row>
    <row r="941" spans="1:10" ht="17">
      <c r="A941" s="168"/>
      <c r="B941" s="168"/>
      <c r="C941" s="168"/>
      <c r="G941" s="175"/>
      <c r="H941" s="175"/>
      <c r="I941" s="168"/>
      <c r="J941" s="168"/>
    </row>
    <row r="942" spans="1:10" ht="17">
      <c r="A942" s="168"/>
      <c r="B942" s="168"/>
      <c r="C942" s="168"/>
      <c r="G942" s="175"/>
      <c r="H942" s="175"/>
      <c r="I942" s="168"/>
      <c r="J942" s="168"/>
    </row>
    <row r="943" spans="1:10" ht="17">
      <c r="A943" s="168"/>
      <c r="B943" s="168"/>
      <c r="C943" s="168"/>
      <c r="G943" s="175"/>
      <c r="H943" s="175"/>
      <c r="I943" s="168"/>
      <c r="J943" s="168"/>
    </row>
    <row r="944" spans="1:10" ht="17">
      <c r="A944" s="168"/>
      <c r="B944" s="168"/>
      <c r="C944" s="168"/>
      <c r="G944" s="175"/>
      <c r="H944" s="175"/>
      <c r="I944" s="168"/>
      <c r="J944" s="168"/>
    </row>
    <row r="945" spans="1:10" ht="17">
      <c r="A945" s="168"/>
      <c r="B945" s="168"/>
      <c r="C945" s="168"/>
      <c r="G945" s="175"/>
      <c r="H945" s="175"/>
      <c r="I945" s="168"/>
      <c r="J945" s="168"/>
    </row>
    <row r="946" spans="1:10" ht="17">
      <c r="A946" s="168"/>
      <c r="B946" s="168"/>
      <c r="C946" s="168"/>
      <c r="G946" s="175"/>
      <c r="H946" s="175"/>
      <c r="I946" s="168"/>
      <c r="J946" s="168"/>
    </row>
    <row r="947" spans="1:10" ht="17">
      <c r="A947" s="168"/>
      <c r="B947" s="168"/>
      <c r="C947" s="168"/>
      <c r="G947" s="175"/>
      <c r="H947" s="175"/>
      <c r="I947" s="168"/>
      <c r="J947" s="168"/>
    </row>
    <row r="948" spans="1:10" ht="17">
      <c r="A948" s="168"/>
      <c r="B948" s="168"/>
      <c r="C948" s="168"/>
      <c r="G948" s="175"/>
      <c r="H948" s="175"/>
      <c r="I948" s="168"/>
      <c r="J948" s="168"/>
    </row>
    <row r="949" spans="1:10" ht="17">
      <c r="A949" s="168"/>
      <c r="B949" s="168"/>
      <c r="C949" s="168"/>
      <c r="G949" s="175"/>
      <c r="H949" s="175"/>
      <c r="I949" s="168"/>
      <c r="J949" s="168"/>
    </row>
    <row r="950" spans="1:10" ht="17">
      <c r="A950" s="168"/>
      <c r="B950" s="168"/>
      <c r="C950" s="168"/>
      <c r="G950" s="175"/>
      <c r="H950" s="175"/>
      <c r="I950" s="168"/>
      <c r="J950" s="168"/>
    </row>
    <row r="951" spans="1:10" ht="17">
      <c r="A951" s="168"/>
      <c r="B951" s="168"/>
      <c r="C951" s="168"/>
      <c r="G951" s="175"/>
      <c r="H951" s="175"/>
      <c r="I951" s="168"/>
      <c r="J951" s="168"/>
    </row>
    <row r="952" spans="1:10" ht="17">
      <c r="A952" s="168"/>
      <c r="B952" s="168"/>
      <c r="C952" s="168"/>
      <c r="G952" s="175"/>
      <c r="H952" s="175"/>
      <c r="I952" s="168"/>
      <c r="J952" s="168"/>
    </row>
    <row r="953" spans="1:10" ht="17">
      <c r="A953" s="168"/>
      <c r="B953" s="168"/>
      <c r="C953" s="168"/>
      <c r="G953" s="175"/>
      <c r="H953" s="175"/>
      <c r="I953" s="168"/>
      <c r="J953" s="168"/>
    </row>
    <row r="954" spans="1:10" ht="17">
      <c r="A954" s="168"/>
      <c r="B954" s="168"/>
      <c r="C954" s="168"/>
      <c r="G954" s="175"/>
      <c r="H954" s="175"/>
      <c r="I954" s="168"/>
      <c r="J954" s="168"/>
    </row>
    <row r="955" spans="1:10" ht="17">
      <c r="A955" s="168"/>
      <c r="B955" s="168"/>
      <c r="C955" s="168"/>
      <c r="G955" s="175"/>
      <c r="H955" s="175"/>
      <c r="I955" s="168"/>
      <c r="J955" s="168"/>
    </row>
    <row r="956" spans="1:10" ht="17">
      <c r="A956" s="168"/>
      <c r="B956" s="168"/>
      <c r="C956" s="168"/>
      <c r="G956" s="175"/>
      <c r="H956" s="175"/>
      <c r="I956" s="168"/>
      <c r="J956" s="168"/>
    </row>
    <row r="957" spans="1:10" ht="17">
      <c r="A957" s="168"/>
      <c r="B957" s="168"/>
      <c r="C957" s="168"/>
      <c r="G957" s="175"/>
      <c r="H957" s="175"/>
      <c r="I957" s="168"/>
      <c r="J957" s="168"/>
    </row>
    <row r="958" spans="1:10" ht="17">
      <c r="A958" s="168"/>
      <c r="B958" s="168"/>
      <c r="C958" s="168"/>
      <c r="G958" s="175"/>
      <c r="H958" s="175"/>
      <c r="I958" s="168"/>
      <c r="J958" s="168"/>
    </row>
    <row r="959" spans="1:10" ht="17">
      <c r="A959" s="168"/>
      <c r="B959" s="168"/>
      <c r="C959" s="168"/>
      <c r="G959" s="175"/>
      <c r="H959" s="175"/>
      <c r="I959" s="168"/>
      <c r="J959" s="168"/>
    </row>
    <row r="960" spans="1:10" ht="17">
      <c r="A960" s="168"/>
      <c r="B960" s="168"/>
      <c r="C960" s="168"/>
      <c r="G960" s="175"/>
      <c r="H960" s="175"/>
      <c r="I960" s="168"/>
      <c r="J960" s="168"/>
    </row>
    <row r="961" spans="1:10" ht="17">
      <c r="A961" s="168"/>
      <c r="B961" s="168"/>
      <c r="C961" s="168"/>
      <c r="G961" s="175"/>
      <c r="H961" s="175"/>
      <c r="I961" s="168"/>
      <c r="J961" s="168"/>
    </row>
    <row r="962" spans="1:10" ht="17">
      <c r="A962" s="168"/>
      <c r="B962" s="168"/>
      <c r="C962" s="168"/>
      <c r="G962" s="175"/>
      <c r="H962" s="175"/>
      <c r="I962" s="168"/>
      <c r="J962" s="168"/>
    </row>
    <row r="963" spans="1:10" ht="17">
      <c r="A963" s="168"/>
      <c r="B963" s="168"/>
      <c r="C963" s="168"/>
      <c r="G963" s="175"/>
      <c r="H963" s="175"/>
      <c r="I963" s="168"/>
      <c r="J963" s="168"/>
    </row>
    <row r="964" spans="1:10" ht="17">
      <c r="A964" s="168"/>
      <c r="B964" s="168"/>
      <c r="C964" s="168"/>
      <c r="G964" s="175"/>
      <c r="H964" s="175"/>
      <c r="I964" s="168"/>
      <c r="J964" s="168"/>
    </row>
    <row r="965" spans="1:10" ht="17">
      <c r="A965" s="168"/>
      <c r="B965" s="168"/>
      <c r="C965" s="168"/>
      <c r="G965" s="175"/>
      <c r="H965" s="175"/>
      <c r="I965" s="168"/>
      <c r="J965" s="168"/>
    </row>
    <row r="966" spans="1:10" ht="17">
      <c r="A966" s="168"/>
      <c r="B966" s="168"/>
      <c r="C966" s="168"/>
      <c r="G966" s="175"/>
      <c r="H966" s="175"/>
      <c r="I966" s="168"/>
      <c r="J966" s="168"/>
    </row>
    <row r="967" spans="1:10" ht="17">
      <c r="A967" s="168"/>
      <c r="B967" s="168"/>
      <c r="C967" s="168"/>
      <c r="G967" s="175"/>
      <c r="H967" s="175"/>
      <c r="I967" s="168"/>
      <c r="J967" s="168"/>
    </row>
    <row r="968" spans="1:10" ht="17">
      <c r="A968" s="168"/>
      <c r="B968" s="168"/>
      <c r="C968" s="168"/>
      <c r="G968" s="175"/>
      <c r="H968" s="175"/>
      <c r="I968" s="168"/>
      <c r="J968" s="168"/>
    </row>
    <row r="969" spans="1:10" ht="17">
      <c r="A969" s="168"/>
      <c r="B969" s="168"/>
      <c r="C969" s="168"/>
      <c r="G969" s="175"/>
      <c r="H969" s="175"/>
      <c r="I969" s="168"/>
      <c r="J969" s="168"/>
    </row>
    <row r="970" spans="1:10" ht="17">
      <c r="A970" s="168"/>
      <c r="B970" s="168"/>
      <c r="C970" s="168"/>
      <c r="G970" s="175"/>
      <c r="H970" s="175"/>
      <c r="I970" s="168"/>
      <c r="J970" s="168"/>
    </row>
    <row r="971" spans="1:10" ht="17">
      <c r="A971" s="168"/>
      <c r="B971" s="168"/>
      <c r="C971" s="168"/>
      <c r="G971" s="175"/>
      <c r="H971" s="175"/>
      <c r="I971" s="168"/>
      <c r="J971" s="168"/>
    </row>
    <row r="972" spans="1:10" ht="17">
      <c r="A972" s="168"/>
      <c r="B972" s="168"/>
      <c r="C972" s="168"/>
      <c r="G972" s="175"/>
      <c r="H972" s="175"/>
      <c r="I972" s="168"/>
      <c r="J972" s="168"/>
    </row>
    <row r="973" spans="1:10" ht="17">
      <c r="A973" s="168"/>
      <c r="B973" s="168"/>
      <c r="C973" s="168"/>
      <c r="G973" s="175"/>
      <c r="H973" s="175"/>
      <c r="I973" s="168"/>
      <c r="J973" s="168"/>
    </row>
    <row r="974" spans="1:10" ht="17">
      <c r="A974" s="168"/>
      <c r="B974" s="168"/>
      <c r="C974" s="168"/>
      <c r="G974" s="175"/>
      <c r="H974" s="175"/>
      <c r="I974" s="168"/>
      <c r="J974" s="168"/>
    </row>
    <row r="975" spans="1:10" ht="17">
      <c r="A975" s="168"/>
      <c r="B975" s="168"/>
      <c r="C975" s="168"/>
      <c r="G975" s="175"/>
      <c r="H975" s="175"/>
      <c r="I975" s="168"/>
      <c r="J975" s="168"/>
    </row>
    <row r="976" spans="1:10" ht="17">
      <c r="A976" s="168"/>
      <c r="B976" s="168"/>
      <c r="C976" s="168"/>
      <c r="G976" s="175"/>
      <c r="H976" s="175"/>
      <c r="I976" s="168"/>
      <c r="J976" s="168"/>
    </row>
    <row r="977" spans="1:10" ht="17">
      <c r="A977" s="168"/>
      <c r="B977" s="168"/>
      <c r="C977" s="168"/>
      <c r="G977" s="175"/>
      <c r="H977" s="175"/>
      <c r="I977" s="168"/>
      <c r="J977" s="168"/>
    </row>
    <row r="978" spans="1:10" ht="17">
      <c r="A978" s="168"/>
      <c r="B978" s="168"/>
      <c r="C978" s="168"/>
      <c r="G978" s="175"/>
      <c r="H978" s="175"/>
      <c r="I978" s="168"/>
      <c r="J978" s="168"/>
    </row>
    <row r="979" spans="1:10" ht="17">
      <c r="A979" s="168"/>
      <c r="B979" s="168"/>
      <c r="C979" s="168"/>
      <c r="G979" s="175"/>
      <c r="H979" s="175"/>
      <c r="I979" s="168"/>
      <c r="J979" s="168"/>
    </row>
    <row r="980" spans="1:10" ht="17">
      <c r="A980" s="168"/>
      <c r="B980" s="168"/>
      <c r="C980" s="168"/>
      <c r="G980" s="175"/>
      <c r="H980" s="175"/>
      <c r="I980" s="168"/>
      <c r="J980" s="168"/>
    </row>
    <row r="981" spans="1:10" ht="17">
      <c r="A981" s="168"/>
      <c r="B981" s="168"/>
      <c r="C981" s="168"/>
      <c r="G981" s="175"/>
      <c r="H981" s="175"/>
      <c r="I981" s="168"/>
      <c r="J981" s="168"/>
    </row>
    <row r="982" spans="1:10" ht="17">
      <c r="A982" s="168"/>
      <c r="B982" s="168"/>
      <c r="C982" s="168"/>
      <c r="G982" s="175"/>
      <c r="H982" s="175"/>
      <c r="I982" s="168"/>
      <c r="J982" s="168"/>
    </row>
    <row r="983" spans="1:10" ht="17">
      <c r="A983" s="168"/>
      <c r="B983" s="168"/>
      <c r="C983" s="168"/>
      <c r="G983" s="175"/>
      <c r="H983" s="175"/>
      <c r="I983" s="168"/>
      <c r="J983" s="168"/>
    </row>
    <row r="984" spans="1:10" ht="17">
      <c r="A984" s="168"/>
      <c r="B984" s="168"/>
      <c r="C984" s="168"/>
      <c r="G984" s="175"/>
      <c r="H984" s="175"/>
      <c r="I984" s="168"/>
      <c r="J984" s="168"/>
    </row>
    <row r="985" spans="1:10" ht="17">
      <c r="A985" s="168"/>
      <c r="B985" s="168"/>
      <c r="C985" s="168"/>
      <c r="G985" s="175"/>
      <c r="H985" s="175"/>
      <c r="I985" s="168"/>
      <c r="J985" s="168"/>
    </row>
    <row r="986" spans="1:10" ht="17">
      <c r="A986" s="168"/>
      <c r="B986" s="168"/>
      <c r="C986" s="168"/>
      <c r="G986" s="175"/>
      <c r="H986" s="175"/>
      <c r="I986" s="168"/>
      <c r="J986" s="168"/>
    </row>
    <row r="987" spans="1:10" ht="17">
      <c r="A987" s="168"/>
      <c r="B987" s="168"/>
      <c r="C987" s="168"/>
      <c r="G987" s="175"/>
      <c r="H987" s="175"/>
      <c r="I987" s="168"/>
      <c r="J987" s="168"/>
    </row>
    <row r="988" spans="1:10" ht="17">
      <c r="A988" s="168"/>
      <c r="B988" s="168"/>
      <c r="C988" s="168"/>
      <c r="G988" s="175"/>
      <c r="H988" s="175"/>
      <c r="I988" s="168"/>
      <c r="J988" s="168"/>
    </row>
    <row r="989" spans="1:10" ht="17">
      <c r="A989" s="168"/>
      <c r="B989" s="168"/>
      <c r="C989" s="168"/>
      <c r="G989" s="175"/>
      <c r="H989" s="175"/>
      <c r="I989" s="168"/>
      <c r="J989" s="168"/>
    </row>
    <row r="990" spans="1:10" ht="17">
      <c r="A990" s="168"/>
      <c r="B990" s="168"/>
      <c r="C990" s="168"/>
      <c r="G990" s="175"/>
      <c r="H990" s="175"/>
      <c r="I990" s="168"/>
      <c r="J990" s="168"/>
    </row>
    <row r="991" spans="1:10" ht="17">
      <c r="A991" s="168"/>
      <c r="B991" s="168"/>
      <c r="C991" s="168"/>
      <c r="G991" s="175"/>
      <c r="H991" s="175"/>
      <c r="I991" s="168"/>
      <c r="J991" s="168"/>
    </row>
    <row r="992" spans="1:10" ht="17">
      <c r="A992" s="168"/>
      <c r="B992" s="168"/>
      <c r="C992" s="168"/>
      <c r="G992" s="175"/>
      <c r="H992" s="175"/>
      <c r="I992" s="168"/>
      <c r="J992" s="168"/>
    </row>
    <row r="993" spans="1:10" ht="17">
      <c r="A993" s="168"/>
      <c r="B993" s="168"/>
      <c r="C993" s="168"/>
      <c r="G993" s="175"/>
      <c r="H993" s="175"/>
      <c r="I993" s="168"/>
      <c r="J993" s="168"/>
    </row>
    <row r="994" spans="1:10" ht="17">
      <c r="A994" s="168"/>
      <c r="B994" s="168"/>
      <c r="C994" s="168"/>
      <c r="G994" s="175"/>
      <c r="H994" s="175"/>
      <c r="I994" s="168"/>
      <c r="J994" s="168"/>
    </row>
    <row r="995" spans="1:10" ht="17">
      <c r="A995" s="168"/>
      <c r="B995" s="168"/>
      <c r="C995" s="168"/>
      <c r="G995" s="175"/>
      <c r="H995" s="175"/>
      <c r="I995" s="168"/>
      <c r="J995" s="168"/>
    </row>
    <row r="996" spans="1:10" ht="17">
      <c r="A996" s="168"/>
      <c r="B996" s="168"/>
      <c r="C996" s="168"/>
      <c r="G996" s="175"/>
      <c r="H996" s="175"/>
      <c r="I996" s="168"/>
      <c r="J996" s="168"/>
    </row>
    <row r="997" spans="1:10" ht="17">
      <c r="A997" s="168"/>
      <c r="B997" s="168"/>
      <c r="C997" s="168"/>
      <c r="G997" s="175"/>
      <c r="H997" s="175"/>
      <c r="I997" s="168"/>
      <c r="J997" s="168"/>
    </row>
    <row r="998" spans="1:10" ht="17">
      <c r="A998" s="168"/>
      <c r="B998" s="168"/>
      <c r="C998" s="168"/>
      <c r="G998" s="175"/>
      <c r="H998" s="175"/>
      <c r="I998" s="168"/>
      <c r="J998" s="168"/>
    </row>
    <row r="999" spans="1:10" ht="17">
      <c r="A999" s="168"/>
      <c r="B999" s="168"/>
      <c r="C999" s="168"/>
      <c r="G999" s="175"/>
      <c r="H999" s="175"/>
      <c r="I999" s="168"/>
      <c r="J999" s="168"/>
    </row>
    <row r="1000" spans="1:10" ht="17">
      <c r="A1000" s="168"/>
      <c r="B1000" s="168"/>
      <c r="C1000" s="168"/>
      <c r="G1000" s="175"/>
      <c r="H1000" s="175"/>
      <c r="I1000" s="168"/>
      <c r="J1000" s="168"/>
    </row>
  </sheetData>
  <customSheetViews>
    <customSheetView guid="{D79BF14D-0E82-45EB-9150-71D665DC09E0}" filter="1" showAutoFilter="1">
      <pageMargins left="0.7" right="0.7" top="0.75" bottom="0.75" header="0.3" footer="0.3"/>
      <autoFilter ref="B1:C200" xr:uid="{AC112D3B-68AB-934D-A8BE-4065070AFE35}">
        <filterColumn colId="1">
          <filters>
            <filter val="A solid background in circuit theory is needed for the power electronics sequence. Assignments and exams were fair. If you don't have a background in EE, you might find this course (and the pathway) more difficult."/>
            <filter val="An understanding of the basics of control theory is strongly recommended. This is the hardest course in the power electronics pathway. Assignments and exam are difficult, but still fair if you devote time to studying."/>
            <filter val="comfort in Verilog helps"/>
            <filter val="Expect to do do some learning from outside content like YouTube to get a better understanding"/>
            <filter val="Good amount of verilog and vhdl usage in this class. Concepts explained well in lectures. Quizes help for studying for final. Many multiple part questions with no partial credit."/>
            <filter val="Great instructor"/>
            <filter val="just review the quizes"/>
            <filter val="Know Poisson’s equation. Challenging HW assignments"/>
            <filter val="Lighter course load than the previous 2 courses in the series"/>
            <filter val="no prior knowledge necessary"/>
            <filter val="Prior course covers all you need to know"/>
            <filter val="Quizzes were straight forward if you follow the lectures. Exam was very memorization heavy, all about device datasheets contents."/>
            <filter val="Some background in basic college physics (mechanics and e&amp;m) as well as differential equations, will be useful. The course is doable without these, but expect more time commitment due to having to spend more time on the prereq topics."/>
            <filter val="Some knowledge of Fourier transform needed"/>
            <filter val="Very easy class. Mostly a review of a market research study. It also helps you learn some jargon regarding encryption."/>
          </filters>
        </filterColumn>
      </autoFilter>
    </customSheetView>
  </customSheetViews>
  <conditionalFormatting sqref="G1:G1000">
    <cfRule type="containsText" dxfId="2" priority="1" operator="containsText" text="DTSA">
      <formula>NOT(ISERROR(SEARCH(("DTSA"),(G1))))</formula>
    </cfRule>
    <cfRule type="containsText" dxfId="1" priority="2" operator="containsText" text="EMEA">
      <formula>NOT(ISERROR(SEARCH(("EMEA"),(G1))))</formula>
    </cfRule>
    <cfRule type="containsText" dxfId="0" priority="3" operator="containsText" text="ECEA">
      <formula>NOT(ISERROR(SEARCH(("ECEA"),(G1))))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P1000"/>
  <sheetViews>
    <sheetView workbookViewId="0"/>
  </sheetViews>
  <sheetFormatPr baseColWidth="10" defaultColWidth="14.5" defaultRowHeight="15" customHeight="1"/>
  <cols>
    <col min="1" max="1" width="9.33203125" customWidth="1"/>
    <col min="2" max="2" width="30.1640625" customWidth="1"/>
    <col min="3" max="3" width="159.33203125" customWidth="1"/>
    <col min="4" max="16" width="8.6640625" customWidth="1"/>
  </cols>
  <sheetData>
    <row r="1" spans="1:16">
      <c r="A1" s="84" t="s">
        <v>9</v>
      </c>
      <c r="B1" s="85" t="s">
        <v>10</v>
      </c>
      <c r="C1" s="86" t="s">
        <v>177</v>
      </c>
      <c r="D1" s="87"/>
      <c r="E1" s="6"/>
      <c r="F1" s="6"/>
      <c r="G1" s="6"/>
      <c r="H1" s="6"/>
      <c r="I1" s="6"/>
      <c r="J1" s="6"/>
      <c r="K1" s="6"/>
      <c r="L1" s="6"/>
      <c r="M1" s="6"/>
      <c r="N1" s="6"/>
      <c r="O1" s="6"/>
      <c r="P1" s="6"/>
    </row>
    <row r="2" spans="1:16">
      <c r="A2" s="88" t="s">
        <v>19</v>
      </c>
      <c r="B2" s="89" t="s">
        <v>20</v>
      </c>
      <c r="C2" s="90" t="s">
        <v>178</v>
      </c>
      <c r="D2" s="87"/>
      <c r="E2" s="6"/>
      <c r="F2" s="6"/>
      <c r="G2" s="6"/>
      <c r="H2" s="6"/>
      <c r="I2" s="6"/>
      <c r="J2" s="6"/>
      <c r="K2" s="6"/>
      <c r="L2" s="6"/>
      <c r="M2" s="6"/>
      <c r="N2" s="6"/>
      <c r="O2" s="6"/>
      <c r="P2" s="6"/>
    </row>
    <row r="3" spans="1:16">
      <c r="A3" s="91" t="s">
        <v>26</v>
      </c>
      <c r="B3" s="92" t="s">
        <v>27</v>
      </c>
      <c r="C3" s="93" t="s">
        <v>179</v>
      </c>
      <c r="D3" s="87"/>
      <c r="E3" s="6"/>
      <c r="F3" s="6"/>
      <c r="G3" s="6"/>
      <c r="H3" s="6"/>
      <c r="I3" s="6"/>
      <c r="J3" s="6"/>
      <c r="K3" s="6"/>
      <c r="L3" s="6"/>
      <c r="M3" s="6"/>
      <c r="N3" s="6"/>
      <c r="O3" s="6"/>
      <c r="P3" s="6"/>
    </row>
    <row r="4" spans="1:16">
      <c r="A4" s="94" t="s">
        <v>29</v>
      </c>
      <c r="B4" s="95" t="s">
        <v>180</v>
      </c>
      <c r="C4" s="96" t="s">
        <v>181</v>
      </c>
      <c r="D4" s="87"/>
      <c r="E4" s="6"/>
      <c r="F4" s="6"/>
      <c r="G4" s="6"/>
      <c r="H4" s="6"/>
      <c r="I4" s="6"/>
      <c r="J4" s="6"/>
      <c r="K4" s="6"/>
      <c r="L4" s="6"/>
      <c r="M4" s="6"/>
      <c r="N4" s="6"/>
      <c r="O4" s="6"/>
      <c r="P4" s="6"/>
    </row>
    <row r="5" spans="1:16">
      <c r="A5" s="88" t="s">
        <v>96</v>
      </c>
      <c r="B5" s="89" t="s">
        <v>97</v>
      </c>
      <c r="C5" s="90" t="s">
        <v>182</v>
      </c>
      <c r="D5" s="87"/>
      <c r="E5" s="6"/>
      <c r="F5" s="6"/>
      <c r="G5" s="6"/>
      <c r="H5" s="6"/>
      <c r="I5" s="6"/>
      <c r="J5" s="6"/>
      <c r="K5" s="6"/>
      <c r="L5" s="6"/>
      <c r="M5" s="6"/>
      <c r="N5" s="6"/>
      <c r="O5" s="6"/>
      <c r="P5" s="6"/>
    </row>
    <row r="6" spans="1:16">
      <c r="A6" s="91" t="s">
        <v>102</v>
      </c>
      <c r="B6" s="92" t="s">
        <v>103</v>
      </c>
      <c r="C6" s="93" t="s">
        <v>183</v>
      </c>
      <c r="D6" s="87"/>
      <c r="E6" s="6"/>
      <c r="F6" s="6"/>
      <c r="G6" s="6"/>
      <c r="H6" s="6"/>
      <c r="I6" s="6"/>
      <c r="J6" s="6"/>
      <c r="K6" s="6"/>
      <c r="L6" s="6"/>
      <c r="M6" s="6"/>
      <c r="N6" s="6"/>
      <c r="O6" s="6"/>
      <c r="P6" s="6"/>
    </row>
    <row r="7" spans="1:16">
      <c r="A7" s="94" t="s">
        <v>105</v>
      </c>
      <c r="B7" s="95" t="s">
        <v>106</v>
      </c>
      <c r="C7" s="96" t="s">
        <v>184</v>
      </c>
      <c r="D7" s="87"/>
      <c r="E7" s="6"/>
      <c r="F7" s="6"/>
      <c r="G7" s="6"/>
      <c r="H7" s="6"/>
      <c r="I7" s="6"/>
      <c r="J7" s="6"/>
      <c r="K7" s="6"/>
      <c r="L7" s="6"/>
      <c r="M7" s="6"/>
      <c r="N7" s="6"/>
      <c r="O7" s="6"/>
      <c r="P7" s="6"/>
    </row>
    <row r="8" spans="1:16">
      <c r="A8" s="88" t="s">
        <v>46</v>
      </c>
      <c r="B8" s="97" t="s">
        <v>47</v>
      </c>
      <c r="C8" s="90" t="s">
        <v>185</v>
      </c>
      <c r="D8" s="87"/>
      <c r="E8" s="6"/>
      <c r="F8" s="6"/>
      <c r="G8" s="6"/>
      <c r="H8" s="6"/>
      <c r="I8" s="6"/>
      <c r="J8" s="6"/>
      <c r="K8" s="6"/>
      <c r="L8" s="6"/>
      <c r="M8" s="6"/>
      <c r="N8" s="6"/>
      <c r="O8" s="6"/>
      <c r="P8" s="6"/>
    </row>
    <row r="9" spans="1:16">
      <c r="A9" s="91" t="s">
        <v>53</v>
      </c>
      <c r="B9" s="98" t="s">
        <v>54</v>
      </c>
      <c r="C9" s="93" t="s">
        <v>186</v>
      </c>
      <c r="D9" s="87"/>
      <c r="E9" s="6"/>
      <c r="F9" s="6"/>
      <c r="G9" s="6"/>
      <c r="H9" s="6"/>
      <c r="I9" s="6"/>
      <c r="J9" s="6"/>
      <c r="K9" s="6"/>
      <c r="L9" s="6"/>
      <c r="M9" s="6"/>
      <c r="N9" s="6"/>
      <c r="O9" s="6"/>
      <c r="P9" s="6"/>
    </row>
    <row r="10" spans="1:16">
      <c r="A10" s="94" t="s">
        <v>56</v>
      </c>
      <c r="B10" s="99" t="s">
        <v>57</v>
      </c>
      <c r="C10" s="96" t="s">
        <v>187</v>
      </c>
      <c r="D10" s="87"/>
      <c r="E10" s="6"/>
      <c r="F10" s="6"/>
      <c r="G10" s="6"/>
      <c r="H10" s="6"/>
      <c r="I10" s="6"/>
      <c r="J10" s="6"/>
      <c r="K10" s="6"/>
      <c r="L10" s="6"/>
      <c r="M10" s="6"/>
      <c r="N10" s="6"/>
      <c r="O10" s="6"/>
      <c r="P10" s="6"/>
    </row>
    <row r="11" spans="1:16">
      <c r="A11" s="88" t="s">
        <v>70</v>
      </c>
      <c r="B11" s="97" t="s">
        <v>71</v>
      </c>
      <c r="C11" s="90" t="s">
        <v>188</v>
      </c>
      <c r="D11" s="87"/>
      <c r="E11" s="6"/>
      <c r="F11" s="6"/>
      <c r="G11" s="6"/>
      <c r="H11" s="6"/>
      <c r="I11" s="6"/>
      <c r="J11" s="6"/>
      <c r="K11" s="6"/>
      <c r="L11" s="6"/>
      <c r="M11" s="6"/>
      <c r="N11" s="6"/>
      <c r="O11" s="6"/>
      <c r="P11" s="6"/>
    </row>
    <row r="12" spans="1:16">
      <c r="A12" s="91" t="s">
        <v>76</v>
      </c>
      <c r="B12" s="98" t="s">
        <v>77</v>
      </c>
      <c r="C12" s="93" t="s">
        <v>189</v>
      </c>
      <c r="D12" s="87"/>
      <c r="E12" s="6"/>
      <c r="F12" s="6"/>
      <c r="G12" s="6"/>
      <c r="H12" s="6"/>
      <c r="I12" s="6"/>
      <c r="J12" s="6"/>
      <c r="K12" s="6"/>
      <c r="L12" s="6"/>
      <c r="M12" s="6"/>
      <c r="N12" s="6"/>
      <c r="O12" s="6"/>
      <c r="P12" s="6"/>
    </row>
    <row r="13" spans="1:16">
      <c r="A13" s="94" t="s">
        <v>79</v>
      </c>
      <c r="B13" s="99" t="s">
        <v>80</v>
      </c>
      <c r="C13" s="96" t="s">
        <v>190</v>
      </c>
      <c r="D13" s="87"/>
      <c r="E13" s="6"/>
      <c r="F13" s="6"/>
      <c r="G13" s="6"/>
      <c r="H13" s="6"/>
      <c r="I13" s="6"/>
      <c r="J13" s="6"/>
      <c r="K13" s="6"/>
      <c r="L13" s="6"/>
      <c r="M13" s="6"/>
      <c r="N13" s="6"/>
      <c r="O13" s="6"/>
      <c r="P13" s="6"/>
    </row>
    <row r="14" spans="1:16">
      <c r="A14" s="88" t="s">
        <v>32</v>
      </c>
      <c r="B14" s="97" t="s">
        <v>33</v>
      </c>
      <c r="C14" s="90" t="s">
        <v>191</v>
      </c>
      <c r="D14" s="87"/>
      <c r="E14" s="6"/>
      <c r="F14" s="6"/>
      <c r="G14" s="6"/>
      <c r="H14" s="6"/>
      <c r="I14" s="6"/>
      <c r="J14" s="6"/>
      <c r="K14" s="6"/>
      <c r="L14" s="6"/>
      <c r="M14" s="6"/>
      <c r="N14" s="6"/>
      <c r="O14" s="6"/>
      <c r="P14" s="6"/>
    </row>
    <row r="15" spans="1:16">
      <c r="A15" s="91" t="s">
        <v>37</v>
      </c>
      <c r="B15" s="98" t="s">
        <v>192</v>
      </c>
      <c r="C15" s="93"/>
      <c r="D15" s="87"/>
      <c r="E15" s="6"/>
      <c r="F15" s="6"/>
      <c r="G15" s="6"/>
      <c r="H15" s="6"/>
      <c r="I15" s="6"/>
      <c r="J15" s="6"/>
      <c r="K15" s="6"/>
      <c r="L15" s="6"/>
      <c r="M15" s="6"/>
      <c r="N15" s="6"/>
      <c r="O15" s="6"/>
      <c r="P15" s="6"/>
    </row>
    <row r="16" spans="1:16">
      <c r="A16" s="94" t="s">
        <v>41</v>
      </c>
      <c r="B16" s="99" t="s">
        <v>193</v>
      </c>
      <c r="C16" s="96"/>
      <c r="D16" s="87"/>
      <c r="E16" s="6"/>
      <c r="F16" s="6"/>
      <c r="G16" s="6"/>
      <c r="H16" s="6"/>
      <c r="I16" s="6"/>
      <c r="J16" s="6"/>
      <c r="K16" s="6"/>
      <c r="L16" s="6"/>
      <c r="M16" s="6"/>
      <c r="N16" s="6"/>
      <c r="O16" s="6"/>
      <c r="P16" s="6"/>
    </row>
    <row r="17" spans="1:16">
      <c r="A17" s="100" t="s">
        <v>45</v>
      </c>
      <c r="B17" s="101" t="s">
        <v>81</v>
      </c>
      <c r="C17" s="102"/>
      <c r="D17" s="87"/>
      <c r="E17" s="6"/>
      <c r="F17" s="6"/>
      <c r="G17" s="6"/>
      <c r="H17" s="6"/>
      <c r="I17" s="6"/>
      <c r="J17" s="6"/>
      <c r="K17" s="6"/>
      <c r="L17" s="6"/>
      <c r="M17" s="6"/>
      <c r="N17" s="6"/>
      <c r="O17" s="6"/>
      <c r="P17" s="6"/>
    </row>
    <row r="18" spans="1:16">
      <c r="A18" s="88" t="s">
        <v>83</v>
      </c>
      <c r="B18" s="103" t="s">
        <v>84</v>
      </c>
      <c r="C18" s="90" t="s">
        <v>194</v>
      </c>
      <c r="D18" s="87"/>
      <c r="E18" s="6"/>
      <c r="F18" s="6"/>
      <c r="G18" s="6"/>
      <c r="H18" s="6"/>
      <c r="I18" s="6"/>
      <c r="J18" s="6"/>
      <c r="K18" s="6"/>
      <c r="L18" s="6"/>
      <c r="M18" s="6"/>
      <c r="N18" s="6"/>
      <c r="O18" s="6"/>
      <c r="P18" s="6"/>
    </row>
    <row r="19" spans="1:16">
      <c r="A19" s="91" t="s">
        <v>90</v>
      </c>
      <c r="B19" s="104" t="s">
        <v>91</v>
      </c>
      <c r="C19" s="93" t="s">
        <v>195</v>
      </c>
      <c r="D19" s="87"/>
      <c r="E19" s="6"/>
      <c r="F19" s="6"/>
      <c r="G19" s="6"/>
      <c r="H19" s="6"/>
      <c r="I19" s="6"/>
      <c r="J19" s="6"/>
      <c r="K19" s="6"/>
      <c r="L19" s="6"/>
      <c r="M19" s="6"/>
      <c r="N19" s="6"/>
      <c r="O19" s="6"/>
      <c r="P19" s="6"/>
    </row>
    <row r="20" spans="1:16">
      <c r="A20" s="94" t="s">
        <v>92</v>
      </c>
      <c r="B20" s="105" t="s">
        <v>93</v>
      </c>
      <c r="C20" s="96" t="s">
        <v>196</v>
      </c>
      <c r="D20" s="87"/>
      <c r="E20" s="6"/>
      <c r="F20" s="6"/>
      <c r="G20" s="6"/>
      <c r="H20" s="6"/>
      <c r="I20" s="6"/>
      <c r="J20" s="6"/>
      <c r="K20" s="6"/>
      <c r="L20" s="6"/>
      <c r="M20" s="6"/>
      <c r="N20" s="6"/>
      <c r="O20" s="6"/>
      <c r="P20" s="6"/>
    </row>
    <row r="21" spans="1:16">
      <c r="A21" s="88" t="s">
        <v>59</v>
      </c>
      <c r="B21" s="103" t="s">
        <v>60</v>
      </c>
      <c r="C21" s="90" t="s">
        <v>197</v>
      </c>
      <c r="D21" s="87"/>
      <c r="E21" s="6"/>
      <c r="F21" s="6"/>
      <c r="G21" s="6"/>
      <c r="H21" s="6"/>
      <c r="I21" s="6"/>
      <c r="J21" s="6"/>
      <c r="K21" s="6"/>
      <c r="L21" s="6"/>
      <c r="M21" s="6"/>
      <c r="N21" s="6"/>
      <c r="O21" s="6"/>
      <c r="P21" s="6"/>
    </row>
    <row r="22" spans="1:16">
      <c r="A22" s="91" t="s">
        <v>66</v>
      </c>
      <c r="B22" s="104" t="s">
        <v>67</v>
      </c>
      <c r="C22" s="93" t="s">
        <v>198</v>
      </c>
      <c r="D22" s="87"/>
      <c r="E22" s="6"/>
      <c r="F22" s="6"/>
      <c r="G22" s="6"/>
      <c r="H22" s="6"/>
      <c r="I22" s="6"/>
      <c r="J22" s="6"/>
      <c r="K22" s="6"/>
      <c r="L22" s="6"/>
      <c r="M22" s="6"/>
      <c r="N22" s="6"/>
      <c r="O22" s="6"/>
      <c r="P22" s="6"/>
    </row>
    <row r="23" spans="1:16">
      <c r="A23" s="94" t="s">
        <v>68</v>
      </c>
      <c r="B23" s="105" t="s">
        <v>69</v>
      </c>
      <c r="C23" s="96" t="s">
        <v>199</v>
      </c>
      <c r="D23" s="87"/>
      <c r="E23" s="6"/>
      <c r="F23" s="6"/>
      <c r="G23" s="6"/>
      <c r="H23" s="6"/>
      <c r="I23" s="6"/>
      <c r="J23" s="6"/>
      <c r="K23" s="6"/>
      <c r="L23" s="6"/>
      <c r="M23" s="6"/>
      <c r="N23" s="6"/>
      <c r="O23" s="6"/>
      <c r="P23" s="6"/>
    </row>
    <row r="24" spans="1:16">
      <c r="A24" s="88" t="s">
        <v>108</v>
      </c>
      <c r="B24" s="103" t="s">
        <v>109</v>
      </c>
      <c r="C24" s="90" t="s">
        <v>200</v>
      </c>
      <c r="D24" s="87"/>
      <c r="E24" s="6"/>
      <c r="F24" s="6"/>
      <c r="G24" s="6"/>
      <c r="H24" s="6"/>
      <c r="I24" s="6"/>
      <c r="J24" s="6"/>
      <c r="K24" s="6"/>
      <c r="L24" s="6"/>
      <c r="M24" s="6"/>
      <c r="N24" s="6"/>
      <c r="O24" s="6"/>
      <c r="P24" s="6"/>
    </row>
    <row r="25" spans="1:16">
      <c r="A25" s="91" t="s">
        <v>115</v>
      </c>
      <c r="B25" s="104" t="s">
        <v>116</v>
      </c>
      <c r="C25" s="93" t="s">
        <v>201</v>
      </c>
      <c r="D25" s="87"/>
      <c r="E25" s="6"/>
      <c r="F25" s="6"/>
      <c r="G25" s="6"/>
      <c r="H25" s="6"/>
      <c r="I25" s="6"/>
      <c r="J25" s="6"/>
      <c r="K25" s="6"/>
      <c r="L25" s="6"/>
      <c r="M25" s="6"/>
      <c r="N25" s="6"/>
      <c r="O25" s="6"/>
      <c r="P25" s="6"/>
    </row>
    <row r="26" spans="1:16">
      <c r="A26" s="94" t="s">
        <v>117</v>
      </c>
      <c r="B26" s="105" t="s">
        <v>118</v>
      </c>
      <c r="C26" s="96" t="s">
        <v>202</v>
      </c>
      <c r="D26" s="87"/>
      <c r="E26" s="6"/>
      <c r="F26" s="6"/>
      <c r="G26" s="6"/>
      <c r="H26" s="6"/>
      <c r="I26" s="6"/>
      <c r="J26" s="6"/>
      <c r="K26" s="6"/>
      <c r="L26" s="6"/>
      <c r="M26" s="6"/>
      <c r="N26" s="6"/>
      <c r="O26" s="6"/>
      <c r="P26" s="6"/>
    </row>
    <row r="27" spans="1:16">
      <c r="A27" s="88" t="s">
        <v>119</v>
      </c>
      <c r="B27" s="103" t="s">
        <v>120</v>
      </c>
      <c r="C27" s="90" t="s">
        <v>203</v>
      </c>
      <c r="D27" s="87"/>
      <c r="E27" s="6"/>
      <c r="F27" s="6"/>
      <c r="G27" s="6"/>
      <c r="H27" s="6"/>
      <c r="I27" s="6"/>
      <c r="J27" s="6"/>
      <c r="K27" s="6"/>
      <c r="L27" s="6"/>
      <c r="M27" s="6"/>
      <c r="N27" s="6"/>
      <c r="O27" s="6"/>
      <c r="P27" s="6"/>
    </row>
    <row r="28" spans="1:16">
      <c r="A28" s="91" t="s">
        <v>122</v>
      </c>
      <c r="B28" s="104" t="s">
        <v>123</v>
      </c>
      <c r="C28" s="93" t="s">
        <v>204</v>
      </c>
      <c r="D28" s="87"/>
      <c r="E28" s="6"/>
      <c r="F28" s="6"/>
      <c r="G28" s="6"/>
      <c r="H28" s="6"/>
      <c r="I28" s="6"/>
      <c r="J28" s="6"/>
      <c r="K28" s="6"/>
      <c r="L28" s="6"/>
      <c r="M28" s="6"/>
      <c r="N28" s="6"/>
      <c r="O28" s="6"/>
      <c r="P28" s="6"/>
    </row>
    <row r="29" spans="1:16">
      <c r="A29" s="94" t="s">
        <v>124</v>
      </c>
      <c r="B29" s="105" t="s">
        <v>125</v>
      </c>
      <c r="C29" s="96" t="s">
        <v>205</v>
      </c>
      <c r="D29" s="87"/>
      <c r="E29" s="6"/>
      <c r="F29" s="6"/>
      <c r="G29" s="6"/>
      <c r="H29" s="6"/>
      <c r="I29" s="6"/>
      <c r="J29" s="6"/>
      <c r="K29" s="6"/>
      <c r="L29" s="6"/>
      <c r="M29" s="6"/>
      <c r="N29" s="6"/>
      <c r="O29" s="6"/>
      <c r="P29" s="6"/>
    </row>
    <row r="30" spans="1:16">
      <c r="A30" s="88" t="s">
        <v>126</v>
      </c>
      <c r="B30" s="103" t="s">
        <v>127</v>
      </c>
      <c r="C30" s="90" t="s">
        <v>206</v>
      </c>
      <c r="D30" s="87"/>
      <c r="E30" s="6"/>
      <c r="F30" s="6"/>
      <c r="G30" s="6"/>
      <c r="H30" s="6"/>
      <c r="I30" s="6"/>
      <c r="J30" s="6"/>
      <c r="K30" s="6"/>
      <c r="L30" s="6"/>
      <c r="M30" s="6"/>
      <c r="N30" s="6"/>
      <c r="O30" s="6"/>
      <c r="P30" s="6"/>
    </row>
    <row r="31" spans="1:16">
      <c r="A31" s="91" t="s">
        <v>130</v>
      </c>
      <c r="B31" s="104" t="s">
        <v>131</v>
      </c>
      <c r="C31" s="93" t="s">
        <v>207</v>
      </c>
      <c r="D31" s="87"/>
      <c r="E31" s="6"/>
      <c r="F31" s="6"/>
      <c r="G31" s="6"/>
      <c r="H31" s="6"/>
      <c r="I31" s="6"/>
      <c r="J31" s="6"/>
      <c r="K31" s="6"/>
      <c r="L31" s="6"/>
      <c r="M31" s="6"/>
      <c r="N31" s="6"/>
      <c r="O31" s="6"/>
      <c r="P31" s="6"/>
    </row>
    <row r="32" spans="1:16">
      <c r="A32" s="94" t="s">
        <v>133</v>
      </c>
      <c r="B32" s="105" t="s">
        <v>134</v>
      </c>
      <c r="C32" s="96" t="s">
        <v>208</v>
      </c>
      <c r="D32" s="87"/>
      <c r="E32" s="6"/>
      <c r="F32" s="6"/>
      <c r="G32" s="6"/>
      <c r="H32" s="6"/>
      <c r="I32" s="6"/>
      <c r="J32" s="6"/>
      <c r="K32" s="6"/>
      <c r="L32" s="6"/>
      <c r="M32" s="6"/>
      <c r="N32" s="6"/>
      <c r="O32" s="6"/>
      <c r="P32" s="6"/>
    </row>
    <row r="33" spans="1:16">
      <c r="A33" s="88" t="s">
        <v>209</v>
      </c>
      <c r="B33" s="103" t="s">
        <v>137</v>
      </c>
      <c r="C33" s="90" t="s">
        <v>210</v>
      </c>
      <c r="D33" s="87"/>
      <c r="E33" s="6"/>
      <c r="F33" s="6"/>
      <c r="G33" s="6"/>
      <c r="H33" s="6"/>
      <c r="I33" s="6"/>
      <c r="J33" s="6"/>
      <c r="K33" s="6"/>
      <c r="L33" s="6"/>
      <c r="M33" s="6"/>
      <c r="N33" s="6"/>
      <c r="O33" s="6"/>
      <c r="P33" s="6"/>
    </row>
    <row r="34" spans="1:16">
      <c r="A34" s="91" t="s">
        <v>211</v>
      </c>
      <c r="B34" s="104" t="s">
        <v>140</v>
      </c>
      <c r="C34" s="93"/>
      <c r="D34" s="87"/>
      <c r="E34" s="6"/>
      <c r="F34" s="6"/>
      <c r="G34" s="6"/>
      <c r="H34" s="6"/>
      <c r="I34" s="6"/>
      <c r="J34" s="6"/>
      <c r="K34" s="6"/>
      <c r="L34" s="6"/>
      <c r="M34" s="6"/>
      <c r="N34" s="6"/>
      <c r="O34" s="6"/>
      <c r="P34" s="6"/>
    </row>
    <row r="35" spans="1:16">
      <c r="A35" s="94" t="s">
        <v>212</v>
      </c>
      <c r="B35" s="105" t="s">
        <v>142</v>
      </c>
      <c r="C35" s="96"/>
      <c r="D35" s="87"/>
      <c r="E35" s="6"/>
      <c r="F35" s="6"/>
      <c r="G35" s="6"/>
      <c r="H35" s="6"/>
      <c r="I35" s="6"/>
      <c r="J35" s="6"/>
      <c r="K35" s="6"/>
      <c r="L35" s="6"/>
      <c r="M35" s="6"/>
      <c r="N35" s="6"/>
      <c r="O35" s="6"/>
      <c r="P35" s="6"/>
    </row>
    <row r="36" spans="1:16">
      <c r="A36" s="100" t="s">
        <v>45</v>
      </c>
      <c r="B36" s="101" t="s">
        <v>213</v>
      </c>
      <c r="C36" s="102"/>
      <c r="D36" s="87"/>
      <c r="E36" s="6"/>
      <c r="F36" s="6"/>
      <c r="G36" s="6"/>
      <c r="H36" s="6"/>
      <c r="I36" s="6"/>
      <c r="J36" s="6"/>
      <c r="K36" s="6"/>
      <c r="L36" s="6"/>
      <c r="M36" s="6"/>
      <c r="N36" s="6"/>
      <c r="O36" s="6"/>
      <c r="P36" s="6"/>
    </row>
    <row r="37" spans="1:16">
      <c r="A37" s="100" t="s">
        <v>169</v>
      </c>
      <c r="B37" s="101" t="s">
        <v>170</v>
      </c>
      <c r="C37" s="102" t="s">
        <v>214</v>
      </c>
      <c r="D37" s="87"/>
      <c r="E37" s="6"/>
      <c r="F37" s="6"/>
      <c r="G37" s="6"/>
      <c r="H37" s="6"/>
      <c r="I37" s="6"/>
      <c r="J37" s="6"/>
      <c r="K37" s="6"/>
      <c r="L37" s="6"/>
      <c r="M37" s="6"/>
      <c r="N37" s="6"/>
      <c r="O37" s="6"/>
      <c r="P37" s="6"/>
    </row>
    <row r="38" spans="1:16">
      <c r="A38" s="100" t="s">
        <v>173</v>
      </c>
      <c r="B38" s="101" t="s">
        <v>215</v>
      </c>
      <c r="C38" s="102" t="s">
        <v>216</v>
      </c>
      <c r="D38" s="87"/>
      <c r="E38" s="6"/>
      <c r="F38" s="6"/>
      <c r="G38" s="6"/>
      <c r="H38" s="6"/>
      <c r="I38" s="6"/>
      <c r="J38" s="6"/>
      <c r="K38" s="6"/>
      <c r="L38" s="6"/>
      <c r="M38" s="6"/>
      <c r="N38" s="6"/>
      <c r="O38" s="6"/>
      <c r="P38" s="6"/>
    </row>
    <row r="39" spans="1:16">
      <c r="A39" s="293" t="s">
        <v>217</v>
      </c>
      <c r="B39" s="291"/>
      <c r="C39" s="292"/>
      <c r="D39" s="6"/>
      <c r="E39" s="6"/>
      <c r="F39" s="6"/>
      <c r="G39" s="6"/>
      <c r="H39" s="6"/>
      <c r="I39" s="6"/>
      <c r="J39" s="6"/>
      <c r="K39" s="6"/>
      <c r="L39" s="6"/>
      <c r="M39" s="6"/>
      <c r="N39" s="6"/>
      <c r="O39" s="6"/>
      <c r="P39" s="6"/>
    </row>
    <row r="40" spans="1:16">
      <c r="A40" s="106"/>
      <c r="B40" s="106"/>
      <c r="C40" s="83"/>
      <c r="D40" s="6"/>
      <c r="E40" s="6"/>
      <c r="F40" s="6"/>
      <c r="G40" s="6"/>
      <c r="H40" s="6"/>
      <c r="I40" s="6"/>
      <c r="J40" s="6"/>
      <c r="K40" s="6"/>
      <c r="L40" s="6"/>
      <c r="M40" s="6"/>
      <c r="N40" s="6"/>
      <c r="O40" s="6"/>
      <c r="P40" s="6"/>
    </row>
    <row r="41" spans="1:16">
      <c r="A41" s="82"/>
      <c r="B41" s="82"/>
      <c r="C41" s="83"/>
      <c r="D41" s="6"/>
      <c r="E41" s="6"/>
      <c r="F41" s="6"/>
      <c r="G41" s="6"/>
      <c r="H41" s="6"/>
      <c r="I41" s="6"/>
      <c r="J41" s="6"/>
      <c r="K41" s="6"/>
      <c r="L41" s="6"/>
      <c r="M41" s="6"/>
      <c r="N41" s="6"/>
      <c r="O41" s="6"/>
      <c r="P41" s="6"/>
    </row>
    <row r="42" spans="1:16">
      <c r="A42" s="82"/>
      <c r="B42" s="82"/>
      <c r="C42" s="83"/>
      <c r="D42" s="6"/>
      <c r="E42" s="6"/>
      <c r="F42" s="6"/>
      <c r="G42" s="6"/>
      <c r="H42" s="6"/>
      <c r="I42" s="6"/>
      <c r="J42" s="6"/>
      <c r="K42" s="6"/>
      <c r="L42" s="6"/>
      <c r="M42" s="6"/>
      <c r="N42" s="6"/>
      <c r="O42" s="6"/>
      <c r="P42" s="6"/>
    </row>
    <row r="43" spans="1:16">
      <c r="A43" s="82"/>
      <c r="B43" s="82"/>
      <c r="C43" s="83"/>
      <c r="D43" s="6"/>
      <c r="E43" s="6"/>
      <c r="F43" s="6"/>
      <c r="G43" s="6"/>
      <c r="H43" s="6"/>
      <c r="I43" s="6"/>
      <c r="J43" s="6"/>
      <c r="K43" s="6"/>
      <c r="L43" s="6"/>
      <c r="M43" s="6"/>
      <c r="N43" s="6"/>
      <c r="O43" s="6"/>
      <c r="P43" s="6"/>
    </row>
    <row r="44" spans="1:16">
      <c r="A44" s="82"/>
      <c r="B44" s="82"/>
      <c r="C44" s="83"/>
      <c r="D44" s="6"/>
      <c r="E44" s="6"/>
      <c r="F44" s="6"/>
      <c r="G44" s="6"/>
      <c r="H44" s="6"/>
      <c r="I44" s="6"/>
      <c r="J44" s="6"/>
      <c r="K44" s="6"/>
      <c r="L44" s="6"/>
      <c r="M44" s="6"/>
      <c r="N44" s="6"/>
      <c r="O44" s="6"/>
      <c r="P44" s="6"/>
    </row>
    <row r="45" spans="1:16">
      <c r="A45" s="82"/>
      <c r="B45" s="82"/>
      <c r="C45" s="83"/>
      <c r="D45" s="6"/>
      <c r="E45" s="6"/>
      <c r="F45" s="6"/>
      <c r="G45" s="6"/>
      <c r="H45" s="6"/>
      <c r="I45" s="6"/>
      <c r="J45" s="6"/>
      <c r="K45" s="6"/>
      <c r="L45" s="6"/>
      <c r="M45" s="6"/>
      <c r="N45" s="6"/>
      <c r="O45" s="6"/>
      <c r="P45" s="6"/>
    </row>
    <row r="46" spans="1:16">
      <c r="A46" s="82"/>
      <c r="B46" s="82"/>
      <c r="C46" s="83"/>
      <c r="D46" s="6"/>
      <c r="E46" s="6"/>
      <c r="F46" s="6"/>
      <c r="G46" s="6"/>
      <c r="H46" s="6"/>
      <c r="I46" s="6"/>
      <c r="J46" s="6"/>
      <c r="K46" s="6"/>
      <c r="L46" s="6"/>
      <c r="M46" s="6"/>
      <c r="N46" s="6"/>
      <c r="O46" s="6"/>
      <c r="P46" s="6"/>
    </row>
    <row r="47" spans="1:16">
      <c r="A47" s="82"/>
      <c r="B47" s="82"/>
      <c r="C47" s="83"/>
      <c r="D47" s="6"/>
      <c r="E47" s="6"/>
      <c r="F47" s="6"/>
      <c r="G47" s="6"/>
      <c r="H47" s="6"/>
      <c r="I47" s="6"/>
      <c r="J47" s="6"/>
      <c r="K47" s="6"/>
      <c r="L47" s="6"/>
      <c r="M47" s="6"/>
      <c r="N47" s="6"/>
      <c r="O47" s="6"/>
      <c r="P47" s="6"/>
    </row>
    <row r="48" spans="1:16">
      <c r="A48" s="82"/>
      <c r="B48" s="82"/>
      <c r="C48" s="83"/>
      <c r="D48" s="6"/>
      <c r="E48" s="6"/>
      <c r="F48" s="6"/>
      <c r="G48" s="6"/>
      <c r="H48" s="6"/>
      <c r="I48" s="6"/>
      <c r="J48" s="6"/>
      <c r="K48" s="6"/>
      <c r="L48" s="6"/>
      <c r="M48" s="6"/>
      <c r="N48" s="6"/>
      <c r="O48" s="6"/>
      <c r="P48" s="6"/>
    </row>
    <row r="49" spans="1:16">
      <c r="A49" s="82"/>
      <c r="B49" s="82"/>
      <c r="C49" s="83"/>
      <c r="D49" s="6"/>
      <c r="E49" s="6"/>
      <c r="F49" s="6"/>
      <c r="G49" s="6"/>
      <c r="H49" s="6"/>
      <c r="I49" s="6"/>
      <c r="J49" s="6"/>
      <c r="K49" s="6"/>
      <c r="L49" s="6"/>
      <c r="M49" s="6"/>
      <c r="N49" s="6"/>
      <c r="O49" s="6"/>
      <c r="P49" s="6"/>
    </row>
    <row r="50" spans="1:16">
      <c r="A50" s="82"/>
      <c r="B50" s="82"/>
      <c r="C50" s="83"/>
      <c r="D50" s="6"/>
      <c r="E50" s="6"/>
      <c r="F50" s="6"/>
      <c r="G50" s="6"/>
      <c r="H50" s="6"/>
      <c r="I50" s="6"/>
      <c r="J50" s="6"/>
      <c r="K50" s="6"/>
      <c r="L50" s="6"/>
      <c r="M50" s="6"/>
      <c r="N50" s="6"/>
      <c r="O50" s="6"/>
      <c r="P50" s="6"/>
    </row>
    <row r="51" spans="1:16">
      <c r="A51" s="82"/>
      <c r="B51" s="82"/>
      <c r="C51" s="83"/>
      <c r="D51" s="6"/>
      <c r="E51" s="6"/>
      <c r="F51" s="6"/>
      <c r="G51" s="6"/>
      <c r="H51" s="6"/>
      <c r="I51" s="6"/>
      <c r="J51" s="6"/>
      <c r="K51" s="6"/>
      <c r="L51" s="6"/>
      <c r="M51" s="6"/>
      <c r="N51" s="6"/>
      <c r="O51" s="6"/>
      <c r="P51" s="6"/>
    </row>
    <row r="52" spans="1:16">
      <c r="A52" s="82"/>
      <c r="B52" s="82"/>
      <c r="C52" s="83"/>
      <c r="D52" s="6"/>
      <c r="E52" s="6"/>
      <c r="F52" s="6"/>
      <c r="G52" s="6"/>
      <c r="H52" s="6"/>
      <c r="I52" s="6"/>
      <c r="J52" s="6"/>
      <c r="K52" s="6"/>
      <c r="L52" s="6"/>
      <c r="M52" s="6"/>
      <c r="N52" s="6"/>
      <c r="O52" s="6"/>
      <c r="P52" s="6"/>
    </row>
    <row r="53" spans="1:16">
      <c r="A53" s="82"/>
      <c r="B53" s="82"/>
      <c r="C53" s="83"/>
      <c r="D53" s="6"/>
      <c r="E53" s="6"/>
      <c r="F53" s="6"/>
      <c r="G53" s="6"/>
      <c r="H53" s="6"/>
      <c r="I53" s="6"/>
      <c r="J53" s="6"/>
      <c r="K53" s="6"/>
      <c r="L53" s="6"/>
      <c r="M53" s="6"/>
      <c r="N53" s="6"/>
      <c r="O53" s="6"/>
      <c r="P53" s="6"/>
    </row>
    <row r="54" spans="1:16">
      <c r="A54" s="82"/>
      <c r="B54" s="82"/>
      <c r="C54" s="83"/>
      <c r="D54" s="6"/>
      <c r="E54" s="6"/>
      <c r="F54" s="6"/>
      <c r="G54" s="6"/>
      <c r="H54" s="6"/>
      <c r="I54" s="6"/>
      <c r="J54" s="6"/>
      <c r="K54" s="6"/>
      <c r="L54" s="6"/>
      <c r="M54" s="6"/>
      <c r="N54" s="6"/>
      <c r="O54" s="6"/>
      <c r="P54" s="6"/>
    </row>
    <row r="55" spans="1:16">
      <c r="A55" s="82"/>
      <c r="B55" s="82"/>
      <c r="C55" s="83"/>
      <c r="D55" s="6"/>
      <c r="E55" s="6"/>
      <c r="F55" s="6"/>
      <c r="G55" s="6"/>
      <c r="H55" s="6"/>
      <c r="I55" s="6"/>
      <c r="J55" s="6"/>
      <c r="K55" s="6"/>
      <c r="L55" s="6"/>
      <c r="M55" s="6"/>
      <c r="N55" s="6"/>
      <c r="O55" s="6"/>
      <c r="P55" s="6"/>
    </row>
    <row r="56" spans="1:16">
      <c r="A56" s="82"/>
      <c r="B56" s="82"/>
      <c r="C56" s="83"/>
      <c r="D56" s="6"/>
      <c r="E56" s="6"/>
      <c r="F56" s="6"/>
      <c r="G56" s="6"/>
      <c r="H56" s="6"/>
      <c r="I56" s="6"/>
      <c r="J56" s="6"/>
      <c r="K56" s="6"/>
      <c r="L56" s="6"/>
      <c r="M56" s="6"/>
      <c r="N56" s="6"/>
      <c r="O56" s="6"/>
      <c r="P56" s="6"/>
    </row>
    <row r="57" spans="1:16">
      <c r="A57" s="82"/>
      <c r="B57" s="82"/>
      <c r="C57" s="83"/>
      <c r="D57" s="6"/>
      <c r="E57" s="6"/>
      <c r="F57" s="6"/>
      <c r="G57" s="6"/>
      <c r="H57" s="6"/>
      <c r="I57" s="6"/>
      <c r="J57" s="6"/>
      <c r="K57" s="6"/>
      <c r="L57" s="6"/>
      <c r="M57" s="6"/>
      <c r="N57" s="6"/>
      <c r="O57" s="6"/>
      <c r="P57" s="6"/>
    </row>
    <row r="58" spans="1:16">
      <c r="A58" s="82"/>
      <c r="B58" s="82"/>
      <c r="C58" s="83"/>
      <c r="D58" s="6"/>
      <c r="E58" s="6"/>
      <c r="F58" s="6"/>
      <c r="G58" s="6"/>
      <c r="H58" s="6"/>
      <c r="I58" s="6"/>
      <c r="J58" s="6"/>
      <c r="K58" s="6"/>
      <c r="L58" s="6"/>
      <c r="M58" s="6"/>
      <c r="N58" s="6"/>
      <c r="O58" s="6"/>
      <c r="P58" s="6"/>
    </row>
    <row r="59" spans="1:16">
      <c r="A59" s="82"/>
      <c r="B59" s="82"/>
      <c r="C59" s="83"/>
      <c r="D59" s="6"/>
      <c r="E59" s="6"/>
      <c r="F59" s="6"/>
      <c r="G59" s="6"/>
      <c r="H59" s="6"/>
      <c r="I59" s="6"/>
      <c r="J59" s="6"/>
      <c r="K59" s="6"/>
      <c r="L59" s="6"/>
      <c r="M59" s="6"/>
      <c r="N59" s="6"/>
      <c r="O59" s="6"/>
      <c r="P59" s="6"/>
    </row>
    <row r="60" spans="1:16">
      <c r="A60" s="82"/>
      <c r="B60" s="82"/>
      <c r="C60" s="83"/>
      <c r="D60" s="6"/>
      <c r="E60" s="6"/>
      <c r="F60" s="6"/>
      <c r="G60" s="6"/>
      <c r="H60" s="6"/>
      <c r="I60" s="6"/>
      <c r="J60" s="6"/>
      <c r="K60" s="6"/>
      <c r="L60" s="6"/>
      <c r="M60" s="6"/>
      <c r="N60" s="6"/>
      <c r="O60" s="6"/>
      <c r="P60" s="6"/>
    </row>
    <row r="61" spans="1:16">
      <c r="A61" s="82"/>
      <c r="B61" s="82"/>
      <c r="C61" s="83"/>
      <c r="D61" s="6"/>
      <c r="E61" s="6"/>
      <c r="F61" s="6"/>
      <c r="G61" s="6"/>
      <c r="H61" s="6"/>
      <c r="I61" s="6"/>
      <c r="J61" s="6"/>
      <c r="K61" s="6"/>
      <c r="L61" s="6"/>
      <c r="M61" s="6"/>
      <c r="N61" s="6"/>
      <c r="O61" s="6"/>
      <c r="P61" s="6"/>
    </row>
    <row r="62" spans="1:16">
      <c r="A62" s="82"/>
      <c r="B62" s="82"/>
      <c r="C62" s="83"/>
      <c r="D62" s="6"/>
      <c r="E62" s="6"/>
      <c r="F62" s="6"/>
      <c r="G62" s="6"/>
      <c r="H62" s="6"/>
      <c r="I62" s="6"/>
      <c r="J62" s="6"/>
      <c r="K62" s="6"/>
      <c r="L62" s="6"/>
      <c r="M62" s="6"/>
      <c r="N62" s="6"/>
      <c r="O62" s="6"/>
      <c r="P62" s="6"/>
    </row>
    <row r="63" spans="1:16">
      <c r="A63" s="82"/>
      <c r="B63" s="82"/>
      <c r="C63" s="83"/>
      <c r="D63" s="6"/>
      <c r="E63" s="6"/>
      <c r="F63" s="6"/>
      <c r="G63" s="6"/>
      <c r="H63" s="6"/>
      <c r="I63" s="6"/>
      <c r="J63" s="6"/>
      <c r="K63" s="6"/>
      <c r="L63" s="6"/>
      <c r="M63" s="6"/>
      <c r="N63" s="6"/>
      <c r="O63" s="6"/>
      <c r="P63" s="6"/>
    </row>
    <row r="64" spans="1:16">
      <c r="A64" s="82"/>
      <c r="B64" s="82"/>
      <c r="C64" s="83"/>
      <c r="D64" s="6"/>
      <c r="E64" s="6"/>
      <c r="F64" s="6"/>
      <c r="G64" s="6"/>
      <c r="H64" s="6"/>
      <c r="I64" s="6"/>
      <c r="J64" s="6"/>
      <c r="K64" s="6"/>
      <c r="L64" s="6"/>
      <c r="M64" s="6"/>
      <c r="N64" s="6"/>
      <c r="O64" s="6"/>
      <c r="P64" s="6"/>
    </row>
    <row r="65" spans="1:16">
      <c r="A65" s="82"/>
      <c r="B65" s="82"/>
      <c r="C65" s="83"/>
      <c r="D65" s="6"/>
      <c r="E65" s="6"/>
      <c r="F65" s="6"/>
      <c r="G65" s="6"/>
      <c r="H65" s="6"/>
      <c r="I65" s="6"/>
      <c r="J65" s="6"/>
      <c r="K65" s="6"/>
      <c r="L65" s="6"/>
      <c r="M65" s="6"/>
      <c r="N65" s="6"/>
      <c r="O65" s="6"/>
      <c r="P65" s="6"/>
    </row>
    <row r="66" spans="1:16">
      <c r="A66" s="82"/>
      <c r="B66" s="82"/>
      <c r="C66" s="83"/>
      <c r="D66" s="6"/>
      <c r="E66" s="6"/>
      <c r="F66" s="6"/>
      <c r="G66" s="6"/>
      <c r="H66" s="6"/>
      <c r="I66" s="6"/>
      <c r="J66" s="6"/>
      <c r="K66" s="6"/>
      <c r="L66" s="6"/>
      <c r="M66" s="6"/>
      <c r="N66" s="6"/>
      <c r="O66" s="6"/>
      <c r="P66" s="6"/>
    </row>
    <row r="67" spans="1:16">
      <c r="A67" s="82"/>
      <c r="B67" s="82"/>
      <c r="C67" s="83"/>
      <c r="D67" s="6"/>
      <c r="E67" s="6"/>
      <c r="F67" s="6"/>
      <c r="G67" s="6"/>
      <c r="H67" s="6"/>
      <c r="I67" s="6"/>
      <c r="J67" s="6"/>
      <c r="K67" s="6"/>
      <c r="L67" s="6"/>
      <c r="M67" s="6"/>
      <c r="N67" s="6"/>
      <c r="O67" s="6"/>
      <c r="P67" s="6"/>
    </row>
    <row r="68" spans="1:16">
      <c r="A68" s="82"/>
      <c r="B68" s="82"/>
      <c r="C68" s="83"/>
      <c r="D68" s="6"/>
      <c r="E68" s="6"/>
      <c r="F68" s="6"/>
      <c r="G68" s="6"/>
      <c r="H68" s="6"/>
      <c r="I68" s="6"/>
      <c r="J68" s="6"/>
      <c r="K68" s="6"/>
      <c r="L68" s="6"/>
      <c r="M68" s="6"/>
      <c r="N68" s="6"/>
      <c r="O68" s="6"/>
      <c r="P68" s="6"/>
    </row>
    <row r="69" spans="1:16">
      <c r="A69" s="82"/>
      <c r="B69" s="82"/>
      <c r="C69" s="83"/>
      <c r="D69" s="6"/>
      <c r="E69" s="6"/>
      <c r="F69" s="6"/>
      <c r="G69" s="6"/>
      <c r="H69" s="6"/>
      <c r="I69" s="6"/>
      <c r="J69" s="6"/>
      <c r="K69" s="6"/>
      <c r="L69" s="6"/>
      <c r="M69" s="6"/>
      <c r="N69" s="6"/>
      <c r="O69" s="6"/>
      <c r="P69" s="6"/>
    </row>
    <row r="70" spans="1:16">
      <c r="A70" s="82"/>
      <c r="B70" s="82"/>
      <c r="C70" s="83"/>
      <c r="D70" s="6"/>
      <c r="E70" s="6"/>
      <c r="F70" s="6"/>
      <c r="G70" s="6"/>
      <c r="H70" s="6"/>
      <c r="I70" s="6"/>
      <c r="J70" s="6"/>
      <c r="K70" s="6"/>
      <c r="L70" s="6"/>
      <c r="M70" s="6"/>
      <c r="N70" s="6"/>
      <c r="O70" s="6"/>
      <c r="P70" s="6"/>
    </row>
    <row r="71" spans="1:16">
      <c r="A71" s="82"/>
      <c r="B71" s="82"/>
      <c r="C71" s="83"/>
      <c r="D71" s="6"/>
      <c r="E71" s="6"/>
      <c r="F71" s="6"/>
      <c r="G71" s="6"/>
      <c r="H71" s="6"/>
      <c r="I71" s="6"/>
      <c r="J71" s="6"/>
      <c r="K71" s="6"/>
      <c r="L71" s="6"/>
      <c r="M71" s="6"/>
      <c r="N71" s="6"/>
      <c r="O71" s="6"/>
      <c r="P71" s="6"/>
    </row>
    <row r="72" spans="1:16">
      <c r="A72" s="82"/>
      <c r="B72" s="82"/>
      <c r="C72" s="83"/>
      <c r="D72" s="6"/>
      <c r="E72" s="6"/>
      <c r="F72" s="6"/>
      <c r="G72" s="6"/>
      <c r="H72" s="6"/>
      <c r="I72" s="6"/>
      <c r="J72" s="6"/>
      <c r="K72" s="6"/>
      <c r="L72" s="6"/>
      <c r="M72" s="6"/>
      <c r="N72" s="6"/>
      <c r="O72" s="6"/>
      <c r="P72" s="6"/>
    </row>
    <row r="73" spans="1:16">
      <c r="A73" s="82"/>
      <c r="B73" s="82"/>
      <c r="C73" s="83"/>
      <c r="D73" s="6"/>
      <c r="E73" s="6"/>
      <c r="F73" s="6"/>
      <c r="G73" s="6"/>
      <c r="H73" s="6"/>
      <c r="I73" s="6"/>
      <c r="J73" s="6"/>
      <c r="K73" s="6"/>
      <c r="L73" s="6"/>
      <c r="M73" s="6"/>
      <c r="N73" s="6"/>
      <c r="O73" s="6"/>
      <c r="P73" s="6"/>
    </row>
    <row r="74" spans="1:16">
      <c r="A74" s="82"/>
      <c r="B74" s="82"/>
      <c r="C74" s="83"/>
      <c r="D74" s="6"/>
      <c r="E74" s="6"/>
      <c r="F74" s="6"/>
      <c r="G74" s="6"/>
      <c r="H74" s="6"/>
      <c r="I74" s="6"/>
      <c r="J74" s="6"/>
      <c r="K74" s="6"/>
      <c r="L74" s="6"/>
      <c r="M74" s="6"/>
      <c r="N74" s="6"/>
      <c r="O74" s="6"/>
      <c r="P74" s="6"/>
    </row>
    <row r="75" spans="1:16">
      <c r="A75" s="82"/>
      <c r="B75" s="82"/>
      <c r="C75" s="83"/>
      <c r="D75" s="6"/>
      <c r="E75" s="6"/>
      <c r="F75" s="6"/>
      <c r="G75" s="6"/>
      <c r="H75" s="6"/>
      <c r="I75" s="6"/>
      <c r="J75" s="6"/>
      <c r="K75" s="6"/>
      <c r="L75" s="6"/>
      <c r="M75" s="6"/>
      <c r="N75" s="6"/>
      <c r="O75" s="6"/>
      <c r="P75" s="6"/>
    </row>
    <row r="76" spans="1:16">
      <c r="A76" s="82"/>
      <c r="B76" s="82"/>
      <c r="C76" s="83"/>
      <c r="D76" s="6"/>
      <c r="E76" s="6"/>
      <c r="F76" s="6"/>
      <c r="G76" s="6"/>
      <c r="H76" s="6"/>
      <c r="I76" s="6"/>
      <c r="J76" s="6"/>
      <c r="K76" s="6"/>
      <c r="L76" s="6"/>
      <c r="M76" s="6"/>
      <c r="N76" s="6"/>
      <c r="O76" s="6"/>
      <c r="P76" s="6"/>
    </row>
    <row r="77" spans="1:16">
      <c r="A77" s="82"/>
      <c r="B77" s="82"/>
      <c r="C77" s="83"/>
      <c r="D77" s="6"/>
      <c r="E77" s="6"/>
      <c r="F77" s="6"/>
      <c r="G77" s="6"/>
      <c r="H77" s="6"/>
      <c r="I77" s="6"/>
      <c r="J77" s="6"/>
      <c r="K77" s="6"/>
      <c r="L77" s="6"/>
      <c r="M77" s="6"/>
      <c r="N77" s="6"/>
      <c r="O77" s="6"/>
      <c r="P77" s="6"/>
    </row>
    <row r="78" spans="1:16">
      <c r="A78" s="82"/>
      <c r="B78" s="82"/>
      <c r="C78" s="83"/>
      <c r="D78" s="6"/>
      <c r="E78" s="6"/>
      <c r="F78" s="6"/>
      <c r="G78" s="6"/>
      <c r="H78" s="6"/>
      <c r="I78" s="6"/>
      <c r="J78" s="6"/>
      <c r="K78" s="6"/>
      <c r="L78" s="6"/>
      <c r="M78" s="6"/>
      <c r="N78" s="6"/>
      <c r="O78" s="6"/>
      <c r="P78" s="6"/>
    </row>
    <row r="79" spans="1:16">
      <c r="A79" s="82"/>
      <c r="B79" s="82"/>
      <c r="C79" s="83"/>
      <c r="D79" s="6"/>
      <c r="E79" s="6"/>
      <c r="F79" s="6"/>
      <c r="G79" s="6"/>
      <c r="H79" s="6"/>
      <c r="I79" s="6"/>
      <c r="J79" s="6"/>
      <c r="K79" s="6"/>
      <c r="L79" s="6"/>
      <c r="M79" s="6"/>
      <c r="N79" s="6"/>
      <c r="O79" s="6"/>
      <c r="P79" s="6"/>
    </row>
    <row r="80" spans="1:16">
      <c r="A80" s="82"/>
      <c r="B80" s="82"/>
      <c r="C80" s="83"/>
      <c r="D80" s="6"/>
      <c r="E80" s="6"/>
      <c r="F80" s="6"/>
      <c r="G80" s="6"/>
      <c r="H80" s="6"/>
      <c r="I80" s="6"/>
      <c r="J80" s="6"/>
      <c r="K80" s="6"/>
      <c r="L80" s="6"/>
      <c r="M80" s="6"/>
      <c r="N80" s="6"/>
      <c r="O80" s="6"/>
      <c r="P80" s="6"/>
    </row>
    <row r="81" spans="1:16">
      <c r="A81" s="82"/>
      <c r="B81" s="82"/>
      <c r="C81" s="83"/>
      <c r="D81" s="6"/>
      <c r="E81" s="6"/>
      <c r="F81" s="6"/>
      <c r="G81" s="6"/>
      <c r="H81" s="6"/>
      <c r="I81" s="6"/>
      <c r="J81" s="6"/>
      <c r="K81" s="6"/>
      <c r="L81" s="6"/>
      <c r="M81" s="6"/>
      <c r="N81" s="6"/>
      <c r="O81" s="6"/>
      <c r="P81" s="6"/>
    </row>
    <row r="82" spans="1:16">
      <c r="A82" s="82"/>
      <c r="B82" s="82"/>
      <c r="C82" s="83"/>
      <c r="D82" s="6"/>
      <c r="E82" s="6"/>
      <c r="F82" s="6"/>
      <c r="G82" s="6"/>
      <c r="H82" s="6"/>
      <c r="I82" s="6"/>
      <c r="J82" s="6"/>
      <c r="K82" s="6"/>
      <c r="L82" s="6"/>
      <c r="M82" s="6"/>
      <c r="N82" s="6"/>
      <c r="O82" s="6"/>
      <c r="P82" s="6"/>
    </row>
    <row r="83" spans="1:16">
      <c r="A83" s="82"/>
      <c r="B83" s="82"/>
      <c r="C83" s="83"/>
      <c r="D83" s="6"/>
      <c r="E83" s="6"/>
      <c r="F83" s="6"/>
      <c r="G83" s="6"/>
      <c r="H83" s="6"/>
      <c r="I83" s="6"/>
      <c r="J83" s="6"/>
      <c r="K83" s="6"/>
      <c r="L83" s="6"/>
      <c r="M83" s="6"/>
      <c r="N83" s="6"/>
      <c r="O83" s="6"/>
      <c r="P83" s="6"/>
    </row>
    <row r="84" spans="1:16">
      <c r="A84" s="82"/>
      <c r="B84" s="82"/>
      <c r="C84" s="83"/>
      <c r="D84" s="6"/>
      <c r="E84" s="6"/>
      <c r="F84" s="6"/>
      <c r="G84" s="6"/>
      <c r="H84" s="6"/>
      <c r="I84" s="6"/>
      <c r="J84" s="6"/>
      <c r="K84" s="6"/>
      <c r="L84" s="6"/>
      <c r="M84" s="6"/>
      <c r="N84" s="6"/>
      <c r="O84" s="6"/>
      <c r="P84" s="6"/>
    </row>
    <row r="85" spans="1:16">
      <c r="A85" s="82"/>
      <c r="B85" s="82"/>
      <c r="C85" s="83"/>
      <c r="D85" s="6"/>
      <c r="E85" s="6"/>
      <c r="F85" s="6"/>
      <c r="G85" s="6"/>
      <c r="H85" s="6"/>
      <c r="I85" s="6"/>
      <c r="J85" s="6"/>
      <c r="K85" s="6"/>
      <c r="L85" s="6"/>
      <c r="M85" s="6"/>
      <c r="N85" s="6"/>
      <c r="O85" s="6"/>
      <c r="P85" s="6"/>
    </row>
    <row r="86" spans="1:16">
      <c r="A86" s="82"/>
      <c r="B86" s="82"/>
      <c r="C86" s="83"/>
      <c r="D86" s="6"/>
      <c r="E86" s="6"/>
      <c r="F86" s="6"/>
      <c r="G86" s="6"/>
      <c r="H86" s="6"/>
      <c r="I86" s="6"/>
      <c r="J86" s="6"/>
      <c r="K86" s="6"/>
      <c r="L86" s="6"/>
      <c r="M86" s="6"/>
      <c r="N86" s="6"/>
      <c r="O86" s="6"/>
      <c r="P86" s="6"/>
    </row>
    <row r="87" spans="1:16">
      <c r="A87" s="82"/>
      <c r="B87" s="82"/>
      <c r="C87" s="83"/>
      <c r="D87" s="6"/>
      <c r="E87" s="6"/>
      <c r="F87" s="6"/>
      <c r="G87" s="6"/>
      <c r="H87" s="6"/>
      <c r="I87" s="6"/>
      <c r="J87" s="6"/>
      <c r="K87" s="6"/>
      <c r="L87" s="6"/>
      <c r="M87" s="6"/>
      <c r="N87" s="6"/>
      <c r="O87" s="6"/>
      <c r="P87" s="6"/>
    </row>
    <row r="88" spans="1:16">
      <c r="A88" s="82"/>
      <c r="B88" s="82"/>
      <c r="C88" s="83"/>
      <c r="D88" s="6"/>
      <c r="E88" s="6"/>
      <c r="F88" s="6"/>
      <c r="G88" s="6"/>
      <c r="H88" s="6"/>
      <c r="I88" s="6"/>
      <c r="J88" s="6"/>
      <c r="K88" s="6"/>
      <c r="L88" s="6"/>
      <c r="M88" s="6"/>
      <c r="N88" s="6"/>
      <c r="O88" s="6"/>
      <c r="P88" s="6"/>
    </row>
    <row r="89" spans="1:16">
      <c r="A89" s="82"/>
      <c r="B89" s="82"/>
      <c r="C89" s="83"/>
      <c r="D89" s="6"/>
      <c r="E89" s="6"/>
      <c r="F89" s="6"/>
      <c r="G89" s="6"/>
      <c r="H89" s="6"/>
      <c r="I89" s="6"/>
      <c r="J89" s="6"/>
      <c r="K89" s="6"/>
      <c r="L89" s="6"/>
      <c r="M89" s="6"/>
      <c r="N89" s="6"/>
      <c r="O89" s="6"/>
      <c r="P89" s="6"/>
    </row>
    <row r="90" spans="1:16">
      <c r="A90" s="82"/>
      <c r="B90" s="82"/>
      <c r="C90" s="83"/>
      <c r="D90" s="6"/>
      <c r="E90" s="6"/>
      <c r="F90" s="6"/>
      <c r="G90" s="6"/>
      <c r="H90" s="6"/>
      <c r="I90" s="6"/>
      <c r="J90" s="6"/>
      <c r="K90" s="6"/>
      <c r="L90" s="6"/>
      <c r="M90" s="6"/>
      <c r="N90" s="6"/>
      <c r="O90" s="6"/>
      <c r="P90" s="6"/>
    </row>
    <row r="91" spans="1:16">
      <c r="A91" s="82"/>
      <c r="B91" s="82"/>
      <c r="C91" s="83"/>
      <c r="D91" s="6"/>
      <c r="E91" s="6"/>
      <c r="F91" s="6"/>
      <c r="G91" s="6"/>
      <c r="H91" s="6"/>
      <c r="I91" s="6"/>
      <c r="J91" s="6"/>
      <c r="K91" s="6"/>
      <c r="L91" s="6"/>
      <c r="M91" s="6"/>
      <c r="N91" s="6"/>
      <c r="O91" s="6"/>
      <c r="P91" s="6"/>
    </row>
    <row r="92" spans="1:16">
      <c r="A92" s="82"/>
      <c r="B92" s="82"/>
      <c r="C92" s="83"/>
      <c r="D92" s="6"/>
      <c r="E92" s="6"/>
      <c r="F92" s="6"/>
      <c r="G92" s="6"/>
      <c r="H92" s="6"/>
      <c r="I92" s="6"/>
      <c r="J92" s="6"/>
      <c r="K92" s="6"/>
      <c r="L92" s="6"/>
      <c r="M92" s="6"/>
      <c r="N92" s="6"/>
      <c r="O92" s="6"/>
      <c r="P92" s="6"/>
    </row>
    <row r="93" spans="1:16">
      <c r="A93" s="82"/>
      <c r="B93" s="82"/>
      <c r="C93" s="83"/>
      <c r="D93" s="6"/>
      <c r="E93" s="6"/>
      <c r="F93" s="6"/>
      <c r="G93" s="6"/>
      <c r="H93" s="6"/>
      <c r="I93" s="6"/>
      <c r="J93" s="6"/>
      <c r="K93" s="6"/>
      <c r="L93" s="6"/>
      <c r="M93" s="6"/>
      <c r="N93" s="6"/>
      <c r="O93" s="6"/>
      <c r="P93" s="6"/>
    </row>
    <row r="94" spans="1:16">
      <c r="A94" s="82"/>
      <c r="B94" s="82"/>
      <c r="C94" s="83"/>
      <c r="D94" s="6"/>
      <c r="E94" s="6"/>
      <c r="F94" s="6"/>
      <c r="G94" s="6"/>
      <c r="H94" s="6"/>
      <c r="I94" s="6"/>
      <c r="J94" s="6"/>
      <c r="K94" s="6"/>
      <c r="L94" s="6"/>
      <c r="M94" s="6"/>
      <c r="N94" s="6"/>
      <c r="O94" s="6"/>
      <c r="P94" s="6"/>
    </row>
    <row r="95" spans="1:16">
      <c r="A95" s="82"/>
      <c r="B95" s="82"/>
      <c r="C95" s="83"/>
      <c r="D95" s="6"/>
      <c r="E95" s="6"/>
      <c r="F95" s="6"/>
      <c r="G95" s="6"/>
      <c r="H95" s="6"/>
      <c r="I95" s="6"/>
      <c r="J95" s="6"/>
      <c r="K95" s="6"/>
      <c r="L95" s="6"/>
      <c r="M95" s="6"/>
      <c r="N95" s="6"/>
      <c r="O95" s="6"/>
      <c r="P95" s="6"/>
    </row>
    <row r="96" spans="1:16">
      <c r="A96" s="82"/>
      <c r="B96" s="82"/>
      <c r="C96" s="83"/>
      <c r="D96" s="6"/>
      <c r="E96" s="6"/>
      <c r="F96" s="6"/>
      <c r="G96" s="6"/>
      <c r="H96" s="6"/>
      <c r="I96" s="6"/>
      <c r="J96" s="6"/>
      <c r="K96" s="6"/>
      <c r="L96" s="6"/>
      <c r="M96" s="6"/>
      <c r="N96" s="6"/>
      <c r="O96" s="6"/>
      <c r="P96" s="6"/>
    </row>
    <row r="97" spans="1:16">
      <c r="A97" s="82"/>
      <c r="B97" s="82"/>
      <c r="C97" s="83"/>
      <c r="D97" s="6"/>
      <c r="E97" s="6"/>
      <c r="F97" s="6"/>
      <c r="G97" s="6"/>
      <c r="H97" s="6"/>
      <c r="I97" s="6"/>
      <c r="J97" s="6"/>
      <c r="K97" s="6"/>
      <c r="L97" s="6"/>
      <c r="M97" s="6"/>
      <c r="N97" s="6"/>
      <c r="O97" s="6"/>
      <c r="P97" s="6"/>
    </row>
    <row r="98" spans="1:16">
      <c r="A98" s="82"/>
      <c r="B98" s="82"/>
      <c r="C98" s="83"/>
      <c r="D98" s="6"/>
      <c r="E98" s="6"/>
      <c r="F98" s="6"/>
      <c r="G98" s="6"/>
      <c r="H98" s="6"/>
      <c r="I98" s="6"/>
      <c r="J98" s="6"/>
      <c r="K98" s="6"/>
      <c r="L98" s="6"/>
      <c r="M98" s="6"/>
      <c r="N98" s="6"/>
      <c r="O98" s="6"/>
      <c r="P98" s="6"/>
    </row>
    <row r="99" spans="1:16">
      <c r="A99" s="82"/>
      <c r="B99" s="82"/>
      <c r="C99" s="83"/>
      <c r="D99" s="6"/>
      <c r="E99" s="6"/>
      <c r="F99" s="6"/>
      <c r="G99" s="6"/>
      <c r="H99" s="6"/>
      <c r="I99" s="6"/>
      <c r="J99" s="6"/>
      <c r="K99" s="6"/>
      <c r="L99" s="6"/>
      <c r="M99" s="6"/>
      <c r="N99" s="6"/>
      <c r="O99" s="6"/>
      <c r="P99" s="6"/>
    </row>
    <row r="100" spans="1:16">
      <c r="A100" s="82"/>
      <c r="B100" s="82"/>
      <c r="C100" s="83"/>
      <c r="D100" s="6"/>
      <c r="E100" s="6"/>
      <c r="F100" s="6"/>
      <c r="G100" s="6"/>
      <c r="H100" s="6"/>
      <c r="I100" s="6"/>
      <c r="J100" s="6"/>
      <c r="K100" s="6"/>
      <c r="L100" s="6"/>
      <c r="M100" s="6"/>
      <c r="N100" s="6"/>
      <c r="O100" s="6"/>
      <c r="P100" s="6"/>
    </row>
    <row r="101" spans="1:16">
      <c r="A101" s="82"/>
      <c r="B101" s="82"/>
      <c r="C101" s="83"/>
      <c r="D101" s="6"/>
      <c r="E101" s="6"/>
      <c r="F101" s="6"/>
      <c r="G101" s="6"/>
      <c r="H101" s="6"/>
      <c r="I101" s="6"/>
      <c r="J101" s="6"/>
      <c r="K101" s="6"/>
      <c r="L101" s="6"/>
      <c r="M101" s="6"/>
      <c r="N101" s="6"/>
      <c r="O101" s="6"/>
      <c r="P101" s="6"/>
    </row>
    <row r="102" spans="1:16">
      <c r="A102" s="82"/>
      <c r="B102" s="82"/>
      <c r="C102" s="83"/>
      <c r="D102" s="6"/>
      <c r="E102" s="6"/>
      <c r="F102" s="6"/>
      <c r="G102" s="6"/>
      <c r="H102" s="6"/>
      <c r="I102" s="6"/>
      <c r="J102" s="6"/>
      <c r="K102" s="6"/>
      <c r="L102" s="6"/>
      <c r="M102" s="6"/>
      <c r="N102" s="6"/>
      <c r="O102" s="6"/>
      <c r="P102" s="6"/>
    </row>
    <row r="103" spans="1:16">
      <c r="A103" s="82"/>
      <c r="B103" s="82"/>
      <c r="C103" s="83"/>
      <c r="D103" s="6"/>
      <c r="E103" s="6"/>
      <c r="F103" s="6"/>
      <c r="G103" s="6"/>
      <c r="H103" s="6"/>
      <c r="I103" s="6"/>
      <c r="J103" s="6"/>
      <c r="K103" s="6"/>
      <c r="L103" s="6"/>
      <c r="M103" s="6"/>
      <c r="N103" s="6"/>
      <c r="O103" s="6"/>
      <c r="P103" s="6"/>
    </row>
    <row r="104" spans="1:16">
      <c r="A104" s="82"/>
      <c r="B104" s="82"/>
      <c r="C104" s="83"/>
      <c r="D104" s="6"/>
      <c r="E104" s="6"/>
      <c r="F104" s="6"/>
      <c r="G104" s="6"/>
      <c r="H104" s="6"/>
      <c r="I104" s="6"/>
      <c r="J104" s="6"/>
      <c r="K104" s="6"/>
      <c r="L104" s="6"/>
      <c r="M104" s="6"/>
      <c r="N104" s="6"/>
      <c r="O104" s="6"/>
      <c r="P104" s="6"/>
    </row>
    <row r="105" spans="1:16">
      <c r="A105" s="82"/>
      <c r="B105" s="82"/>
      <c r="C105" s="83"/>
      <c r="D105" s="6"/>
      <c r="E105" s="6"/>
      <c r="F105" s="6"/>
      <c r="G105" s="6"/>
      <c r="H105" s="6"/>
      <c r="I105" s="6"/>
      <c r="J105" s="6"/>
      <c r="K105" s="6"/>
      <c r="L105" s="6"/>
      <c r="M105" s="6"/>
      <c r="N105" s="6"/>
      <c r="O105" s="6"/>
      <c r="P105" s="6"/>
    </row>
    <row r="106" spans="1:16">
      <c r="A106" s="82"/>
      <c r="B106" s="82"/>
      <c r="C106" s="83"/>
      <c r="D106" s="6"/>
      <c r="E106" s="6"/>
      <c r="F106" s="6"/>
      <c r="G106" s="6"/>
      <c r="H106" s="6"/>
      <c r="I106" s="6"/>
      <c r="J106" s="6"/>
      <c r="K106" s="6"/>
      <c r="L106" s="6"/>
      <c r="M106" s="6"/>
      <c r="N106" s="6"/>
      <c r="O106" s="6"/>
      <c r="P106" s="6"/>
    </row>
    <row r="107" spans="1:16">
      <c r="A107" s="82"/>
      <c r="B107" s="82"/>
      <c r="C107" s="83"/>
      <c r="D107" s="6"/>
      <c r="E107" s="6"/>
      <c r="F107" s="6"/>
      <c r="G107" s="6"/>
      <c r="H107" s="6"/>
      <c r="I107" s="6"/>
      <c r="J107" s="6"/>
      <c r="K107" s="6"/>
      <c r="L107" s="6"/>
      <c r="M107" s="6"/>
      <c r="N107" s="6"/>
      <c r="O107" s="6"/>
      <c r="P107" s="6"/>
    </row>
    <row r="108" spans="1:16">
      <c r="A108" s="82"/>
      <c r="B108" s="82"/>
      <c r="C108" s="83"/>
      <c r="D108" s="6"/>
      <c r="E108" s="6"/>
      <c r="F108" s="6"/>
      <c r="G108" s="6"/>
      <c r="H108" s="6"/>
      <c r="I108" s="6"/>
      <c r="J108" s="6"/>
      <c r="K108" s="6"/>
      <c r="L108" s="6"/>
      <c r="M108" s="6"/>
      <c r="N108" s="6"/>
      <c r="O108" s="6"/>
      <c r="P108" s="6"/>
    </row>
    <row r="109" spans="1:16">
      <c r="A109" s="82"/>
      <c r="B109" s="82"/>
      <c r="C109" s="83"/>
      <c r="D109" s="6"/>
      <c r="E109" s="6"/>
      <c r="F109" s="6"/>
      <c r="G109" s="6"/>
      <c r="H109" s="6"/>
      <c r="I109" s="6"/>
      <c r="J109" s="6"/>
      <c r="K109" s="6"/>
      <c r="L109" s="6"/>
      <c r="M109" s="6"/>
      <c r="N109" s="6"/>
      <c r="O109" s="6"/>
      <c r="P109" s="6"/>
    </row>
    <row r="110" spans="1:16">
      <c r="A110" s="82"/>
      <c r="B110" s="82"/>
      <c r="C110" s="83"/>
      <c r="D110" s="6"/>
      <c r="E110" s="6"/>
      <c r="F110" s="6"/>
      <c r="G110" s="6"/>
      <c r="H110" s="6"/>
      <c r="I110" s="6"/>
      <c r="J110" s="6"/>
      <c r="K110" s="6"/>
      <c r="L110" s="6"/>
      <c r="M110" s="6"/>
      <c r="N110" s="6"/>
      <c r="O110" s="6"/>
      <c r="P110" s="6"/>
    </row>
    <row r="111" spans="1:16">
      <c r="A111" s="82"/>
      <c r="B111" s="82"/>
      <c r="C111" s="83"/>
      <c r="D111" s="6"/>
      <c r="E111" s="6"/>
      <c r="F111" s="6"/>
      <c r="G111" s="6"/>
      <c r="H111" s="6"/>
      <c r="I111" s="6"/>
      <c r="J111" s="6"/>
      <c r="K111" s="6"/>
      <c r="L111" s="6"/>
      <c r="M111" s="6"/>
      <c r="N111" s="6"/>
      <c r="O111" s="6"/>
      <c r="P111" s="6"/>
    </row>
    <row r="112" spans="1:16">
      <c r="A112" s="82"/>
      <c r="B112" s="82"/>
      <c r="C112" s="83"/>
      <c r="D112" s="6"/>
      <c r="E112" s="6"/>
      <c r="F112" s="6"/>
      <c r="G112" s="6"/>
      <c r="H112" s="6"/>
      <c r="I112" s="6"/>
      <c r="J112" s="6"/>
      <c r="K112" s="6"/>
      <c r="L112" s="6"/>
      <c r="M112" s="6"/>
      <c r="N112" s="6"/>
      <c r="O112" s="6"/>
      <c r="P112" s="6"/>
    </row>
    <row r="113" spans="1:16">
      <c r="A113" s="82"/>
      <c r="B113" s="82"/>
      <c r="C113" s="83"/>
      <c r="D113" s="6"/>
      <c r="E113" s="6"/>
      <c r="F113" s="6"/>
      <c r="G113" s="6"/>
      <c r="H113" s="6"/>
      <c r="I113" s="6"/>
      <c r="J113" s="6"/>
      <c r="K113" s="6"/>
      <c r="L113" s="6"/>
      <c r="M113" s="6"/>
      <c r="N113" s="6"/>
      <c r="O113" s="6"/>
      <c r="P113" s="6"/>
    </row>
    <row r="114" spans="1:16">
      <c r="A114" s="82"/>
      <c r="B114" s="82"/>
      <c r="C114" s="83"/>
      <c r="D114" s="6"/>
      <c r="E114" s="6"/>
      <c r="F114" s="6"/>
      <c r="G114" s="6"/>
      <c r="H114" s="6"/>
      <c r="I114" s="6"/>
      <c r="J114" s="6"/>
      <c r="K114" s="6"/>
      <c r="L114" s="6"/>
      <c r="M114" s="6"/>
      <c r="N114" s="6"/>
      <c r="O114" s="6"/>
      <c r="P114" s="6"/>
    </row>
    <row r="115" spans="1:16">
      <c r="A115" s="82"/>
      <c r="B115" s="82"/>
      <c r="C115" s="83"/>
      <c r="D115" s="6"/>
      <c r="E115" s="6"/>
      <c r="F115" s="6"/>
      <c r="G115" s="6"/>
      <c r="H115" s="6"/>
      <c r="I115" s="6"/>
      <c r="J115" s="6"/>
      <c r="K115" s="6"/>
      <c r="L115" s="6"/>
      <c r="M115" s="6"/>
      <c r="N115" s="6"/>
      <c r="O115" s="6"/>
      <c r="P115" s="6"/>
    </row>
    <row r="116" spans="1:16">
      <c r="A116" s="82"/>
      <c r="B116" s="82"/>
      <c r="C116" s="83"/>
      <c r="D116" s="6"/>
      <c r="E116" s="6"/>
      <c r="F116" s="6"/>
      <c r="G116" s="6"/>
      <c r="H116" s="6"/>
      <c r="I116" s="6"/>
      <c r="J116" s="6"/>
      <c r="K116" s="6"/>
      <c r="L116" s="6"/>
      <c r="M116" s="6"/>
      <c r="N116" s="6"/>
      <c r="O116" s="6"/>
      <c r="P116" s="6"/>
    </row>
    <row r="117" spans="1:16">
      <c r="A117" s="82"/>
      <c r="B117" s="82"/>
      <c r="C117" s="83"/>
      <c r="D117" s="6"/>
      <c r="E117" s="6"/>
      <c r="F117" s="6"/>
      <c r="G117" s="6"/>
      <c r="H117" s="6"/>
      <c r="I117" s="6"/>
      <c r="J117" s="6"/>
      <c r="K117" s="6"/>
      <c r="L117" s="6"/>
      <c r="M117" s="6"/>
      <c r="N117" s="6"/>
      <c r="O117" s="6"/>
      <c r="P117" s="6"/>
    </row>
    <row r="118" spans="1:16">
      <c r="A118" s="82"/>
      <c r="B118" s="82"/>
      <c r="C118" s="83"/>
      <c r="D118" s="6"/>
      <c r="E118" s="6"/>
      <c r="F118" s="6"/>
      <c r="G118" s="6"/>
      <c r="H118" s="6"/>
      <c r="I118" s="6"/>
      <c r="J118" s="6"/>
      <c r="K118" s="6"/>
      <c r="L118" s="6"/>
      <c r="M118" s="6"/>
      <c r="N118" s="6"/>
      <c r="O118" s="6"/>
      <c r="P118" s="6"/>
    </row>
    <row r="119" spans="1:16">
      <c r="A119" s="82"/>
      <c r="B119" s="82"/>
      <c r="C119" s="83"/>
      <c r="D119" s="6"/>
      <c r="E119" s="6"/>
      <c r="F119" s="6"/>
      <c r="G119" s="6"/>
      <c r="H119" s="6"/>
      <c r="I119" s="6"/>
      <c r="J119" s="6"/>
      <c r="K119" s="6"/>
      <c r="L119" s="6"/>
      <c r="M119" s="6"/>
      <c r="N119" s="6"/>
      <c r="O119" s="6"/>
      <c r="P119" s="6"/>
    </row>
    <row r="120" spans="1:16">
      <c r="A120" s="82"/>
      <c r="B120" s="82"/>
      <c r="C120" s="83"/>
      <c r="D120" s="6"/>
      <c r="E120" s="6"/>
      <c r="F120" s="6"/>
      <c r="G120" s="6"/>
      <c r="H120" s="6"/>
      <c r="I120" s="6"/>
      <c r="J120" s="6"/>
      <c r="K120" s="6"/>
      <c r="L120" s="6"/>
      <c r="M120" s="6"/>
      <c r="N120" s="6"/>
      <c r="O120" s="6"/>
      <c r="P120" s="6"/>
    </row>
    <row r="121" spans="1:16">
      <c r="A121" s="82"/>
      <c r="B121" s="82"/>
      <c r="C121" s="83"/>
      <c r="D121" s="6"/>
      <c r="E121" s="6"/>
      <c r="F121" s="6"/>
      <c r="G121" s="6"/>
      <c r="H121" s="6"/>
      <c r="I121" s="6"/>
      <c r="J121" s="6"/>
      <c r="K121" s="6"/>
      <c r="L121" s="6"/>
      <c r="M121" s="6"/>
      <c r="N121" s="6"/>
      <c r="O121" s="6"/>
      <c r="P121" s="6"/>
    </row>
    <row r="122" spans="1:16">
      <c r="A122" s="82"/>
      <c r="B122" s="82"/>
      <c r="C122" s="83"/>
      <c r="D122" s="6"/>
      <c r="E122" s="6"/>
      <c r="F122" s="6"/>
      <c r="G122" s="6"/>
      <c r="H122" s="6"/>
      <c r="I122" s="6"/>
      <c r="J122" s="6"/>
      <c r="K122" s="6"/>
      <c r="L122" s="6"/>
      <c r="M122" s="6"/>
      <c r="N122" s="6"/>
      <c r="O122" s="6"/>
      <c r="P122" s="6"/>
    </row>
    <row r="123" spans="1:16">
      <c r="A123" s="82"/>
      <c r="B123" s="82"/>
      <c r="C123" s="83"/>
      <c r="D123" s="6"/>
      <c r="E123" s="6"/>
      <c r="F123" s="6"/>
      <c r="G123" s="6"/>
      <c r="H123" s="6"/>
      <c r="I123" s="6"/>
      <c r="J123" s="6"/>
      <c r="K123" s="6"/>
      <c r="L123" s="6"/>
      <c r="M123" s="6"/>
      <c r="N123" s="6"/>
      <c r="O123" s="6"/>
      <c r="P123" s="6"/>
    </row>
    <row r="124" spans="1:16">
      <c r="A124" s="82"/>
      <c r="B124" s="82"/>
      <c r="C124" s="83"/>
      <c r="D124" s="6"/>
      <c r="E124" s="6"/>
      <c r="F124" s="6"/>
      <c r="G124" s="6"/>
      <c r="H124" s="6"/>
      <c r="I124" s="6"/>
      <c r="J124" s="6"/>
      <c r="K124" s="6"/>
      <c r="L124" s="6"/>
      <c r="M124" s="6"/>
      <c r="N124" s="6"/>
      <c r="O124" s="6"/>
      <c r="P124" s="6"/>
    </row>
    <row r="125" spans="1:16">
      <c r="A125" s="82"/>
      <c r="B125" s="82"/>
      <c r="C125" s="83"/>
      <c r="D125" s="6"/>
      <c r="E125" s="6"/>
      <c r="F125" s="6"/>
      <c r="G125" s="6"/>
      <c r="H125" s="6"/>
      <c r="I125" s="6"/>
      <c r="J125" s="6"/>
      <c r="K125" s="6"/>
      <c r="L125" s="6"/>
      <c r="M125" s="6"/>
      <c r="N125" s="6"/>
      <c r="O125" s="6"/>
      <c r="P125" s="6"/>
    </row>
    <row r="126" spans="1:16">
      <c r="A126" s="82"/>
      <c r="B126" s="82"/>
      <c r="C126" s="83"/>
      <c r="D126" s="6"/>
      <c r="E126" s="6"/>
      <c r="F126" s="6"/>
      <c r="G126" s="6"/>
      <c r="H126" s="6"/>
      <c r="I126" s="6"/>
      <c r="J126" s="6"/>
      <c r="K126" s="6"/>
      <c r="L126" s="6"/>
      <c r="M126" s="6"/>
      <c r="N126" s="6"/>
      <c r="O126" s="6"/>
      <c r="P126" s="6"/>
    </row>
    <row r="127" spans="1:16">
      <c r="A127" s="82"/>
      <c r="B127" s="82"/>
      <c r="C127" s="83"/>
      <c r="D127" s="6"/>
      <c r="E127" s="6"/>
      <c r="F127" s="6"/>
      <c r="G127" s="6"/>
      <c r="H127" s="6"/>
      <c r="I127" s="6"/>
      <c r="J127" s="6"/>
      <c r="K127" s="6"/>
      <c r="L127" s="6"/>
      <c r="M127" s="6"/>
      <c r="N127" s="6"/>
      <c r="O127" s="6"/>
      <c r="P127" s="6"/>
    </row>
    <row r="128" spans="1:16">
      <c r="A128" s="82"/>
      <c r="B128" s="82"/>
      <c r="C128" s="83"/>
      <c r="D128" s="6"/>
      <c r="E128" s="6"/>
      <c r="F128" s="6"/>
      <c r="G128" s="6"/>
      <c r="H128" s="6"/>
      <c r="I128" s="6"/>
      <c r="J128" s="6"/>
      <c r="K128" s="6"/>
      <c r="L128" s="6"/>
      <c r="M128" s="6"/>
      <c r="N128" s="6"/>
      <c r="O128" s="6"/>
      <c r="P128" s="6"/>
    </row>
    <row r="129" spans="1:16">
      <c r="A129" s="82"/>
      <c r="B129" s="82"/>
      <c r="C129" s="83"/>
      <c r="D129" s="6"/>
      <c r="E129" s="6"/>
      <c r="F129" s="6"/>
      <c r="G129" s="6"/>
      <c r="H129" s="6"/>
      <c r="I129" s="6"/>
      <c r="J129" s="6"/>
      <c r="K129" s="6"/>
      <c r="L129" s="6"/>
      <c r="M129" s="6"/>
      <c r="N129" s="6"/>
      <c r="O129" s="6"/>
      <c r="P129" s="6"/>
    </row>
    <row r="130" spans="1:16">
      <c r="A130" s="82"/>
      <c r="B130" s="82"/>
      <c r="C130" s="83"/>
      <c r="D130" s="6"/>
      <c r="E130" s="6"/>
      <c r="F130" s="6"/>
      <c r="G130" s="6"/>
      <c r="H130" s="6"/>
      <c r="I130" s="6"/>
      <c r="J130" s="6"/>
      <c r="K130" s="6"/>
      <c r="L130" s="6"/>
      <c r="M130" s="6"/>
      <c r="N130" s="6"/>
      <c r="O130" s="6"/>
      <c r="P130" s="6"/>
    </row>
    <row r="131" spans="1:16">
      <c r="A131" s="82"/>
      <c r="B131" s="82"/>
      <c r="C131" s="83"/>
      <c r="D131" s="6"/>
      <c r="E131" s="6"/>
      <c r="F131" s="6"/>
      <c r="G131" s="6"/>
      <c r="H131" s="6"/>
      <c r="I131" s="6"/>
      <c r="J131" s="6"/>
      <c r="K131" s="6"/>
      <c r="L131" s="6"/>
      <c r="M131" s="6"/>
      <c r="N131" s="6"/>
      <c r="O131" s="6"/>
      <c r="P131" s="6"/>
    </row>
    <row r="132" spans="1:16">
      <c r="A132" s="82"/>
      <c r="B132" s="82"/>
      <c r="C132" s="83"/>
      <c r="D132" s="6"/>
      <c r="E132" s="6"/>
      <c r="F132" s="6"/>
      <c r="G132" s="6"/>
      <c r="H132" s="6"/>
      <c r="I132" s="6"/>
      <c r="J132" s="6"/>
      <c r="K132" s="6"/>
      <c r="L132" s="6"/>
      <c r="M132" s="6"/>
      <c r="N132" s="6"/>
      <c r="O132" s="6"/>
      <c r="P132" s="6"/>
    </row>
    <row r="133" spans="1:16">
      <c r="A133" s="82"/>
      <c r="B133" s="82"/>
      <c r="C133" s="83"/>
      <c r="D133" s="6"/>
      <c r="E133" s="6"/>
      <c r="F133" s="6"/>
      <c r="G133" s="6"/>
      <c r="H133" s="6"/>
      <c r="I133" s="6"/>
      <c r="J133" s="6"/>
      <c r="K133" s="6"/>
      <c r="L133" s="6"/>
      <c r="M133" s="6"/>
      <c r="N133" s="6"/>
      <c r="O133" s="6"/>
      <c r="P133" s="6"/>
    </row>
    <row r="134" spans="1:16">
      <c r="A134" s="82"/>
      <c r="B134" s="82"/>
      <c r="C134" s="83"/>
      <c r="D134" s="6"/>
      <c r="E134" s="6"/>
      <c r="F134" s="6"/>
      <c r="G134" s="6"/>
      <c r="H134" s="6"/>
      <c r="I134" s="6"/>
      <c r="J134" s="6"/>
      <c r="K134" s="6"/>
      <c r="L134" s="6"/>
      <c r="M134" s="6"/>
      <c r="N134" s="6"/>
      <c r="O134" s="6"/>
      <c r="P134" s="6"/>
    </row>
    <row r="135" spans="1:16">
      <c r="A135" s="82"/>
      <c r="B135" s="82"/>
      <c r="C135" s="83"/>
      <c r="D135" s="6"/>
      <c r="E135" s="6"/>
      <c r="F135" s="6"/>
      <c r="G135" s="6"/>
      <c r="H135" s="6"/>
      <c r="I135" s="6"/>
      <c r="J135" s="6"/>
      <c r="K135" s="6"/>
      <c r="L135" s="6"/>
      <c r="M135" s="6"/>
      <c r="N135" s="6"/>
      <c r="O135" s="6"/>
      <c r="P135" s="6"/>
    </row>
    <row r="136" spans="1:16">
      <c r="A136" s="82"/>
      <c r="B136" s="82"/>
      <c r="C136" s="83"/>
      <c r="D136" s="6"/>
      <c r="E136" s="6"/>
      <c r="F136" s="6"/>
      <c r="G136" s="6"/>
      <c r="H136" s="6"/>
      <c r="I136" s="6"/>
      <c r="J136" s="6"/>
      <c r="K136" s="6"/>
      <c r="L136" s="6"/>
      <c r="M136" s="6"/>
      <c r="N136" s="6"/>
      <c r="O136" s="6"/>
      <c r="P136" s="6"/>
    </row>
    <row r="137" spans="1:16">
      <c r="A137" s="82"/>
      <c r="B137" s="82"/>
      <c r="C137" s="83"/>
      <c r="D137" s="6"/>
      <c r="E137" s="6"/>
      <c r="F137" s="6"/>
      <c r="G137" s="6"/>
      <c r="H137" s="6"/>
      <c r="I137" s="6"/>
      <c r="J137" s="6"/>
      <c r="K137" s="6"/>
      <c r="L137" s="6"/>
      <c r="M137" s="6"/>
      <c r="N137" s="6"/>
      <c r="O137" s="6"/>
      <c r="P137" s="6"/>
    </row>
    <row r="138" spans="1:16">
      <c r="A138" s="82"/>
      <c r="B138" s="82"/>
      <c r="C138" s="83"/>
      <c r="D138" s="6"/>
      <c r="E138" s="6"/>
      <c r="F138" s="6"/>
      <c r="G138" s="6"/>
      <c r="H138" s="6"/>
      <c r="I138" s="6"/>
      <c r="J138" s="6"/>
      <c r="K138" s="6"/>
      <c r="L138" s="6"/>
      <c r="M138" s="6"/>
      <c r="N138" s="6"/>
      <c r="O138" s="6"/>
      <c r="P138" s="6"/>
    </row>
    <row r="139" spans="1:16">
      <c r="A139" s="82"/>
      <c r="B139" s="82"/>
      <c r="C139" s="83"/>
      <c r="D139" s="6"/>
      <c r="E139" s="6"/>
      <c r="F139" s="6"/>
      <c r="G139" s="6"/>
      <c r="H139" s="6"/>
      <c r="I139" s="6"/>
      <c r="J139" s="6"/>
      <c r="K139" s="6"/>
      <c r="L139" s="6"/>
      <c r="M139" s="6"/>
      <c r="N139" s="6"/>
      <c r="O139" s="6"/>
      <c r="P139" s="6"/>
    </row>
    <row r="140" spans="1:16">
      <c r="A140" s="82"/>
      <c r="B140" s="82"/>
      <c r="C140" s="83"/>
      <c r="D140" s="6"/>
      <c r="E140" s="6"/>
      <c r="F140" s="6"/>
      <c r="G140" s="6"/>
      <c r="H140" s="6"/>
      <c r="I140" s="6"/>
      <c r="J140" s="6"/>
      <c r="K140" s="6"/>
      <c r="L140" s="6"/>
      <c r="M140" s="6"/>
      <c r="N140" s="6"/>
      <c r="O140" s="6"/>
      <c r="P140" s="6"/>
    </row>
    <row r="141" spans="1:16">
      <c r="A141" s="82"/>
      <c r="B141" s="82"/>
      <c r="C141" s="83"/>
      <c r="D141" s="6"/>
      <c r="E141" s="6"/>
      <c r="F141" s="6"/>
      <c r="G141" s="6"/>
      <c r="H141" s="6"/>
      <c r="I141" s="6"/>
      <c r="J141" s="6"/>
      <c r="K141" s="6"/>
      <c r="L141" s="6"/>
      <c r="M141" s="6"/>
      <c r="N141" s="6"/>
      <c r="O141" s="6"/>
      <c r="P141" s="6"/>
    </row>
    <row r="142" spans="1:16">
      <c r="A142" s="82"/>
      <c r="B142" s="82"/>
      <c r="C142" s="83"/>
      <c r="D142" s="6"/>
      <c r="E142" s="6"/>
      <c r="F142" s="6"/>
      <c r="G142" s="6"/>
      <c r="H142" s="6"/>
      <c r="I142" s="6"/>
      <c r="J142" s="6"/>
      <c r="K142" s="6"/>
      <c r="L142" s="6"/>
      <c r="M142" s="6"/>
      <c r="N142" s="6"/>
      <c r="O142" s="6"/>
      <c r="P142" s="6"/>
    </row>
    <row r="143" spans="1:16">
      <c r="A143" s="82"/>
      <c r="B143" s="82"/>
      <c r="C143" s="83"/>
      <c r="D143" s="6"/>
      <c r="E143" s="6"/>
      <c r="F143" s="6"/>
      <c r="G143" s="6"/>
      <c r="H143" s="6"/>
      <c r="I143" s="6"/>
      <c r="J143" s="6"/>
      <c r="K143" s="6"/>
      <c r="L143" s="6"/>
      <c r="M143" s="6"/>
      <c r="N143" s="6"/>
      <c r="O143" s="6"/>
      <c r="P143" s="6"/>
    </row>
    <row r="144" spans="1:16">
      <c r="A144" s="82"/>
      <c r="B144" s="82"/>
      <c r="C144" s="83"/>
      <c r="D144" s="6"/>
      <c r="E144" s="6"/>
      <c r="F144" s="6"/>
      <c r="G144" s="6"/>
      <c r="H144" s="6"/>
      <c r="I144" s="6"/>
      <c r="J144" s="6"/>
      <c r="K144" s="6"/>
      <c r="L144" s="6"/>
      <c r="M144" s="6"/>
      <c r="N144" s="6"/>
      <c r="O144" s="6"/>
      <c r="P144" s="6"/>
    </row>
    <row r="145" spans="1:16">
      <c r="A145" s="82"/>
      <c r="B145" s="82"/>
      <c r="C145" s="83"/>
      <c r="D145" s="6"/>
      <c r="E145" s="6"/>
      <c r="F145" s="6"/>
      <c r="G145" s="6"/>
      <c r="H145" s="6"/>
      <c r="I145" s="6"/>
      <c r="J145" s="6"/>
      <c r="K145" s="6"/>
      <c r="L145" s="6"/>
      <c r="M145" s="6"/>
      <c r="N145" s="6"/>
      <c r="O145" s="6"/>
      <c r="P145" s="6"/>
    </row>
    <row r="146" spans="1:16">
      <c r="A146" s="82"/>
      <c r="B146" s="82"/>
      <c r="C146" s="83"/>
      <c r="D146" s="6"/>
      <c r="E146" s="6"/>
      <c r="F146" s="6"/>
      <c r="G146" s="6"/>
      <c r="H146" s="6"/>
      <c r="I146" s="6"/>
      <c r="J146" s="6"/>
      <c r="K146" s="6"/>
      <c r="L146" s="6"/>
      <c r="M146" s="6"/>
      <c r="N146" s="6"/>
      <c r="O146" s="6"/>
      <c r="P146" s="6"/>
    </row>
    <row r="147" spans="1:16">
      <c r="A147" s="82"/>
      <c r="B147" s="82"/>
      <c r="C147" s="83"/>
      <c r="D147" s="6"/>
      <c r="E147" s="6"/>
      <c r="F147" s="6"/>
      <c r="G147" s="6"/>
      <c r="H147" s="6"/>
      <c r="I147" s="6"/>
      <c r="J147" s="6"/>
      <c r="K147" s="6"/>
      <c r="L147" s="6"/>
      <c r="M147" s="6"/>
      <c r="N147" s="6"/>
      <c r="O147" s="6"/>
      <c r="P147" s="6"/>
    </row>
    <row r="148" spans="1:16">
      <c r="A148" s="82"/>
      <c r="B148" s="82"/>
      <c r="C148" s="83"/>
      <c r="D148" s="6"/>
      <c r="E148" s="6"/>
      <c r="F148" s="6"/>
      <c r="G148" s="6"/>
      <c r="H148" s="6"/>
      <c r="I148" s="6"/>
      <c r="J148" s="6"/>
      <c r="K148" s="6"/>
      <c r="L148" s="6"/>
      <c r="M148" s="6"/>
      <c r="N148" s="6"/>
      <c r="O148" s="6"/>
      <c r="P148" s="6"/>
    </row>
    <row r="149" spans="1:16">
      <c r="A149" s="82"/>
      <c r="B149" s="82"/>
      <c r="C149" s="83"/>
      <c r="D149" s="6"/>
      <c r="E149" s="6"/>
      <c r="F149" s="6"/>
      <c r="G149" s="6"/>
      <c r="H149" s="6"/>
      <c r="I149" s="6"/>
      <c r="J149" s="6"/>
      <c r="K149" s="6"/>
      <c r="L149" s="6"/>
      <c r="M149" s="6"/>
      <c r="N149" s="6"/>
      <c r="O149" s="6"/>
      <c r="P149" s="6"/>
    </row>
    <row r="150" spans="1:16">
      <c r="A150" s="82"/>
      <c r="B150" s="82"/>
      <c r="C150" s="83"/>
      <c r="D150" s="6"/>
      <c r="E150" s="6"/>
      <c r="F150" s="6"/>
      <c r="G150" s="6"/>
      <c r="H150" s="6"/>
      <c r="I150" s="6"/>
      <c r="J150" s="6"/>
      <c r="K150" s="6"/>
      <c r="L150" s="6"/>
      <c r="M150" s="6"/>
      <c r="N150" s="6"/>
      <c r="O150" s="6"/>
      <c r="P150" s="6"/>
    </row>
    <row r="151" spans="1:16">
      <c r="A151" s="82"/>
      <c r="B151" s="82"/>
      <c r="C151" s="83"/>
      <c r="D151" s="6"/>
      <c r="E151" s="6"/>
      <c r="F151" s="6"/>
      <c r="G151" s="6"/>
      <c r="H151" s="6"/>
      <c r="I151" s="6"/>
      <c r="J151" s="6"/>
      <c r="K151" s="6"/>
      <c r="L151" s="6"/>
      <c r="M151" s="6"/>
      <c r="N151" s="6"/>
      <c r="O151" s="6"/>
      <c r="P151" s="6"/>
    </row>
    <row r="152" spans="1:16">
      <c r="A152" s="82"/>
      <c r="B152" s="82"/>
      <c r="C152" s="83"/>
      <c r="D152" s="6"/>
      <c r="E152" s="6"/>
      <c r="F152" s="6"/>
      <c r="G152" s="6"/>
      <c r="H152" s="6"/>
      <c r="I152" s="6"/>
      <c r="J152" s="6"/>
      <c r="K152" s="6"/>
      <c r="L152" s="6"/>
      <c r="M152" s="6"/>
      <c r="N152" s="6"/>
      <c r="O152" s="6"/>
      <c r="P152" s="6"/>
    </row>
    <row r="153" spans="1:16">
      <c r="A153" s="82"/>
      <c r="B153" s="82"/>
      <c r="C153" s="83"/>
      <c r="D153" s="6"/>
      <c r="E153" s="6"/>
      <c r="F153" s="6"/>
      <c r="G153" s="6"/>
      <c r="H153" s="6"/>
      <c r="I153" s="6"/>
      <c r="J153" s="6"/>
      <c r="K153" s="6"/>
      <c r="L153" s="6"/>
      <c r="M153" s="6"/>
      <c r="N153" s="6"/>
      <c r="O153" s="6"/>
      <c r="P153" s="6"/>
    </row>
    <row r="154" spans="1:16">
      <c r="A154" s="82"/>
      <c r="B154" s="82"/>
      <c r="C154" s="83"/>
      <c r="D154" s="6"/>
      <c r="E154" s="6"/>
      <c r="F154" s="6"/>
      <c r="G154" s="6"/>
      <c r="H154" s="6"/>
      <c r="I154" s="6"/>
      <c r="J154" s="6"/>
      <c r="K154" s="6"/>
      <c r="L154" s="6"/>
      <c r="M154" s="6"/>
      <c r="N154" s="6"/>
      <c r="O154" s="6"/>
      <c r="P154" s="6"/>
    </row>
    <row r="155" spans="1:16">
      <c r="A155" s="82"/>
      <c r="B155" s="82"/>
      <c r="C155" s="83"/>
      <c r="D155" s="6"/>
      <c r="E155" s="6"/>
      <c r="F155" s="6"/>
      <c r="G155" s="6"/>
      <c r="H155" s="6"/>
      <c r="I155" s="6"/>
      <c r="J155" s="6"/>
      <c r="K155" s="6"/>
      <c r="L155" s="6"/>
      <c r="M155" s="6"/>
      <c r="N155" s="6"/>
      <c r="O155" s="6"/>
      <c r="P155" s="6"/>
    </row>
    <row r="156" spans="1:16">
      <c r="A156" s="82"/>
      <c r="B156" s="82"/>
      <c r="C156" s="83"/>
      <c r="D156" s="6"/>
      <c r="E156" s="6"/>
      <c r="F156" s="6"/>
      <c r="G156" s="6"/>
      <c r="H156" s="6"/>
      <c r="I156" s="6"/>
      <c r="J156" s="6"/>
      <c r="K156" s="6"/>
      <c r="L156" s="6"/>
      <c r="M156" s="6"/>
      <c r="N156" s="6"/>
      <c r="O156" s="6"/>
      <c r="P156" s="6"/>
    </row>
    <row r="157" spans="1:16">
      <c r="A157" s="82"/>
      <c r="B157" s="82"/>
      <c r="C157" s="83"/>
      <c r="D157" s="6"/>
      <c r="E157" s="6"/>
      <c r="F157" s="6"/>
      <c r="G157" s="6"/>
      <c r="H157" s="6"/>
      <c r="I157" s="6"/>
      <c r="J157" s="6"/>
      <c r="K157" s="6"/>
      <c r="L157" s="6"/>
      <c r="M157" s="6"/>
      <c r="N157" s="6"/>
      <c r="O157" s="6"/>
      <c r="P157" s="6"/>
    </row>
    <row r="158" spans="1:16">
      <c r="A158" s="82"/>
      <c r="B158" s="82"/>
      <c r="C158" s="83"/>
      <c r="D158" s="6"/>
      <c r="E158" s="6"/>
      <c r="F158" s="6"/>
      <c r="G158" s="6"/>
      <c r="H158" s="6"/>
      <c r="I158" s="6"/>
      <c r="J158" s="6"/>
      <c r="K158" s="6"/>
      <c r="L158" s="6"/>
      <c r="M158" s="6"/>
      <c r="N158" s="6"/>
      <c r="O158" s="6"/>
      <c r="P158" s="6"/>
    </row>
    <row r="159" spans="1:16">
      <c r="A159" s="82"/>
      <c r="B159" s="82"/>
      <c r="C159" s="83"/>
      <c r="D159" s="6"/>
      <c r="E159" s="6"/>
      <c r="F159" s="6"/>
      <c r="G159" s="6"/>
      <c r="H159" s="6"/>
      <c r="I159" s="6"/>
      <c r="J159" s="6"/>
      <c r="K159" s="6"/>
      <c r="L159" s="6"/>
      <c r="M159" s="6"/>
      <c r="N159" s="6"/>
      <c r="O159" s="6"/>
      <c r="P159" s="6"/>
    </row>
    <row r="160" spans="1:16">
      <c r="A160" s="82"/>
      <c r="B160" s="82"/>
      <c r="C160" s="83"/>
      <c r="D160" s="6"/>
      <c r="E160" s="6"/>
      <c r="F160" s="6"/>
      <c r="G160" s="6"/>
      <c r="H160" s="6"/>
      <c r="I160" s="6"/>
      <c r="J160" s="6"/>
      <c r="K160" s="6"/>
      <c r="L160" s="6"/>
      <c r="M160" s="6"/>
      <c r="N160" s="6"/>
      <c r="O160" s="6"/>
      <c r="P160" s="6"/>
    </row>
    <row r="161" spans="1:16">
      <c r="A161" s="82"/>
      <c r="B161" s="82"/>
      <c r="C161" s="83"/>
      <c r="D161" s="6"/>
      <c r="E161" s="6"/>
      <c r="F161" s="6"/>
      <c r="G161" s="6"/>
      <c r="H161" s="6"/>
      <c r="I161" s="6"/>
      <c r="J161" s="6"/>
      <c r="K161" s="6"/>
      <c r="L161" s="6"/>
      <c r="M161" s="6"/>
      <c r="N161" s="6"/>
      <c r="O161" s="6"/>
      <c r="P161" s="6"/>
    </row>
    <row r="162" spans="1:16">
      <c r="A162" s="82"/>
      <c r="B162" s="82"/>
      <c r="C162" s="83"/>
      <c r="D162" s="6"/>
      <c r="E162" s="6"/>
      <c r="F162" s="6"/>
      <c r="G162" s="6"/>
      <c r="H162" s="6"/>
      <c r="I162" s="6"/>
      <c r="J162" s="6"/>
      <c r="K162" s="6"/>
      <c r="L162" s="6"/>
      <c r="M162" s="6"/>
      <c r="N162" s="6"/>
      <c r="O162" s="6"/>
      <c r="P162" s="6"/>
    </row>
    <row r="163" spans="1:16">
      <c r="A163" s="82"/>
      <c r="B163" s="82"/>
      <c r="C163" s="83"/>
      <c r="D163" s="6"/>
      <c r="E163" s="6"/>
      <c r="F163" s="6"/>
      <c r="G163" s="6"/>
      <c r="H163" s="6"/>
      <c r="I163" s="6"/>
      <c r="J163" s="6"/>
      <c r="K163" s="6"/>
      <c r="L163" s="6"/>
      <c r="M163" s="6"/>
      <c r="N163" s="6"/>
      <c r="O163" s="6"/>
      <c r="P163" s="6"/>
    </row>
    <row r="164" spans="1:16">
      <c r="A164" s="82"/>
      <c r="B164" s="82"/>
      <c r="C164" s="83"/>
      <c r="D164" s="6"/>
      <c r="E164" s="6"/>
      <c r="F164" s="6"/>
      <c r="G164" s="6"/>
      <c r="H164" s="6"/>
      <c r="I164" s="6"/>
      <c r="J164" s="6"/>
      <c r="K164" s="6"/>
      <c r="L164" s="6"/>
      <c r="M164" s="6"/>
      <c r="N164" s="6"/>
      <c r="O164" s="6"/>
      <c r="P164" s="6"/>
    </row>
    <row r="165" spans="1:16">
      <c r="A165" s="82"/>
      <c r="B165" s="82"/>
      <c r="C165" s="83"/>
      <c r="D165" s="6"/>
      <c r="E165" s="6"/>
      <c r="F165" s="6"/>
      <c r="G165" s="6"/>
      <c r="H165" s="6"/>
      <c r="I165" s="6"/>
      <c r="J165" s="6"/>
      <c r="K165" s="6"/>
      <c r="L165" s="6"/>
      <c r="M165" s="6"/>
      <c r="N165" s="6"/>
      <c r="O165" s="6"/>
      <c r="P165" s="6"/>
    </row>
    <row r="166" spans="1:16">
      <c r="A166" s="82"/>
      <c r="B166" s="82"/>
      <c r="C166" s="83"/>
      <c r="D166" s="6"/>
      <c r="E166" s="6"/>
      <c r="F166" s="6"/>
      <c r="G166" s="6"/>
      <c r="H166" s="6"/>
      <c r="I166" s="6"/>
      <c r="J166" s="6"/>
      <c r="K166" s="6"/>
      <c r="L166" s="6"/>
      <c r="M166" s="6"/>
      <c r="N166" s="6"/>
      <c r="O166" s="6"/>
      <c r="P166" s="6"/>
    </row>
    <row r="167" spans="1:16">
      <c r="A167" s="82"/>
      <c r="B167" s="82"/>
      <c r="C167" s="83"/>
      <c r="D167" s="6"/>
      <c r="E167" s="6"/>
      <c r="F167" s="6"/>
      <c r="G167" s="6"/>
      <c r="H167" s="6"/>
      <c r="I167" s="6"/>
      <c r="J167" s="6"/>
      <c r="K167" s="6"/>
      <c r="L167" s="6"/>
      <c r="M167" s="6"/>
      <c r="N167" s="6"/>
      <c r="O167" s="6"/>
      <c r="P167" s="6"/>
    </row>
    <row r="168" spans="1:16">
      <c r="A168" s="82"/>
      <c r="B168" s="82"/>
      <c r="C168" s="83"/>
      <c r="D168" s="6"/>
      <c r="E168" s="6"/>
      <c r="F168" s="6"/>
      <c r="G168" s="6"/>
      <c r="H168" s="6"/>
      <c r="I168" s="6"/>
      <c r="J168" s="6"/>
      <c r="K168" s="6"/>
      <c r="L168" s="6"/>
      <c r="M168" s="6"/>
      <c r="N168" s="6"/>
      <c r="O168" s="6"/>
      <c r="P168" s="6"/>
    </row>
    <row r="169" spans="1:16">
      <c r="A169" s="82"/>
      <c r="B169" s="82"/>
      <c r="C169" s="83"/>
      <c r="D169" s="6"/>
      <c r="E169" s="6"/>
      <c r="F169" s="6"/>
      <c r="G169" s="6"/>
      <c r="H169" s="6"/>
      <c r="I169" s="6"/>
      <c r="J169" s="6"/>
      <c r="K169" s="6"/>
      <c r="L169" s="6"/>
      <c r="M169" s="6"/>
      <c r="N169" s="6"/>
      <c r="O169" s="6"/>
      <c r="P169" s="6"/>
    </row>
    <row r="170" spans="1:16">
      <c r="A170" s="82"/>
      <c r="B170" s="82"/>
      <c r="C170" s="83"/>
      <c r="D170" s="6"/>
      <c r="E170" s="6"/>
      <c r="F170" s="6"/>
      <c r="G170" s="6"/>
      <c r="H170" s="6"/>
      <c r="I170" s="6"/>
      <c r="J170" s="6"/>
      <c r="K170" s="6"/>
      <c r="L170" s="6"/>
      <c r="M170" s="6"/>
      <c r="N170" s="6"/>
      <c r="O170" s="6"/>
      <c r="P170" s="6"/>
    </row>
    <row r="171" spans="1:16">
      <c r="A171" s="82"/>
      <c r="B171" s="82"/>
      <c r="C171" s="83"/>
      <c r="D171" s="6"/>
      <c r="E171" s="6"/>
      <c r="F171" s="6"/>
      <c r="G171" s="6"/>
      <c r="H171" s="6"/>
      <c r="I171" s="6"/>
      <c r="J171" s="6"/>
      <c r="K171" s="6"/>
      <c r="L171" s="6"/>
      <c r="M171" s="6"/>
      <c r="N171" s="6"/>
      <c r="O171" s="6"/>
      <c r="P171" s="6"/>
    </row>
    <row r="172" spans="1:16">
      <c r="A172" s="82"/>
      <c r="B172" s="82"/>
      <c r="C172" s="83"/>
      <c r="D172" s="6"/>
      <c r="E172" s="6"/>
      <c r="F172" s="6"/>
      <c r="G172" s="6"/>
      <c r="H172" s="6"/>
      <c r="I172" s="6"/>
      <c r="J172" s="6"/>
      <c r="K172" s="6"/>
      <c r="L172" s="6"/>
      <c r="M172" s="6"/>
      <c r="N172" s="6"/>
      <c r="O172" s="6"/>
      <c r="P172" s="6"/>
    </row>
    <row r="173" spans="1:16">
      <c r="A173" s="82"/>
      <c r="B173" s="82"/>
      <c r="C173" s="83"/>
      <c r="D173" s="6"/>
      <c r="E173" s="6"/>
      <c r="F173" s="6"/>
      <c r="G173" s="6"/>
      <c r="H173" s="6"/>
      <c r="I173" s="6"/>
      <c r="J173" s="6"/>
      <c r="K173" s="6"/>
      <c r="L173" s="6"/>
      <c r="M173" s="6"/>
      <c r="N173" s="6"/>
      <c r="O173" s="6"/>
      <c r="P173" s="6"/>
    </row>
    <row r="174" spans="1:16">
      <c r="A174" s="82"/>
      <c r="B174" s="82"/>
      <c r="C174" s="83"/>
      <c r="D174" s="6"/>
      <c r="E174" s="6"/>
      <c r="F174" s="6"/>
      <c r="G174" s="6"/>
      <c r="H174" s="6"/>
      <c r="I174" s="6"/>
      <c r="J174" s="6"/>
      <c r="K174" s="6"/>
      <c r="L174" s="6"/>
      <c r="M174" s="6"/>
      <c r="N174" s="6"/>
      <c r="O174" s="6"/>
      <c r="P174" s="6"/>
    </row>
    <row r="175" spans="1:16">
      <c r="A175" s="82"/>
      <c r="B175" s="82"/>
      <c r="C175" s="83"/>
      <c r="D175" s="6"/>
      <c r="E175" s="6"/>
      <c r="F175" s="6"/>
      <c r="G175" s="6"/>
      <c r="H175" s="6"/>
      <c r="I175" s="6"/>
      <c r="J175" s="6"/>
      <c r="K175" s="6"/>
      <c r="L175" s="6"/>
      <c r="M175" s="6"/>
      <c r="N175" s="6"/>
      <c r="O175" s="6"/>
      <c r="P175" s="6"/>
    </row>
    <row r="176" spans="1:16">
      <c r="A176" s="82"/>
      <c r="B176" s="82"/>
      <c r="C176" s="83"/>
      <c r="D176" s="6"/>
      <c r="E176" s="6"/>
      <c r="F176" s="6"/>
      <c r="G176" s="6"/>
      <c r="H176" s="6"/>
      <c r="I176" s="6"/>
      <c r="J176" s="6"/>
      <c r="K176" s="6"/>
      <c r="L176" s="6"/>
      <c r="M176" s="6"/>
      <c r="N176" s="6"/>
      <c r="O176" s="6"/>
      <c r="P176" s="6"/>
    </row>
    <row r="177" spans="1:16">
      <c r="A177" s="82"/>
      <c r="B177" s="82"/>
      <c r="C177" s="83"/>
      <c r="D177" s="6"/>
      <c r="E177" s="6"/>
      <c r="F177" s="6"/>
      <c r="G177" s="6"/>
      <c r="H177" s="6"/>
      <c r="I177" s="6"/>
      <c r="J177" s="6"/>
      <c r="K177" s="6"/>
      <c r="L177" s="6"/>
      <c r="M177" s="6"/>
      <c r="N177" s="6"/>
      <c r="O177" s="6"/>
      <c r="P177" s="6"/>
    </row>
    <row r="178" spans="1:16">
      <c r="A178" s="82"/>
      <c r="B178" s="82"/>
      <c r="C178" s="83"/>
      <c r="D178" s="6"/>
      <c r="E178" s="6"/>
      <c r="F178" s="6"/>
      <c r="G178" s="6"/>
      <c r="H178" s="6"/>
      <c r="I178" s="6"/>
      <c r="J178" s="6"/>
      <c r="K178" s="6"/>
      <c r="L178" s="6"/>
      <c r="M178" s="6"/>
      <c r="N178" s="6"/>
      <c r="O178" s="6"/>
      <c r="P178" s="6"/>
    </row>
    <row r="179" spans="1:16">
      <c r="A179" s="82"/>
      <c r="B179" s="82"/>
      <c r="C179" s="83"/>
      <c r="D179" s="6"/>
      <c r="E179" s="6"/>
      <c r="F179" s="6"/>
      <c r="G179" s="6"/>
      <c r="H179" s="6"/>
      <c r="I179" s="6"/>
      <c r="J179" s="6"/>
      <c r="K179" s="6"/>
      <c r="L179" s="6"/>
      <c r="M179" s="6"/>
      <c r="N179" s="6"/>
      <c r="O179" s="6"/>
      <c r="P179" s="6"/>
    </row>
    <row r="180" spans="1:16">
      <c r="A180" s="82"/>
      <c r="B180" s="82"/>
      <c r="C180" s="83"/>
      <c r="D180" s="6"/>
      <c r="E180" s="6"/>
      <c r="F180" s="6"/>
      <c r="G180" s="6"/>
      <c r="H180" s="6"/>
      <c r="I180" s="6"/>
      <c r="J180" s="6"/>
      <c r="K180" s="6"/>
      <c r="L180" s="6"/>
      <c r="M180" s="6"/>
      <c r="N180" s="6"/>
      <c r="O180" s="6"/>
      <c r="P180" s="6"/>
    </row>
    <row r="181" spans="1:16">
      <c r="A181" s="82"/>
      <c r="B181" s="82"/>
      <c r="C181" s="83"/>
      <c r="D181" s="6"/>
      <c r="E181" s="6"/>
      <c r="F181" s="6"/>
      <c r="G181" s="6"/>
      <c r="H181" s="6"/>
      <c r="I181" s="6"/>
      <c r="J181" s="6"/>
      <c r="K181" s="6"/>
      <c r="L181" s="6"/>
      <c r="M181" s="6"/>
      <c r="N181" s="6"/>
      <c r="O181" s="6"/>
      <c r="P181" s="6"/>
    </row>
    <row r="182" spans="1:16">
      <c r="A182" s="82"/>
      <c r="B182" s="82"/>
      <c r="C182" s="83"/>
      <c r="D182" s="6"/>
      <c r="E182" s="6"/>
      <c r="F182" s="6"/>
      <c r="G182" s="6"/>
      <c r="H182" s="6"/>
      <c r="I182" s="6"/>
      <c r="J182" s="6"/>
      <c r="K182" s="6"/>
      <c r="L182" s="6"/>
      <c r="M182" s="6"/>
      <c r="N182" s="6"/>
      <c r="O182" s="6"/>
      <c r="P182" s="6"/>
    </row>
    <row r="183" spans="1:16">
      <c r="A183" s="82"/>
      <c r="B183" s="82"/>
      <c r="C183" s="83"/>
      <c r="D183" s="6"/>
      <c r="E183" s="6"/>
      <c r="F183" s="6"/>
      <c r="G183" s="6"/>
      <c r="H183" s="6"/>
      <c r="I183" s="6"/>
      <c r="J183" s="6"/>
      <c r="K183" s="6"/>
      <c r="L183" s="6"/>
      <c r="M183" s="6"/>
      <c r="N183" s="6"/>
      <c r="O183" s="6"/>
      <c r="P183" s="6"/>
    </row>
    <row r="184" spans="1:16">
      <c r="A184" s="82"/>
      <c r="B184" s="82"/>
      <c r="C184" s="83"/>
      <c r="D184" s="6"/>
      <c r="E184" s="6"/>
      <c r="F184" s="6"/>
      <c r="G184" s="6"/>
      <c r="H184" s="6"/>
      <c r="I184" s="6"/>
      <c r="J184" s="6"/>
      <c r="K184" s="6"/>
      <c r="L184" s="6"/>
      <c r="M184" s="6"/>
      <c r="N184" s="6"/>
      <c r="O184" s="6"/>
      <c r="P184" s="6"/>
    </row>
    <row r="185" spans="1:16">
      <c r="A185" s="82"/>
      <c r="B185" s="82"/>
      <c r="C185" s="83"/>
      <c r="D185" s="6"/>
      <c r="E185" s="6"/>
      <c r="F185" s="6"/>
      <c r="G185" s="6"/>
      <c r="H185" s="6"/>
      <c r="I185" s="6"/>
      <c r="J185" s="6"/>
      <c r="K185" s="6"/>
      <c r="L185" s="6"/>
      <c r="M185" s="6"/>
      <c r="N185" s="6"/>
      <c r="O185" s="6"/>
      <c r="P185" s="6"/>
    </row>
    <row r="186" spans="1:16">
      <c r="A186" s="82"/>
      <c r="B186" s="82"/>
      <c r="C186" s="83"/>
      <c r="D186" s="6"/>
      <c r="E186" s="6"/>
      <c r="F186" s="6"/>
      <c r="G186" s="6"/>
      <c r="H186" s="6"/>
      <c r="I186" s="6"/>
      <c r="J186" s="6"/>
      <c r="K186" s="6"/>
      <c r="L186" s="6"/>
      <c r="M186" s="6"/>
      <c r="N186" s="6"/>
      <c r="O186" s="6"/>
      <c r="P186" s="6"/>
    </row>
    <row r="187" spans="1:16">
      <c r="A187" s="82"/>
      <c r="B187" s="82"/>
      <c r="C187" s="83"/>
      <c r="D187" s="6"/>
      <c r="E187" s="6"/>
      <c r="F187" s="6"/>
      <c r="G187" s="6"/>
      <c r="H187" s="6"/>
      <c r="I187" s="6"/>
      <c r="J187" s="6"/>
      <c r="K187" s="6"/>
      <c r="L187" s="6"/>
      <c r="M187" s="6"/>
      <c r="N187" s="6"/>
      <c r="O187" s="6"/>
      <c r="P187" s="6"/>
    </row>
    <row r="188" spans="1:16">
      <c r="A188" s="82"/>
      <c r="B188" s="82"/>
      <c r="C188" s="83"/>
      <c r="D188" s="6"/>
      <c r="E188" s="6"/>
      <c r="F188" s="6"/>
      <c r="G188" s="6"/>
      <c r="H188" s="6"/>
      <c r="I188" s="6"/>
      <c r="J188" s="6"/>
      <c r="K188" s="6"/>
      <c r="L188" s="6"/>
      <c r="M188" s="6"/>
      <c r="N188" s="6"/>
      <c r="O188" s="6"/>
      <c r="P188" s="6"/>
    </row>
    <row r="189" spans="1:16">
      <c r="A189" s="82"/>
      <c r="B189" s="82"/>
      <c r="C189" s="83"/>
      <c r="D189" s="6"/>
      <c r="E189" s="6"/>
      <c r="F189" s="6"/>
      <c r="G189" s="6"/>
      <c r="H189" s="6"/>
      <c r="I189" s="6"/>
      <c r="J189" s="6"/>
      <c r="K189" s="6"/>
      <c r="L189" s="6"/>
      <c r="M189" s="6"/>
      <c r="N189" s="6"/>
      <c r="O189" s="6"/>
      <c r="P189" s="6"/>
    </row>
    <row r="190" spans="1:16">
      <c r="A190" s="82"/>
      <c r="B190" s="82"/>
      <c r="C190" s="83"/>
      <c r="D190" s="6"/>
      <c r="E190" s="6"/>
      <c r="F190" s="6"/>
      <c r="G190" s="6"/>
      <c r="H190" s="6"/>
      <c r="I190" s="6"/>
      <c r="J190" s="6"/>
      <c r="K190" s="6"/>
      <c r="L190" s="6"/>
      <c r="M190" s="6"/>
      <c r="N190" s="6"/>
      <c r="O190" s="6"/>
      <c r="P190" s="6"/>
    </row>
    <row r="191" spans="1:16">
      <c r="A191" s="82"/>
      <c r="B191" s="82"/>
      <c r="C191" s="83"/>
      <c r="D191" s="6"/>
      <c r="E191" s="6"/>
      <c r="F191" s="6"/>
      <c r="G191" s="6"/>
      <c r="H191" s="6"/>
      <c r="I191" s="6"/>
      <c r="J191" s="6"/>
      <c r="K191" s="6"/>
      <c r="L191" s="6"/>
      <c r="M191" s="6"/>
      <c r="N191" s="6"/>
      <c r="O191" s="6"/>
      <c r="P191" s="6"/>
    </row>
    <row r="192" spans="1:16">
      <c r="A192" s="82"/>
      <c r="B192" s="82"/>
      <c r="C192" s="83"/>
      <c r="D192" s="6"/>
      <c r="E192" s="6"/>
      <c r="F192" s="6"/>
      <c r="G192" s="6"/>
      <c r="H192" s="6"/>
      <c r="I192" s="6"/>
      <c r="J192" s="6"/>
      <c r="K192" s="6"/>
      <c r="L192" s="6"/>
      <c r="M192" s="6"/>
      <c r="N192" s="6"/>
      <c r="O192" s="6"/>
      <c r="P192" s="6"/>
    </row>
    <row r="193" spans="1:16">
      <c r="A193" s="82"/>
      <c r="B193" s="82"/>
      <c r="C193" s="83"/>
      <c r="D193" s="6"/>
      <c r="E193" s="6"/>
      <c r="F193" s="6"/>
      <c r="G193" s="6"/>
      <c r="H193" s="6"/>
      <c r="I193" s="6"/>
      <c r="J193" s="6"/>
      <c r="K193" s="6"/>
      <c r="L193" s="6"/>
      <c r="M193" s="6"/>
      <c r="N193" s="6"/>
      <c r="O193" s="6"/>
      <c r="P193" s="6"/>
    </row>
    <row r="194" spans="1:16">
      <c r="A194" s="82"/>
      <c r="B194" s="82"/>
      <c r="C194" s="83"/>
      <c r="D194" s="6"/>
      <c r="E194" s="6"/>
      <c r="F194" s="6"/>
      <c r="G194" s="6"/>
      <c r="H194" s="6"/>
      <c r="I194" s="6"/>
      <c r="J194" s="6"/>
      <c r="K194" s="6"/>
      <c r="L194" s="6"/>
      <c r="M194" s="6"/>
      <c r="N194" s="6"/>
      <c r="O194" s="6"/>
      <c r="P194" s="6"/>
    </row>
    <row r="195" spans="1:16">
      <c r="A195" s="82"/>
      <c r="B195" s="82"/>
      <c r="C195" s="83"/>
      <c r="D195" s="6"/>
      <c r="E195" s="6"/>
      <c r="F195" s="6"/>
      <c r="G195" s="6"/>
      <c r="H195" s="6"/>
      <c r="I195" s="6"/>
      <c r="J195" s="6"/>
      <c r="K195" s="6"/>
      <c r="L195" s="6"/>
      <c r="M195" s="6"/>
      <c r="N195" s="6"/>
      <c r="O195" s="6"/>
      <c r="P195" s="6"/>
    </row>
    <row r="196" spans="1:16">
      <c r="A196" s="82"/>
      <c r="B196" s="82"/>
      <c r="C196" s="83"/>
      <c r="D196" s="6"/>
      <c r="E196" s="6"/>
      <c r="F196" s="6"/>
      <c r="G196" s="6"/>
      <c r="H196" s="6"/>
      <c r="I196" s="6"/>
      <c r="J196" s="6"/>
      <c r="K196" s="6"/>
      <c r="L196" s="6"/>
      <c r="M196" s="6"/>
      <c r="N196" s="6"/>
      <c r="O196" s="6"/>
      <c r="P196" s="6"/>
    </row>
    <row r="197" spans="1:16">
      <c r="A197" s="82"/>
      <c r="B197" s="82"/>
      <c r="C197" s="83"/>
      <c r="D197" s="6"/>
      <c r="E197" s="6"/>
      <c r="F197" s="6"/>
      <c r="G197" s="6"/>
      <c r="H197" s="6"/>
      <c r="I197" s="6"/>
      <c r="J197" s="6"/>
      <c r="K197" s="6"/>
      <c r="L197" s="6"/>
      <c r="M197" s="6"/>
      <c r="N197" s="6"/>
      <c r="O197" s="6"/>
      <c r="P197" s="6"/>
    </row>
    <row r="198" spans="1:16">
      <c r="A198" s="82"/>
      <c r="B198" s="82"/>
      <c r="C198" s="83"/>
      <c r="D198" s="6"/>
      <c r="E198" s="6"/>
      <c r="F198" s="6"/>
      <c r="G198" s="6"/>
      <c r="H198" s="6"/>
      <c r="I198" s="6"/>
      <c r="J198" s="6"/>
      <c r="K198" s="6"/>
      <c r="L198" s="6"/>
      <c r="M198" s="6"/>
      <c r="N198" s="6"/>
      <c r="O198" s="6"/>
      <c r="P198" s="6"/>
    </row>
    <row r="199" spans="1:16">
      <c r="A199" s="82"/>
      <c r="B199" s="82"/>
      <c r="C199" s="83"/>
      <c r="D199" s="6"/>
      <c r="E199" s="6"/>
      <c r="F199" s="6"/>
      <c r="G199" s="6"/>
      <c r="H199" s="6"/>
      <c r="I199" s="6"/>
      <c r="J199" s="6"/>
      <c r="K199" s="6"/>
      <c r="L199" s="6"/>
      <c r="M199" s="6"/>
      <c r="N199" s="6"/>
      <c r="O199" s="6"/>
      <c r="P199" s="6"/>
    </row>
    <row r="200" spans="1:16">
      <c r="A200" s="82"/>
      <c r="B200" s="82"/>
      <c r="C200" s="83"/>
      <c r="D200" s="6"/>
      <c r="E200" s="6"/>
      <c r="F200" s="6"/>
      <c r="G200" s="6"/>
      <c r="H200" s="6"/>
      <c r="I200" s="6"/>
      <c r="J200" s="6"/>
      <c r="K200" s="6"/>
      <c r="L200" s="6"/>
      <c r="M200" s="6"/>
      <c r="N200" s="6"/>
      <c r="O200" s="6"/>
      <c r="P200" s="6"/>
    </row>
    <row r="201" spans="1:16">
      <c r="A201" s="82"/>
      <c r="B201" s="82"/>
      <c r="C201" s="83"/>
      <c r="D201" s="6"/>
      <c r="E201" s="6"/>
      <c r="F201" s="6"/>
      <c r="G201" s="6"/>
      <c r="H201" s="6"/>
      <c r="I201" s="6"/>
      <c r="J201" s="6"/>
      <c r="K201" s="6"/>
      <c r="L201" s="6"/>
      <c r="M201" s="6"/>
      <c r="N201" s="6"/>
      <c r="O201" s="6"/>
      <c r="P201" s="6"/>
    </row>
    <row r="202" spans="1:16">
      <c r="A202" s="82"/>
      <c r="B202" s="82"/>
      <c r="C202" s="83"/>
      <c r="D202" s="6"/>
      <c r="E202" s="6"/>
      <c r="F202" s="6"/>
      <c r="G202" s="6"/>
      <c r="H202" s="6"/>
      <c r="I202" s="6"/>
      <c r="J202" s="6"/>
      <c r="K202" s="6"/>
      <c r="L202" s="6"/>
      <c r="M202" s="6"/>
      <c r="N202" s="6"/>
      <c r="O202" s="6"/>
      <c r="P202" s="6"/>
    </row>
    <row r="203" spans="1:16">
      <c r="A203" s="82"/>
      <c r="B203" s="82"/>
      <c r="C203" s="83"/>
      <c r="D203" s="6"/>
      <c r="E203" s="6"/>
      <c r="F203" s="6"/>
      <c r="G203" s="6"/>
      <c r="H203" s="6"/>
      <c r="I203" s="6"/>
      <c r="J203" s="6"/>
      <c r="K203" s="6"/>
      <c r="L203" s="6"/>
      <c r="M203" s="6"/>
      <c r="N203" s="6"/>
      <c r="O203" s="6"/>
      <c r="P203" s="6"/>
    </row>
    <row r="204" spans="1:16">
      <c r="A204" s="82"/>
      <c r="B204" s="82"/>
      <c r="C204" s="83"/>
      <c r="D204" s="6"/>
      <c r="E204" s="6"/>
      <c r="F204" s="6"/>
      <c r="G204" s="6"/>
      <c r="H204" s="6"/>
      <c r="I204" s="6"/>
      <c r="J204" s="6"/>
      <c r="K204" s="6"/>
      <c r="L204" s="6"/>
      <c r="M204" s="6"/>
      <c r="N204" s="6"/>
      <c r="O204" s="6"/>
      <c r="P204" s="6"/>
    </row>
    <row r="205" spans="1:16">
      <c r="A205" s="82"/>
      <c r="B205" s="82"/>
      <c r="C205" s="83"/>
      <c r="D205" s="6"/>
      <c r="E205" s="6"/>
      <c r="F205" s="6"/>
      <c r="G205" s="6"/>
      <c r="H205" s="6"/>
      <c r="I205" s="6"/>
      <c r="J205" s="6"/>
      <c r="K205" s="6"/>
      <c r="L205" s="6"/>
      <c r="M205" s="6"/>
      <c r="N205" s="6"/>
      <c r="O205" s="6"/>
      <c r="P205" s="6"/>
    </row>
    <row r="206" spans="1:16">
      <c r="A206" s="82"/>
      <c r="B206" s="82"/>
      <c r="C206" s="83"/>
      <c r="D206" s="6"/>
      <c r="E206" s="6"/>
      <c r="F206" s="6"/>
      <c r="G206" s="6"/>
      <c r="H206" s="6"/>
      <c r="I206" s="6"/>
      <c r="J206" s="6"/>
      <c r="K206" s="6"/>
      <c r="L206" s="6"/>
      <c r="M206" s="6"/>
      <c r="N206" s="6"/>
      <c r="O206" s="6"/>
      <c r="P206" s="6"/>
    </row>
    <row r="207" spans="1:16">
      <c r="A207" s="82"/>
      <c r="B207" s="82"/>
      <c r="C207" s="83"/>
      <c r="D207" s="6"/>
      <c r="E207" s="6"/>
      <c r="F207" s="6"/>
      <c r="G207" s="6"/>
      <c r="H207" s="6"/>
      <c r="I207" s="6"/>
      <c r="J207" s="6"/>
      <c r="K207" s="6"/>
      <c r="L207" s="6"/>
      <c r="M207" s="6"/>
      <c r="N207" s="6"/>
      <c r="O207" s="6"/>
      <c r="P207" s="6"/>
    </row>
    <row r="208" spans="1:16">
      <c r="A208" s="82"/>
      <c r="B208" s="82"/>
      <c r="C208" s="83"/>
      <c r="D208" s="6"/>
      <c r="E208" s="6"/>
      <c r="F208" s="6"/>
      <c r="G208" s="6"/>
      <c r="H208" s="6"/>
      <c r="I208" s="6"/>
      <c r="J208" s="6"/>
      <c r="K208" s="6"/>
      <c r="L208" s="6"/>
      <c r="M208" s="6"/>
      <c r="N208" s="6"/>
      <c r="O208" s="6"/>
      <c r="P208" s="6"/>
    </row>
    <row r="209" spans="1:16">
      <c r="A209" s="82"/>
      <c r="B209" s="82"/>
      <c r="C209" s="83"/>
      <c r="D209" s="6"/>
      <c r="E209" s="6"/>
      <c r="F209" s="6"/>
      <c r="G209" s="6"/>
      <c r="H209" s="6"/>
      <c r="I209" s="6"/>
      <c r="J209" s="6"/>
      <c r="K209" s="6"/>
      <c r="L209" s="6"/>
      <c r="M209" s="6"/>
      <c r="N209" s="6"/>
      <c r="O209" s="6"/>
      <c r="P209" s="6"/>
    </row>
    <row r="210" spans="1:16">
      <c r="A210" s="82"/>
      <c r="B210" s="82"/>
      <c r="C210" s="83"/>
      <c r="D210" s="6"/>
      <c r="E210" s="6"/>
      <c r="F210" s="6"/>
      <c r="G210" s="6"/>
      <c r="H210" s="6"/>
      <c r="I210" s="6"/>
      <c r="J210" s="6"/>
      <c r="K210" s="6"/>
      <c r="L210" s="6"/>
      <c r="M210" s="6"/>
      <c r="N210" s="6"/>
      <c r="O210" s="6"/>
      <c r="P210" s="6"/>
    </row>
    <row r="211" spans="1:16">
      <c r="A211" s="82"/>
      <c r="B211" s="82"/>
      <c r="C211" s="83"/>
      <c r="D211" s="6"/>
      <c r="E211" s="6"/>
      <c r="F211" s="6"/>
      <c r="G211" s="6"/>
      <c r="H211" s="6"/>
      <c r="I211" s="6"/>
      <c r="J211" s="6"/>
      <c r="K211" s="6"/>
      <c r="L211" s="6"/>
      <c r="M211" s="6"/>
      <c r="N211" s="6"/>
      <c r="O211" s="6"/>
      <c r="P211" s="6"/>
    </row>
    <row r="212" spans="1:16">
      <c r="A212" s="82"/>
      <c r="B212" s="82"/>
      <c r="C212" s="83"/>
      <c r="D212" s="6"/>
      <c r="E212" s="6"/>
      <c r="F212" s="6"/>
      <c r="G212" s="6"/>
      <c r="H212" s="6"/>
      <c r="I212" s="6"/>
      <c r="J212" s="6"/>
      <c r="K212" s="6"/>
      <c r="L212" s="6"/>
      <c r="M212" s="6"/>
      <c r="N212" s="6"/>
      <c r="O212" s="6"/>
      <c r="P212" s="6"/>
    </row>
    <row r="213" spans="1:16">
      <c r="A213" s="82"/>
      <c r="B213" s="82"/>
      <c r="C213" s="83"/>
      <c r="D213" s="6"/>
      <c r="E213" s="6"/>
      <c r="F213" s="6"/>
      <c r="G213" s="6"/>
      <c r="H213" s="6"/>
      <c r="I213" s="6"/>
      <c r="J213" s="6"/>
      <c r="K213" s="6"/>
      <c r="L213" s="6"/>
      <c r="M213" s="6"/>
      <c r="N213" s="6"/>
      <c r="O213" s="6"/>
      <c r="P213" s="6"/>
    </row>
    <row r="214" spans="1:16">
      <c r="A214" s="82"/>
      <c r="B214" s="82"/>
      <c r="C214" s="83"/>
      <c r="D214" s="6"/>
      <c r="E214" s="6"/>
      <c r="F214" s="6"/>
      <c r="G214" s="6"/>
      <c r="H214" s="6"/>
      <c r="I214" s="6"/>
      <c r="J214" s="6"/>
      <c r="K214" s="6"/>
      <c r="L214" s="6"/>
      <c r="M214" s="6"/>
      <c r="N214" s="6"/>
      <c r="O214" s="6"/>
      <c r="P214" s="6"/>
    </row>
    <row r="215" spans="1:16">
      <c r="A215" s="82"/>
      <c r="B215" s="82"/>
      <c r="C215" s="83"/>
      <c r="D215" s="6"/>
      <c r="E215" s="6"/>
      <c r="F215" s="6"/>
      <c r="G215" s="6"/>
      <c r="H215" s="6"/>
      <c r="I215" s="6"/>
      <c r="J215" s="6"/>
      <c r="K215" s="6"/>
      <c r="L215" s="6"/>
      <c r="M215" s="6"/>
      <c r="N215" s="6"/>
      <c r="O215" s="6"/>
      <c r="P215" s="6"/>
    </row>
    <row r="216" spans="1:16">
      <c r="A216" s="82"/>
      <c r="B216" s="82"/>
      <c r="C216" s="83"/>
      <c r="D216" s="6"/>
      <c r="E216" s="6"/>
      <c r="F216" s="6"/>
      <c r="G216" s="6"/>
      <c r="H216" s="6"/>
      <c r="I216" s="6"/>
      <c r="J216" s="6"/>
      <c r="K216" s="6"/>
      <c r="L216" s="6"/>
      <c r="M216" s="6"/>
      <c r="N216" s="6"/>
      <c r="O216" s="6"/>
      <c r="P216" s="6"/>
    </row>
    <row r="217" spans="1:16">
      <c r="A217" s="82"/>
      <c r="B217" s="82"/>
      <c r="C217" s="83"/>
      <c r="D217" s="6"/>
      <c r="E217" s="6"/>
      <c r="F217" s="6"/>
      <c r="G217" s="6"/>
      <c r="H217" s="6"/>
      <c r="I217" s="6"/>
      <c r="J217" s="6"/>
      <c r="K217" s="6"/>
      <c r="L217" s="6"/>
      <c r="M217" s="6"/>
      <c r="N217" s="6"/>
      <c r="O217" s="6"/>
      <c r="P217" s="6"/>
    </row>
    <row r="218" spans="1:16">
      <c r="A218" s="82"/>
      <c r="B218" s="82"/>
      <c r="C218" s="83"/>
      <c r="D218" s="6"/>
      <c r="E218" s="6"/>
      <c r="F218" s="6"/>
      <c r="G218" s="6"/>
      <c r="H218" s="6"/>
      <c r="I218" s="6"/>
      <c r="J218" s="6"/>
      <c r="K218" s="6"/>
      <c r="L218" s="6"/>
      <c r="M218" s="6"/>
      <c r="N218" s="6"/>
      <c r="O218" s="6"/>
      <c r="P218" s="6"/>
    </row>
    <row r="219" spans="1:16">
      <c r="A219" s="82"/>
      <c r="B219" s="82"/>
      <c r="C219" s="83"/>
      <c r="D219" s="6"/>
      <c r="E219" s="6"/>
      <c r="F219" s="6"/>
      <c r="G219" s="6"/>
      <c r="H219" s="6"/>
      <c r="I219" s="6"/>
      <c r="J219" s="6"/>
      <c r="K219" s="6"/>
      <c r="L219" s="6"/>
      <c r="M219" s="6"/>
      <c r="N219" s="6"/>
      <c r="O219" s="6"/>
      <c r="P219" s="6"/>
    </row>
    <row r="220" spans="1:16">
      <c r="A220" s="82"/>
      <c r="B220" s="82"/>
      <c r="C220" s="83"/>
      <c r="D220" s="6"/>
      <c r="E220" s="6"/>
      <c r="F220" s="6"/>
      <c r="G220" s="6"/>
      <c r="H220" s="6"/>
      <c r="I220" s="6"/>
      <c r="J220" s="6"/>
      <c r="K220" s="6"/>
      <c r="L220" s="6"/>
      <c r="M220" s="6"/>
      <c r="N220" s="6"/>
      <c r="O220" s="6"/>
      <c r="P220" s="6"/>
    </row>
    <row r="221" spans="1:16">
      <c r="A221" s="82"/>
      <c r="B221" s="82"/>
      <c r="C221" s="83"/>
      <c r="D221" s="6"/>
      <c r="E221" s="6"/>
      <c r="F221" s="6"/>
      <c r="G221" s="6"/>
      <c r="H221" s="6"/>
      <c r="I221" s="6"/>
      <c r="J221" s="6"/>
      <c r="K221" s="6"/>
      <c r="L221" s="6"/>
      <c r="M221" s="6"/>
      <c r="N221" s="6"/>
      <c r="O221" s="6"/>
      <c r="P221" s="6"/>
    </row>
    <row r="222" spans="1:16">
      <c r="A222" s="82"/>
      <c r="B222" s="82"/>
      <c r="C222" s="83"/>
      <c r="D222" s="6"/>
      <c r="E222" s="6"/>
      <c r="F222" s="6"/>
      <c r="G222" s="6"/>
      <c r="H222" s="6"/>
      <c r="I222" s="6"/>
      <c r="J222" s="6"/>
      <c r="K222" s="6"/>
      <c r="L222" s="6"/>
      <c r="M222" s="6"/>
      <c r="N222" s="6"/>
      <c r="O222" s="6"/>
      <c r="P222" s="6"/>
    </row>
    <row r="223" spans="1:16">
      <c r="A223" s="82"/>
      <c r="B223" s="82"/>
      <c r="C223" s="83"/>
      <c r="D223" s="6"/>
      <c r="E223" s="6"/>
      <c r="F223" s="6"/>
      <c r="G223" s="6"/>
      <c r="H223" s="6"/>
      <c r="I223" s="6"/>
      <c r="J223" s="6"/>
      <c r="K223" s="6"/>
      <c r="L223" s="6"/>
      <c r="M223" s="6"/>
      <c r="N223" s="6"/>
      <c r="O223" s="6"/>
      <c r="P223" s="6"/>
    </row>
    <row r="224" spans="1:16">
      <c r="A224" s="82"/>
      <c r="B224" s="82"/>
      <c r="C224" s="83"/>
      <c r="D224" s="6"/>
      <c r="E224" s="6"/>
      <c r="F224" s="6"/>
      <c r="G224" s="6"/>
      <c r="H224" s="6"/>
      <c r="I224" s="6"/>
      <c r="J224" s="6"/>
      <c r="K224" s="6"/>
      <c r="L224" s="6"/>
      <c r="M224" s="6"/>
      <c r="N224" s="6"/>
      <c r="O224" s="6"/>
      <c r="P224" s="6"/>
    </row>
    <row r="225" spans="1:16">
      <c r="A225" s="82"/>
      <c r="B225" s="82"/>
      <c r="C225" s="83"/>
      <c r="D225" s="6"/>
      <c r="E225" s="6"/>
      <c r="F225" s="6"/>
      <c r="G225" s="6"/>
      <c r="H225" s="6"/>
      <c r="I225" s="6"/>
      <c r="J225" s="6"/>
      <c r="K225" s="6"/>
      <c r="L225" s="6"/>
      <c r="M225" s="6"/>
      <c r="N225" s="6"/>
      <c r="O225" s="6"/>
      <c r="P225" s="6"/>
    </row>
    <row r="226" spans="1:16">
      <c r="A226" s="82"/>
      <c r="B226" s="82"/>
      <c r="C226" s="83"/>
      <c r="D226" s="6"/>
      <c r="E226" s="6"/>
      <c r="F226" s="6"/>
      <c r="G226" s="6"/>
      <c r="H226" s="6"/>
      <c r="I226" s="6"/>
      <c r="J226" s="6"/>
      <c r="K226" s="6"/>
      <c r="L226" s="6"/>
      <c r="M226" s="6"/>
      <c r="N226" s="6"/>
      <c r="O226" s="6"/>
      <c r="P226" s="6"/>
    </row>
    <row r="227" spans="1:16">
      <c r="A227" s="82"/>
      <c r="B227" s="82"/>
      <c r="C227" s="83"/>
      <c r="D227" s="6"/>
      <c r="E227" s="6"/>
      <c r="F227" s="6"/>
      <c r="G227" s="6"/>
      <c r="H227" s="6"/>
      <c r="I227" s="6"/>
      <c r="J227" s="6"/>
      <c r="K227" s="6"/>
      <c r="L227" s="6"/>
      <c r="M227" s="6"/>
      <c r="N227" s="6"/>
      <c r="O227" s="6"/>
      <c r="P227" s="6"/>
    </row>
    <row r="228" spans="1:16">
      <c r="A228" s="82"/>
      <c r="B228" s="82"/>
      <c r="C228" s="83"/>
      <c r="D228" s="6"/>
      <c r="E228" s="6"/>
      <c r="F228" s="6"/>
      <c r="G228" s="6"/>
      <c r="H228" s="6"/>
      <c r="I228" s="6"/>
      <c r="J228" s="6"/>
      <c r="K228" s="6"/>
      <c r="L228" s="6"/>
      <c r="M228" s="6"/>
      <c r="N228" s="6"/>
      <c r="O228" s="6"/>
      <c r="P228" s="6"/>
    </row>
    <row r="229" spans="1:16">
      <c r="A229" s="82"/>
      <c r="B229" s="82"/>
      <c r="C229" s="83"/>
      <c r="D229" s="6"/>
      <c r="E229" s="6"/>
      <c r="F229" s="6"/>
      <c r="G229" s="6"/>
      <c r="H229" s="6"/>
      <c r="I229" s="6"/>
      <c r="J229" s="6"/>
      <c r="K229" s="6"/>
      <c r="L229" s="6"/>
      <c r="M229" s="6"/>
      <c r="N229" s="6"/>
      <c r="O229" s="6"/>
      <c r="P229" s="6"/>
    </row>
    <row r="230" spans="1:16">
      <c r="A230" s="82"/>
      <c r="B230" s="82"/>
      <c r="C230" s="83"/>
      <c r="D230" s="6"/>
      <c r="E230" s="6"/>
      <c r="F230" s="6"/>
      <c r="G230" s="6"/>
      <c r="H230" s="6"/>
      <c r="I230" s="6"/>
      <c r="J230" s="6"/>
      <c r="K230" s="6"/>
      <c r="L230" s="6"/>
      <c r="M230" s="6"/>
      <c r="N230" s="6"/>
      <c r="O230" s="6"/>
      <c r="P230" s="6"/>
    </row>
    <row r="231" spans="1:16">
      <c r="A231" s="82"/>
      <c r="B231" s="82"/>
      <c r="C231" s="83"/>
      <c r="D231" s="6"/>
      <c r="E231" s="6"/>
      <c r="F231" s="6"/>
      <c r="G231" s="6"/>
      <c r="H231" s="6"/>
      <c r="I231" s="6"/>
      <c r="J231" s="6"/>
      <c r="K231" s="6"/>
      <c r="L231" s="6"/>
      <c r="M231" s="6"/>
      <c r="N231" s="6"/>
      <c r="O231" s="6"/>
      <c r="P231" s="6"/>
    </row>
    <row r="232" spans="1:16">
      <c r="A232" s="82"/>
      <c r="B232" s="82"/>
      <c r="C232" s="83"/>
      <c r="D232" s="6"/>
      <c r="E232" s="6"/>
      <c r="F232" s="6"/>
      <c r="G232" s="6"/>
      <c r="H232" s="6"/>
      <c r="I232" s="6"/>
      <c r="J232" s="6"/>
      <c r="K232" s="6"/>
      <c r="L232" s="6"/>
      <c r="M232" s="6"/>
      <c r="N232" s="6"/>
      <c r="O232" s="6"/>
      <c r="P232" s="6"/>
    </row>
    <row r="233" spans="1:16">
      <c r="A233" s="82"/>
      <c r="B233" s="82"/>
      <c r="C233" s="83"/>
      <c r="D233" s="6"/>
      <c r="E233" s="6"/>
      <c r="F233" s="6"/>
      <c r="G233" s="6"/>
      <c r="H233" s="6"/>
      <c r="I233" s="6"/>
      <c r="J233" s="6"/>
      <c r="K233" s="6"/>
      <c r="L233" s="6"/>
      <c r="M233" s="6"/>
      <c r="N233" s="6"/>
      <c r="O233" s="6"/>
      <c r="P233" s="6"/>
    </row>
    <row r="234" spans="1:16">
      <c r="A234" s="82"/>
      <c r="B234" s="82"/>
      <c r="C234" s="83"/>
      <c r="D234" s="6"/>
      <c r="E234" s="6"/>
      <c r="F234" s="6"/>
      <c r="G234" s="6"/>
      <c r="H234" s="6"/>
      <c r="I234" s="6"/>
      <c r="J234" s="6"/>
      <c r="K234" s="6"/>
      <c r="L234" s="6"/>
      <c r="M234" s="6"/>
      <c r="N234" s="6"/>
      <c r="O234" s="6"/>
      <c r="P234" s="6"/>
    </row>
    <row r="235" spans="1:16">
      <c r="A235" s="82"/>
      <c r="B235" s="82"/>
      <c r="C235" s="83"/>
      <c r="D235" s="6"/>
      <c r="E235" s="6"/>
      <c r="F235" s="6"/>
      <c r="G235" s="6"/>
      <c r="H235" s="6"/>
      <c r="I235" s="6"/>
      <c r="J235" s="6"/>
      <c r="K235" s="6"/>
      <c r="L235" s="6"/>
      <c r="M235" s="6"/>
      <c r="N235" s="6"/>
      <c r="O235" s="6"/>
      <c r="P235" s="6"/>
    </row>
    <row r="236" spans="1:16">
      <c r="A236" s="82"/>
      <c r="B236" s="82"/>
      <c r="C236" s="83"/>
      <c r="D236" s="6"/>
      <c r="E236" s="6"/>
      <c r="F236" s="6"/>
      <c r="G236" s="6"/>
      <c r="H236" s="6"/>
      <c r="I236" s="6"/>
      <c r="J236" s="6"/>
      <c r="K236" s="6"/>
      <c r="L236" s="6"/>
      <c r="M236" s="6"/>
      <c r="N236" s="6"/>
      <c r="O236" s="6"/>
      <c r="P236" s="6"/>
    </row>
    <row r="237" spans="1:16">
      <c r="A237" s="82"/>
      <c r="B237" s="82"/>
      <c r="C237" s="83"/>
      <c r="D237" s="6"/>
      <c r="E237" s="6"/>
      <c r="F237" s="6"/>
      <c r="G237" s="6"/>
      <c r="H237" s="6"/>
      <c r="I237" s="6"/>
      <c r="J237" s="6"/>
      <c r="K237" s="6"/>
      <c r="L237" s="6"/>
      <c r="M237" s="6"/>
      <c r="N237" s="6"/>
      <c r="O237" s="6"/>
      <c r="P237" s="6"/>
    </row>
    <row r="238" spans="1:16">
      <c r="A238" s="82"/>
      <c r="B238" s="82"/>
      <c r="C238" s="83"/>
      <c r="D238" s="6"/>
      <c r="E238" s="6"/>
      <c r="F238" s="6"/>
      <c r="G238" s="6"/>
      <c r="H238" s="6"/>
      <c r="I238" s="6"/>
      <c r="J238" s="6"/>
      <c r="K238" s="6"/>
      <c r="L238" s="6"/>
      <c r="M238" s="6"/>
      <c r="N238" s="6"/>
      <c r="O238" s="6"/>
      <c r="P238" s="6"/>
    </row>
    <row r="239" spans="1:16">
      <c r="A239" s="82"/>
      <c r="B239" s="82"/>
      <c r="C239" s="83"/>
      <c r="D239" s="6"/>
      <c r="E239" s="6"/>
      <c r="F239" s="6"/>
      <c r="G239" s="6"/>
      <c r="H239" s="6"/>
      <c r="I239" s="6"/>
      <c r="J239" s="6"/>
      <c r="K239" s="6"/>
      <c r="L239" s="6"/>
      <c r="M239" s="6"/>
      <c r="N239" s="6"/>
      <c r="O239" s="6"/>
      <c r="P239" s="6"/>
    </row>
    <row r="240" spans="1:16">
      <c r="A240" s="82"/>
      <c r="B240" s="82"/>
      <c r="C240" s="83"/>
      <c r="D240" s="6"/>
      <c r="E240" s="6"/>
      <c r="F240" s="6"/>
      <c r="G240" s="6"/>
      <c r="H240" s="6"/>
      <c r="I240" s="6"/>
      <c r="J240" s="6"/>
      <c r="K240" s="6"/>
      <c r="L240" s="6"/>
      <c r="M240" s="6"/>
      <c r="N240" s="6"/>
      <c r="O240" s="6"/>
      <c r="P240" s="6"/>
    </row>
    <row r="241" spans="1:16">
      <c r="A241" s="82"/>
      <c r="B241" s="82"/>
      <c r="C241" s="83"/>
      <c r="D241" s="6"/>
      <c r="E241" s="6"/>
      <c r="F241" s="6"/>
      <c r="G241" s="6"/>
      <c r="H241" s="6"/>
      <c r="I241" s="6"/>
      <c r="J241" s="6"/>
      <c r="K241" s="6"/>
      <c r="L241" s="6"/>
      <c r="M241" s="6"/>
      <c r="N241" s="6"/>
      <c r="O241" s="6"/>
      <c r="P241" s="6"/>
    </row>
    <row r="242" spans="1:16">
      <c r="A242" s="82"/>
      <c r="B242" s="82"/>
      <c r="C242" s="83"/>
      <c r="D242" s="6"/>
      <c r="E242" s="6"/>
      <c r="F242" s="6"/>
      <c r="G242" s="6"/>
      <c r="H242" s="6"/>
      <c r="I242" s="6"/>
      <c r="J242" s="6"/>
      <c r="K242" s="6"/>
      <c r="L242" s="6"/>
      <c r="M242" s="6"/>
      <c r="N242" s="6"/>
      <c r="O242" s="6"/>
      <c r="P242" s="6"/>
    </row>
    <row r="243" spans="1:16">
      <c r="A243" s="82"/>
      <c r="B243" s="82"/>
      <c r="C243" s="83"/>
      <c r="D243" s="6"/>
      <c r="E243" s="6"/>
      <c r="F243" s="6"/>
      <c r="G243" s="6"/>
      <c r="H243" s="6"/>
      <c r="I243" s="6"/>
      <c r="J243" s="6"/>
      <c r="K243" s="6"/>
      <c r="L243" s="6"/>
      <c r="M243" s="6"/>
      <c r="N243" s="6"/>
      <c r="O243" s="6"/>
      <c r="P243" s="6"/>
    </row>
    <row r="244" spans="1:16">
      <c r="A244" s="82"/>
      <c r="B244" s="82"/>
      <c r="C244" s="83"/>
      <c r="D244" s="6"/>
      <c r="E244" s="6"/>
      <c r="F244" s="6"/>
      <c r="G244" s="6"/>
      <c r="H244" s="6"/>
      <c r="I244" s="6"/>
      <c r="J244" s="6"/>
      <c r="K244" s="6"/>
      <c r="L244" s="6"/>
      <c r="M244" s="6"/>
      <c r="N244" s="6"/>
      <c r="O244" s="6"/>
      <c r="P244" s="6"/>
    </row>
    <row r="245" spans="1:16">
      <c r="A245" s="82"/>
      <c r="B245" s="82"/>
      <c r="C245" s="83"/>
      <c r="D245" s="6"/>
      <c r="E245" s="6"/>
      <c r="F245" s="6"/>
      <c r="G245" s="6"/>
      <c r="H245" s="6"/>
      <c r="I245" s="6"/>
      <c r="J245" s="6"/>
      <c r="K245" s="6"/>
      <c r="L245" s="6"/>
      <c r="M245" s="6"/>
      <c r="N245" s="6"/>
      <c r="O245" s="6"/>
      <c r="P245" s="6"/>
    </row>
    <row r="246" spans="1:16">
      <c r="A246" s="82"/>
      <c r="B246" s="82"/>
      <c r="C246" s="83"/>
      <c r="D246" s="6"/>
      <c r="E246" s="6"/>
      <c r="F246" s="6"/>
      <c r="G246" s="6"/>
      <c r="H246" s="6"/>
      <c r="I246" s="6"/>
      <c r="J246" s="6"/>
      <c r="K246" s="6"/>
      <c r="L246" s="6"/>
      <c r="M246" s="6"/>
      <c r="N246" s="6"/>
      <c r="O246" s="6"/>
      <c r="P246" s="6"/>
    </row>
    <row r="247" spans="1:16">
      <c r="A247" s="82"/>
      <c r="B247" s="82"/>
      <c r="C247" s="83"/>
      <c r="D247" s="6"/>
      <c r="E247" s="6"/>
      <c r="F247" s="6"/>
      <c r="G247" s="6"/>
      <c r="H247" s="6"/>
      <c r="I247" s="6"/>
      <c r="J247" s="6"/>
      <c r="K247" s="6"/>
      <c r="L247" s="6"/>
      <c r="M247" s="6"/>
      <c r="N247" s="6"/>
      <c r="O247" s="6"/>
      <c r="P247" s="6"/>
    </row>
    <row r="248" spans="1:16">
      <c r="A248" s="82"/>
      <c r="B248" s="82"/>
      <c r="C248" s="83"/>
      <c r="D248" s="6"/>
      <c r="E248" s="6"/>
      <c r="F248" s="6"/>
      <c r="G248" s="6"/>
      <c r="H248" s="6"/>
      <c r="I248" s="6"/>
      <c r="J248" s="6"/>
      <c r="K248" s="6"/>
      <c r="L248" s="6"/>
      <c r="M248" s="6"/>
      <c r="N248" s="6"/>
      <c r="O248" s="6"/>
      <c r="P248" s="6"/>
    </row>
    <row r="249" spans="1:16">
      <c r="A249" s="82"/>
      <c r="B249" s="82"/>
      <c r="C249" s="83"/>
      <c r="D249" s="6"/>
      <c r="E249" s="6"/>
      <c r="F249" s="6"/>
      <c r="G249" s="6"/>
      <c r="H249" s="6"/>
      <c r="I249" s="6"/>
      <c r="J249" s="6"/>
      <c r="K249" s="6"/>
      <c r="L249" s="6"/>
      <c r="M249" s="6"/>
      <c r="N249" s="6"/>
      <c r="O249" s="6"/>
      <c r="P249" s="6"/>
    </row>
    <row r="250" spans="1:16">
      <c r="A250" s="82"/>
      <c r="B250" s="82"/>
      <c r="C250" s="83"/>
      <c r="D250" s="6"/>
      <c r="E250" s="6"/>
      <c r="F250" s="6"/>
      <c r="G250" s="6"/>
      <c r="H250" s="6"/>
      <c r="I250" s="6"/>
      <c r="J250" s="6"/>
      <c r="K250" s="6"/>
      <c r="L250" s="6"/>
      <c r="M250" s="6"/>
      <c r="N250" s="6"/>
      <c r="O250" s="6"/>
      <c r="P250" s="6"/>
    </row>
    <row r="251" spans="1:16">
      <c r="A251" s="82"/>
      <c r="B251" s="82"/>
      <c r="C251" s="83"/>
      <c r="D251" s="6"/>
      <c r="E251" s="6"/>
      <c r="F251" s="6"/>
      <c r="G251" s="6"/>
      <c r="H251" s="6"/>
      <c r="I251" s="6"/>
      <c r="J251" s="6"/>
      <c r="K251" s="6"/>
      <c r="L251" s="6"/>
      <c r="M251" s="6"/>
      <c r="N251" s="6"/>
      <c r="O251" s="6"/>
      <c r="P251" s="6"/>
    </row>
    <row r="252" spans="1:16">
      <c r="A252" s="82"/>
      <c r="B252" s="82"/>
      <c r="C252" s="83"/>
      <c r="D252" s="6"/>
      <c r="E252" s="6"/>
      <c r="F252" s="6"/>
      <c r="G252" s="6"/>
      <c r="H252" s="6"/>
      <c r="I252" s="6"/>
      <c r="J252" s="6"/>
      <c r="K252" s="6"/>
      <c r="L252" s="6"/>
      <c r="M252" s="6"/>
      <c r="N252" s="6"/>
      <c r="O252" s="6"/>
      <c r="P252" s="6"/>
    </row>
    <row r="253" spans="1:16">
      <c r="A253" s="82"/>
      <c r="B253" s="82"/>
      <c r="C253" s="83"/>
      <c r="D253" s="6"/>
      <c r="E253" s="6"/>
      <c r="F253" s="6"/>
      <c r="G253" s="6"/>
      <c r="H253" s="6"/>
      <c r="I253" s="6"/>
      <c r="J253" s="6"/>
      <c r="K253" s="6"/>
      <c r="L253" s="6"/>
      <c r="M253" s="6"/>
      <c r="N253" s="6"/>
      <c r="O253" s="6"/>
      <c r="P253" s="6"/>
    </row>
    <row r="254" spans="1:16">
      <c r="A254" s="82"/>
      <c r="B254" s="82"/>
      <c r="C254" s="83"/>
      <c r="D254" s="6"/>
      <c r="E254" s="6"/>
      <c r="F254" s="6"/>
      <c r="G254" s="6"/>
      <c r="H254" s="6"/>
      <c r="I254" s="6"/>
      <c r="J254" s="6"/>
      <c r="K254" s="6"/>
      <c r="L254" s="6"/>
      <c r="M254" s="6"/>
      <c r="N254" s="6"/>
      <c r="O254" s="6"/>
      <c r="P254" s="6"/>
    </row>
    <row r="255" spans="1:16">
      <c r="A255" s="82"/>
      <c r="B255" s="82"/>
      <c r="C255" s="83"/>
      <c r="D255" s="6"/>
      <c r="E255" s="6"/>
      <c r="F255" s="6"/>
      <c r="G255" s="6"/>
      <c r="H255" s="6"/>
      <c r="I255" s="6"/>
      <c r="J255" s="6"/>
      <c r="K255" s="6"/>
      <c r="L255" s="6"/>
      <c r="M255" s="6"/>
      <c r="N255" s="6"/>
      <c r="O255" s="6"/>
      <c r="P255" s="6"/>
    </row>
    <row r="256" spans="1:16">
      <c r="A256" s="82"/>
      <c r="B256" s="82"/>
      <c r="C256" s="83"/>
      <c r="D256" s="6"/>
      <c r="E256" s="6"/>
      <c r="F256" s="6"/>
      <c r="G256" s="6"/>
      <c r="H256" s="6"/>
      <c r="I256" s="6"/>
      <c r="J256" s="6"/>
      <c r="K256" s="6"/>
      <c r="L256" s="6"/>
      <c r="M256" s="6"/>
      <c r="N256" s="6"/>
      <c r="O256" s="6"/>
      <c r="P256" s="6"/>
    </row>
    <row r="257" spans="1:16">
      <c r="A257" s="82"/>
      <c r="B257" s="82"/>
      <c r="C257" s="83"/>
      <c r="D257" s="6"/>
      <c r="E257" s="6"/>
      <c r="F257" s="6"/>
      <c r="G257" s="6"/>
      <c r="H257" s="6"/>
      <c r="I257" s="6"/>
      <c r="J257" s="6"/>
      <c r="K257" s="6"/>
      <c r="L257" s="6"/>
      <c r="M257" s="6"/>
      <c r="N257" s="6"/>
      <c r="O257" s="6"/>
      <c r="P257" s="6"/>
    </row>
    <row r="258" spans="1:16">
      <c r="A258" s="82"/>
      <c r="B258" s="82"/>
      <c r="C258" s="83"/>
      <c r="D258" s="6"/>
      <c r="E258" s="6"/>
      <c r="F258" s="6"/>
      <c r="G258" s="6"/>
      <c r="H258" s="6"/>
      <c r="I258" s="6"/>
      <c r="J258" s="6"/>
      <c r="K258" s="6"/>
      <c r="L258" s="6"/>
      <c r="M258" s="6"/>
      <c r="N258" s="6"/>
      <c r="O258" s="6"/>
      <c r="P258" s="6"/>
    </row>
    <row r="259" spans="1:16">
      <c r="A259" s="82"/>
      <c r="B259" s="82"/>
      <c r="C259" s="83"/>
      <c r="D259" s="6"/>
      <c r="E259" s="6"/>
      <c r="F259" s="6"/>
      <c r="G259" s="6"/>
      <c r="H259" s="6"/>
      <c r="I259" s="6"/>
      <c r="J259" s="6"/>
      <c r="K259" s="6"/>
      <c r="L259" s="6"/>
      <c r="M259" s="6"/>
      <c r="N259" s="6"/>
      <c r="O259" s="6"/>
      <c r="P259" s="6"/>
    </row>
    <row r="260" spans="1:16">
      <c r="A260" s="82"/>
      <c r="B260" s="82"/>
      <c r="C260" s="83"/>
      <c r="D260" s="6"/>
      <c r="E260" s="6"/>
      <c r="F260" s="6"/>
      <c r="G260" s="6"/>
      <c r="H260" s="6"/>
      <c r="I260" s="6"/>
      <c r="J260" s="6"/>
      <c r="K260" s="6"/>
      <c r="L260" s="6"/>
      <c r="M260" s="6"/>
      <c r="N260" s="6"/>
      <c r="O260" s="6"/>
      <c r="P260" s="6"/>
    </row>
    <row r="261" spans="1:16">
      <c r="A261" s="82"/>
      <c r="B261" s="82"/>
      <c r="C261" s="83"/>
      <c r="D261" s="6"/>
      <c r="E261" s="6"/>
      <c r="F261" s="6"/>
      <c r="G261" s="6"/>
      <c r="H261" s="6"/>
      <c r="I261" s="6"/>
      <c r="J261" s="6"/>
      <c r="K261" s="6"/>
      <c r="L261" s="6"/>
      <c r="M261" s="6"/>
      <c r="N261" s="6"/>
      <c r="O261" s="6"/>
      <c r="P261" s="6"/>
    </row>
    <row r="262" spans="1:16">
      <c r="A262" s="82"/>
      <c r="B262" s="82"/>
      <c r="C262" s="83"/>
      <c r="D262" s="6"/>
      <c r="E262" s="6"/>
      <c r="F262" s="6"/>
      <c r="G262" s="6"/>
      <c r="H262" s="6"/>
      <c r="I262" s="6"/>
      <c r="J262" s="6"/>
      <c r="K262" s="6"/>
      <c r="L262" s="6"/>
      <c r="M262" s="6"/>
      <c r="N262" s="6"/>
      <c r="O262" s="6"/>
      <c r="P262" s="6"/>
    </row>
    <row r="263" spans="1:16">
      <c r="A263" s="82"/>
      <c r="B263" s="82"/>
      <c r="C263" s="83"/>
      <c r="D263" s="6"/>
      <c r="E263" s="6"/>
      <c r="F263" s="6"/>
      <c r="G263" s="6"/>
      <c r="H263" s="6"/>
      <c r="I263" s="6"/>
      <c r="J263" s="6"/>
      <c r="K263" s="6"/>
      <c r="L263" s="6"/>
      <c r="M263" s="6"/>
      <c r="N263" s="6"/>
      <c r="O263" s="6"/>
      <c r="P263" s="6"/>
    </row>
    <row r="264" spans="1:16">
      <c r="A264" s="82"/>
      <c r="B264" s="82"/>
      <c r="C264" s="83"/>
      <c r="D264" s="6"/>
      <c r="E264" s="6"/>
      <c r="F264" s="6"/>
      <c r="G264" s="6"/>
      <c r="H264" s="6"/>
      <c r="I264" s="6"/>
      <c r="J264" s="6"/>
      <c r="K264" s="6"/>
      <c r="L264" s="6"/>
      <c r="M264" s="6"/>
      <c r="N264" s="6"/>
      <c r="O264" s="6"/>
      <c r="P264" s="6"/>
    </row>
    <row r="265" spans="1:16">
      <c r="A265" s="82"/>
      <c r="B265" s="82"/>
      <c r="C265" s="83"/>
      <c r="D265" s="6"/>
      <c r="E265" s="6"/>
      <c r="F265" s="6"/>
      <c r="G265" s="6"/>
      <c r="H265" s="6"/>
      <c r="I265" s="6"/>
      <c r="J265" s="6"/>
      <c r="K265" s="6"/>
      <c r="L265" s="6"/>
      <c r="M265" s="6"/>
      <c r="N265" s="6"/>
      <c r="O265" s="6"/>
      <c r="P265" s="6"/>
    </row>
    <row r="266" spans="1:16">
      <c r="A266" s="82"/>
      <c r="B266" s="82"/>
      <c r="C266" s="83"/>
      <c r="D266" s="6"/>
      <c r="E266" s="6"/>
      <c r="F266" s="6"/>
      <c r="G266" s="6"/>
      <c r="H266" s="6"/>
      <c r="I266" s="6"/>
      <c r="J266" s="6"/>
      <c r="K266" s="6"/>
      <c r="L266" s="6"/>
      <c r="M266" s="6"/>
      <c r="N266" s="6"/>
      <c r="O266" s="6"/>
      <c r="P266" s="6"/>
    </row>
    <row r="267" spans="1:16">
      <c r="A267" s="82"/>
      <c r="B267" s="82"/>
      <c r="C267" s="83"/>
      <c r="D267" s="6"/>
      <c r="E267" s="6"/>
      <c r="F267" s="6"/>
      <c r="G267" s="6"/>
      <c r="H267" s="6"/>
      <c r="I267" s="6"/>
      <c r="J267" s="6"/>
      <c r="K267" s="6"/>
      <c r="L267" s="6"/>
      <c r="M267" s="6"/>
      <c r="N267" s="6"/>
      <c r="O267" s="6"/>
      <c r="P267" s="6"/>
    </row>
    <row r="268" spans="1:16">
      <c r="A268" s="82"/>
      <c r="B268" s="82"/>
      <c r="C268" s="83"/>
      <c r="D268" s="6"/>
      <c r="E268" s="6"/>
      <c r="F268" s="6"/>
      <c r="G268" s="6"/>
      <c r="H268" s="6"/>
      <c r="I268" s="6"/>
      <c r="J268" s="6"/>
      <c r="K268" s="6"/>
      <c r="L268" s="6"/>
      <c r="M268" s="6"/>
      <c r="N268" s="6"/>
      <c r="O268" s="6"/>
      <c r="P268" s="6"/>
    </row>
    <row r="269" spans="1:16">
      <c r="A269" s="82"/>
      <c r="B269" s="82"/>
      <c r="C269" s="83"/>
      <c r="D269" s="6"/>
      <c r="E269" s="6"/>
      <c r="F269" s="6"/>
      <c r="G269" s="6"/>
      <c r="H269" s="6"/>
      <c r="I269" s="6"/>
      <c r="J269" s="6"/>
      <c r="K269" s="6"/>
      <c r="L269" s="6"/>
      <c r="M269" s="6"/>
      <c r="N269" s="6"/>
      <c r="O269" s="6"/>
      <c r="P269" s="6"/>
    </row>
    <row r="270" spans="1:16">
      <c r="A270" s="82"/>
      <c r="B270" s="82"/>
      <c r="C270" s="83"/>
      <c r="D270" s="6"/>
      <c r="E270" s="6"/>
      <c r="F270" s="6"/>
      <c r="G270" s="6"/>
      <c r="H270" s="6"/>
      <c r="I270" s="6"/>
      <c r="J270" s="6"/>
      <c r="K270" s="6"/>
      <c r="L270" s="6"/>
      <c r="M270" s="6"/>
      <c r="N270" s="6"/>
      <c r="O270" s="6"/>
      <c r="P270" s="6"/>
    </row>
    <row r="271" spans="1:16">
      <c r="A271" s="82"/>
      <c r="B271" s="82"/>
      <c r="C271" s="83"/>
      <c r="D271" s="6"/>
      <c r="E271" s="6"/>
      <c r="F271" s="6"/>
      <c r="G271" s="6"/>
      <c r="H271" s="6"/>
      <c r="I271" s="6"/>
      <c r="J271" s="6"/>
      <c r="K271" s="6"/>
      <c r="L271" s="6"/>
      <c r="M271" s="6"/>
      <c r="N271" s="6"/>
      <c r="O271" s="6"/>
      <c r="P271" s="6"/>
    </row>
    <row r="272" spans="1:16">
      <c r="A272" s="82"/>
      <c r="B272" s="82"/>
      <c r="C272" s="83"/>
      <c r="D272" s="6"/>
      <c r="E272" s="6"/>
      <c r="F272" s="6"/>
      <c r="G272" s="6"/>
      <c r="H272" s="6"/>
      <c r="I272" s="6"/>
      <c r="J272" s="6"/>
      <c r="K272" s="6"/>
      <c r="L272" s="6"/>
      <c r="M272" s="6"/>
      <c r="N272" s="6"/>
      <c r="O272" s="6"/>
      <c r="P272" s="6"/>
    </row>
    <row r="273" spans="1:16">
      <c r="A273" s="82"/>
      <c r="B273" s="82"/>
      <c r="C273" s="83"/>
      <c r="D273" s="6"/>
      <c r="E273" s="6"/>
      <c r="F273" s="6"/>
      <c r="G273" s="6"/>
      <c r="H273" s="6"/>
      <c r="I273" s="6"/>
      <c r="J273" s="6"/>
      <c r="K273" s="6"/>
      <c r="L273" s="6"/>
      <c r="M273" s="6"/>
      <c r="N273" s="6"/>
      <c r="O273" s="6"/>
      <c r="P273" s="6"/>
    </row>
    <row r="274" spans="1:16">
      <c r="A274" s="82"/>
      <c r="B274" s="82"/>
      <c r="C274" s="83"/>
      <c r="D274" s="6"/>
      <c r="E274" s="6"/>
      <c r="F274" s="6"/>
      <c r="G274" s="6"/>
      <c r="H274" s="6"/>
      <c r="I274" s="6"/>
      <c r="J274" s="6"/>
      <c r="K274" s="6"/>
      <c r="L274" s="6"/>
      <c r="M274" s="6"/>
      <c r="N274" s="6"/>
      <c r="O274" s="6"/>
      <c r="P274" s="6"/>
    </row>
    <row r="275" spans="1:16">
      <c r="A275" s="82"/>
      <c r="B275" s="82"/>
      <c r="C275" s="83"/>
      <c r="D275" s="6"/>
      <c r="E275" s="6"/>
      <c r="F275" s="6"/>
      <c r="G275" s="6"/>
      <c r="H275" s="6"/>
      <c r="I275" s="6"/>
      <c r="J275" s="6"/>
      <c r="K275" s="6"/>
      <c r="L275" s="6"/>
      <c r="M275" s="6"/>
      <c r="N275" s="6"/>
      <c r="O275" s="6"/>
      <c r="P275" s="6"/>
    </row>
    <row r="276" spans="1:16">
      <c r="A276" s="82"/>
      <c r="B276" s="82"/>
      <c r="C276" s="83"/>
      <c r="D276" s="6"/>
      <c r="E276" s="6"/>
      <c r="F276" s="6"/>
      <c r="G276" s="6"/>
      <c r="H276" s="6"/>
      <c r="I276" s="6"/>
      <c r="J276" s="6"/>
      <c r="K276" s="6"/>
      <c r="L276" s="6"/>
      <c r="M276" s="6"/>
      <c r="N276" s="6"/>
      <c r="O276" s="6"/>
      <c r="P276" s="6"/>
    </row>
    <row r="277" spans="1:16">
      <c r="A277" s="82"/>
      <c r="B277" s="82"/>
      <c r="C277" s="83"/>
      <c r="D277" s="6"/>
      <c r="E277" s="6"/>
      <c r="F277" s="6"/>
      <c r="G277" s="6"/>
      <c r="H277" s="6"/>
      <c r="I277" s="6"/>
      <c r="J277" s="6"/>
      <c r="K277" s="6"/>
      <c r="L277" s="6"/>
      <c r="M277" s="6"/>
      <c r="N277" s="6"/>
      <c r="O277" s="6"/>
      <c r="P277" s="6"/>
    </row>
    <row r="278" spans="1:16">
      <c r="A278" s="82"/>
      <c r="B278" s="82"/>
      <c r="C278" s="83"/>
      <c r="D278" s="6"/>
      <c r="E278" s="6"/>
      <c r="F278" s="6"/>
      <c r="G278" s="6"/>
      <c r="H278" s="6"/>
      <c r="I278" s="6"/>
      <c r="J278" s="6"/>
      <c r="K278" s="6"/>
      <c r="L278" s="6"/>
      <c r="M278" s="6"/>
      <c r="N278" s="6"/>
      <c r="O278" s="6"/>
      <c r="P278" s="6"/>
    </row>
    <row r="279" spans="1:16">
      <c r="A279" s="82"/>
      <c r="B279" s="82"/>
      <c r="C279" s="83"/>
      <c r="D279" s="6"/>
      <c r="E279" s="6"/>
      <c r="F279" s="6"/>
      <c r="G279" s="6"/>
      <c r="H279" s="6"/>
      <c r="I279" s="6"/>
      <c r="J279" s="6"/>
      <c r="K279" s="6"/>
      <c r="L279" s="6"/>
      <c r="M279" s="6"/>
      <c r="N279" s="6"/>
      <c r="O279" s="6"/>
      <c r="P279" s="6"/>
    </row>
    <row r="280" spans="1:16">
      <c r="A280" s="82"/>
      <c r="B280" s="82"/>
      <c r="C280" s="83"/>
      <c r="D280" s="6"/>
      <c r="E280" s="6"/>
      <c r="F280" s="6"/>
      <c r="G280" s="6"/>
      <c r="H280" s="6"/>
      <c r="I280" s="6"/>
      <c r="J280" s="6"/>
      <c r="K280" s="6"/>
      <c r="L280" s="6"/>
      <c r="M280" s="6"/>
      <c r="N280" s="6"/>
      <c r="O280" s="6"/>
      <c r="P280" s="6"/>
    </row>
    <row r="281" spans="1:16">
      <c r="A281" s="82"/>
      <c r="B281" s="82"/>
      <c r="C281" s="83"/>
      <c r="D281" s="6"/>
      <c r="E281" s="6"/>
      <c r="F281" s="6"/>
      <c r="G281" s="6"/>
      <c r="H281" s="6"/>
      <c r="I281" s="6"/>
      <c r="J281" s="6"/>
      <c r="K281" s="6"/>
      <c r="L281" s="6"/>
      <c r="M281" s="6"/>
      <c r="N281" s="6"/>
      <c r="O281" s="6"/>
      <c r="P281" s="6"/>
    </row>
    <row r="282" spans="1:16">
      <c r="A282" s="82"/>
      <c r="B282" s="82"/>
      <c r="C282" s="83"/>
      <c r="D282" s="6"/>
      <c r="E282" s="6"/>
      <c r="F282" s="6"/>
      <c r="G282" s="6"/>
      <c r="H282" s="6"/>
      <c r="I282" s="6"/>
      <c r="J282" s="6"/>
      <c r="K282" s="6"/>
      <c r="L282" s="6"/>
      <c r="M282" s="6"/>
      <c r="N282" s="6"/>
      <c r="O282" s="6"/>
      <c r="P282" s="6"/>
    </row>
    <row r="283" spans="1:16">
      <c r="A283" s="82"/>
      <c r="B283" s="82"/>
      <c r="C283" s="83"/>
      <c r="D283" s="6"/>
      <c r="E283" s="6"/>
      <c r="F283" s="6"/>
      <c r="G283" s="6"/>
      <c r="H283" s="6"/>
      <c r="I283" s="6"/>
      <c r="J283" s="6"/>
      <c r="K283" s="6"/>
      <c r="L283" s="6"/>
      <c r="M283" s="6"/>
      <c r="N283" s="6"/>
      <c r="O283" s="6"/>
      <c r="P283" s="6"/>
    </row>
    <row r="284" spans="1:16">
      <c r="A284" s="82"/>
      <c r="B284" s="82"/>
      <c r="C284" s="83"/>
      <c r="D284" s="6"/>
      <c r="E284" s="6"/>
      <c r="F284" s="6"/>
      <c r="G284" s="6"/>
      <c r="H284" s="6"/>
      <c r="I284" s="6"/>
      <c r="J284" s="6"/>
      <c r="K284" s="6"/>
      <c r="L284" s="6"/>
      <c r="M284" s="6"/>
      <c r="N284" s="6"/>
      <c r="O284" s="6"/>
      <c r="P284" s="6"/>
    </row>
    <row r="285" spans="1:16">
      <c r="A285" s="82"/>
      <c r="B285" s="82"/>
      <c r="C285" s="83"/>
      <c r="D285" s="6"/>
      <c r="E285" s="6"/>
      <c r="F285" s="6"/>
      <c r="G285" s="6"/>
      <c r="H285" s="6"/>
      <c r="I285" s="6"/>
      <c r="J285" s="6"/>
      <c r="K285" s="6"/>
      <c r="L285" s="6"/>
      <c r="M285" s="6"/>
      <c r="N285" s="6"/>
      <c r="O285" s="6"/>
      <c r="P285" s="6"/>
    </row>
    <row r="286" spans="1:16">
      <c r="A286" s="82"/>
      <c r="B286" s="82"/>
      <c r="C286" s="83"/>
      <c r="D286" s="6"/>
      <c r="E286" s="6"/>
      <c r="F286" s="6"/>
      <c r="G286" s="6"/>
      <c r="H286" s="6"/>
      <c r="I286" s="6"/>
      <c r="J286" s="6"/>
      <c r="K286" s="6"/>
      <c r="L286" s="6"/>
      <c r="M286" s="6"/>
      <c r="N286" s="6"/>
      <c r="O286" s="6"/>
      <c r="P286" s="6"/>
    </row>
    <row r="287" spans="1:16">
      <c r="A287" s="82"/>
      <c r="B287" s="82"/>
      <c r="C287" s="83"/>
      <c r="D287" s="6"/>
      <c r="E287" s="6"/>
      <c r="F287" s="6"/>
      <c r="G287" s="6"/>
      <c r="H287" s="6"/>
      <c r="I287" s="6"/>
      <c r="J287" s="6"/>
      <c r="K287" s="6"/>
      <c r="L287" s="6"/>
      <c r="M287" s="6"/>
      <c r="N287" s="6"/>
      <c r="O287" s="6"/>
      <c r="P287" s="6"/>
    </row>
    <row r="288" spans="1:16">
      <c r="A288" s="82"/>
      <c r="B288" s="82"/>
      <c r="C288" s="83"/>
      <c r="D288" s="6"/>
      <c r="E288" s="6"/>
      <c r="F288" s="6"/>
      <c r="G288" s="6"/>
      <c r="H288" s="6"/>
      <c r="I288" s="6"/>
      <c r="J288" s="6"/>
      <c r="K288" s="6"/>
      <c r="L288" s="6"/>
      <c r="M288" s="6"/>
      <c r="N288" s="6"/>
      <c r="O288" s="6"/>
      <c r="P288" s="6"/>
    </row>
    <row r="289" spans="1:16">
      <c r="A289" s="82"/>
      <c r="B289" s="82"/>
      <c r="C289" s="83"/>
      <c r="D289" s="6"/>
      <c r="E289" s="6"/>
      <c r="F289" s="6"/>
      <c r="G289" s="6"/>
      <c r="H289" s="6"/>
      <c r="I289" s="6"/>
      <c r="J289" s="6"/>
      <c r="K289" s="6"/>
      <c r="L289" s="6"/>
      <c r="M289" s="6"/>
      <c r="N289" s="6"/>
      <c r="O289" s="6"/>
      <c r="P289" s="6"/>
    </row>
    <row r="290" spans="1:16">
      <c r="A290" s="82"/>
      <c r="B290" s="82"/>
      <c r="C290" s="83"/>
      <c r="D290" s="6"/>
      <c r="E290" s="6"/>
      <c r="F290" s="6"/>
      <c r="G290" s="6"/>
      <c r="H290" s="6"/>
      <c r="I290" s="6"/>
      <c r="J290" s="6"/>
      <c r="K290" s="6"/>
      <c r="L290" s="6"/>
      <c r="M290" s="6"/>
      <c r="N290" s="6"/>
      <c r="O290" s="6"/>
      <c r="P290" s="6"/>
    </row>
    <row r="291" spans="1:16">
      <c r="A291" s="82"/>
      <c r="B291" s="82"/>
      <c r="C291" s="83"/>
      <c r="D291" s="6"/>
      <c r="E291" s="6"/>
      <c r="F291" s="6"/>
      <c r="G291" s="6"/>
      <c r="H291" s="6"/>
      <c r="I291" s="6"/>
      <c r="J291" s="6"/>
      <c r="K291" s="6"/>
      <c r="L291" s="6"/>
      <c r="M291" s="6"/>
      <c r="N291" s="6"/>
      <c r="O291" s="6"/>
      <c r="P291" s="6"/>
    </row>
    <row r="292" spans="1:16">
      <c r="A292" s="82"/>
      <c r="B292" s="82"/>
      <c r="C292" s="83"/>
      <c r="D292" s="6"/>
      <c r="E292" s="6"/>
      <c r="F292" s="6"/>
      <c r="G292" s="6"/>
      <c r="H292" s="6"/>
      <c r="I292" s="6"/>
      <c r="J292" s="6"/>
      <c r="K292" s="6"/>
      <c r="L292" s="6"/>
      <c r="M292" s="6"/>
      <c r="N292" s="6"/>
      <c r="O292" s="6"/>
      <c r="P292" s="6"/>
    </row>
    <row r="293" spans="1:16">
      <c r="A293" s="82"/>
      <c r="B293" s="82"/>
      <c r="C293" s="83"/>
      <c r="D293" s="6"/>
      <c r="E293" s="6"/>
      <c r="F293" s="6"/>
      <c r="G293" s="6"/>
      <c r="H293" s="6"/>
      <c r="I293" s="6"/>
      <c r="J293" s="6"/>
      <c r="K293" s="6"/>
      <c r="L293" s="6"/>
      <c r="M293" s="6"/>
      <c r="N293" s="6"/>
      <c r="O293" s="6"/>
      <c r="P293" s="6"/>
    </row>
    <row r="294" spans="1:16">
      <c r="A294" s="82"/>
      <c r="B294" s="82"/>
      <c r="C294" s="83"/>
      <c r="D294" s="6"/>
      <c r="E294" s="6"/>
      <c r="F294" s="6"/>
      <c r="G294" s="6"/>
      <c r="H294" s="6"/>
      <c r="I294" s="6"/>
      <c r="J294" s="6"/>
      <c r="K294" s="6"/>
      <c r="L294" s="6"/>
      <c r="M294" s="6"/>
      <c r="N294" s="6"/>
      <c r="O294" s="6"/>
      <c r="P294" s="6"/>
    </row>
    <row r="295" spans="1:16">
      <c r="A295" s="82"/>
      <c r="B295" s="82"/>
      <c r="C295" s="83"/>
      <c r="D295" s="6"/>
      <c r="E295" s="6"/>
      <c r="F295" s="6"/>
      <c r="G295" s="6"/>
      <c r="H295" s="6"/>
      <c r="I295" s="6"/>
      <c r="J295" s="6"/>
      <c r="K295" s="6"/>
      <c r="L295" s="6"/>
      <c r="M295" s="6"/>
      <c r="N295" s="6"/>
      <c r="O295" s="6"/>
      <c r="P295" s="6"/>
    </row>
    <row r="296" spans="1:16">
      <c r="A296" s="82"/>
      <c r="B296" s="82"/>
      <c r="C296" s="83"/>
      <c r="D296" s="6"/>
      <c r="E296" s="6"/>
      <c r="F296" s="6"/>
      <c r="G296" s="6"/>
      <c r="H296" s="6"/>
      <c r="I296" s="6"/>
      <c r="J296" s="6"/>
      <c r="K296" s="6"/>
      <c r="L296" s="6"/>
      <c r="M296" s="6"/>
      <c r="N296" s="6"/>
      <c r="O296" s="6"/>
      <c r="P296" s="6"/>
    </row>
    <row r="297" spans="1:16">
      <c r="A297" s="82"/>
      <c r="B297" s="82"/>
      <c r="C297" s="83"/>
      <c r="D297" s="6"/>
      <c r="E297" s="6"/>
      <c r="F297" s="6"/>
      <c r="G297" s="6"/>
      <c r="H297" s="6"/>
      <c r="I297" s="6"/>
      <c r="J297" s="6"/>
      <c r="K297" s="6"/>
      <c r="L297" s="6"/>
      <c r="M297" s="6"/>
      <c r="N297" s="6"/>
      <c r="O297" s="6"/>
      <c r="P297" s="6"/>
    </row>
    <row r="298" spans="1:16">
      <c r="A298" s="82"/>
      <c r="B298" s="82"/>
      <c r="C298" s="83"/>
      <c r="D298" s="6"/>
      <c r="E298" s="6"/>
      <c r="F298" s="6"/>
      <c r="G298" s="6"/>
      <c r="H298" s="6"/>
      <c r="I298" s="6"/>
      <c r="J298" s="6"/>
      <c r="K298" s="6"/>
      <c r="L298" s="6"/>
      <c r="M298" s="6"/>
      <c r="N298" s="6"/>
      <c r="O298" s="6"/>
      <c r="P298" s="6"/>
    </row>
    <row r="299" spans="1:16">
      <c r="A299" s="82"/>
      <c r="B299" s="82"/>
      <c r="C299" s="83"/>
      <c r="D299" s="6"/>
      <c r="E299" s="6"/>
      <c r="F299" s="6"/>
      <c r="G299" s="6"/>
      <c r="H299" s="6"/>
      <c r="I299" s="6"/>
      <c r="J299" s="6"/>
      <c r="K299" s="6"/>
      <c r="L299" s="6"/>
      <c r="M299" s="6"/>
      <c r="N299" s="6"/>
      <c r="O299" s="6"/>
      <c r="P299" s="6"/>
    </row>
    <row r="300" spans="1:16">
      <c r="A300" s="82"/>
      <c r="B300" s="82"/>
      <c r="C300" s="83"/>
      <c r="D300" s="6"/>
      <c r="E300" s="6"/>
      <c r="F300" s="6"/>
      <c r="G300" s="6"/>
      <c r="H300" s="6"/>
      <c r="I300" s="6"/>
      <c r="J300" s="6"/>
      <c r="K300" s="6"/>
      <c r="L300" s="6"/>
      <c r="M300" s="6"/>
      <c r="N300" s="6"/>
      <c r="O300" s="6"/>
      <c r="P300" s="6"/>
    </row>
    <row r="301" spans="1:16">
      <c r="A301" s="82"/>
      <c r="B301" s="82"/>
      <c r="C301" s="83"/>
      <c r="D301" s="6"/>
      <c r="E301" s="6"/>
      <c r="F301" s="6"/>
      <c r="G301" s="6"/>
      <c r="H301" s="6"/>
      <c r="I301" s="6"/>
      <c r="J301" s="6"/>
      <c r="K301" s="6"/>
      <c r="L301" s="6"/>
      <c r="M301" s="6"/>
      <c r="N301" s="6"/>
      <c r="O301" s="6"/>
      <c r="P301" s="6"/>
    </row>
    <row r="302" spans="1:16">
      <c r="A302" s="82"/>
      <c r="B302" s="82"/>
      <c r="C302" s="83"/>
      <c r="D302" s="6"/>
      <c r="E302" s="6"/>
      <c r="F302" s="6"/>
      <c r="G302" s="6"/>
      <c r="H302" s="6"/>
      <c r="I302" s="6"/>
      <c r="J302" s="6"/>
      <c r="K302" s="6"/>
      <c r="L302" s="6"/>
      <c r="M302" s="6"/>
      <c r="N302" s="6"/>
      <c r="O302" s="6"/>
      <c r="P302" s="6"/>
    </row>
    <row r="303" spans="1:16">
      <c r="A303" s="82"/>
      <c r="B303" s="82"/>
      <c r="C303" s="83"/>
      <c r="D303" s="6"/>
      <c r="E303" s="6"/>
      <c r="F303" s="6"/>
      <c r="G303" s="6"/>
      <c r="H303" s="6"/>
      <c r="I303" s="6"/>
      <c r="J303" s="6"/>
      <c r="K303" s="6"/>
      <c r="L303" s="6"/>
      <c r="M303" s="6"/>
      <c r="N303" s="6"/>
      <c r="O303" s="6"/>
      <c r="P303" s="6"/>
    </row>
    <row r="304" spans="1:16">
      <c r="A304" s="82"/>
      <c r="B304" s="82"/>
      <c r="C304" s="83"/>
      <c r="D304" s="6"/>
      <c r="E304" s="6"/>
      <c r="F304" s="6"/>
      <c r="G304" s="6"/>
      <c r="H304" s="6"/>
      <c r="I304" s="6"/>
      <c r="J304" s="6"/>
      <c r="K304" s="6"/>
      <c r="L304" s="6"/>
      <c r="M304" s="6"/>
      <c r="N304" s="6"/>
      <c r="O304" s="6"/>
      <c r="P304" s="6"/>
    </row>
    <row r="305" spans="1:16">
      <c r="A305" s="82"/>
      <c r="B305" s="82"/>
      <c r="C305" s="83"/>
      <c r="D305" s="6"/>
      <c r="E305" s="6"/>
      <c r="F305" s="6"/>
      <c r="G305" s="6"/>
      <c r="H305" s="6"/>
      <c r="I305" s="6"/>
      <c r="J305" s="6"/>
      <c r="K305" s="6"/>
      <c r="L305" s="6"/>
      <c r="M305" s="6"/>
      <c r="N305" s="6"/>
      <c r="O305" s="6"/>
      <c r="P305" s="6"/>
    </row>
    <row r="306" spans="1:16">
      <c r="A306" s="82"/>
      <c r="B306" s="82"/>
      <c r="C306" s="83"/>
      <c r="D306" s="6"/>
      <c r="E306" s="6"/>
      <c r="F306" s="6"/>
      <c r="G306" s="6"/>
      <c r="H306" s="6"/>
      <c r="I306" s="6"/>
      <c r="J306" s="6"/>
      <c r="K306" s="6"/>
      <c r="L306" s="6"/>
      <c r="M306" s="6"/>
      <c r="N306" s="6"/>
      <c r="O306" s="6"/>
      <c r="P306" s="6"/>
    </row>
    <row r="307" spans="1:16">
      <c r="A307" s="82"/>
      <c r="B307" s="82"/>
      <c r="C307" s="83"/>
      <c r="D307" s="6"/>
      <c r="E307" s="6"/>
      <c r="F307" s="6"/>
      <c r="G307" s="6"/>
      <c r="H307" s="6"/>
      <c r="I307" s="6"/>
      <c r="J307" s="6"/>
      <c r="K307" s="6"/>
      <c r="L307" s="6"/>
      <c r="M307" s="6"/>
      <c r="N307" s="6"/>
      <c r="O307" s="6"/>
      <c r="P307" s="6"/>
    </row>
    <row r="308" spans="1:16">
      <c r="A308" s="82"/>
      <c r="B308" s="82"/>
      <c r="C308" s="83"/>
      <c r="D308" s="6"/>
      <c r="E308" s="6"/>
      <c r="F308" s="6"/>
      <c r="G308" s="6"/>
      <c r="H308" s="6"/>
      <c r="I308" s="6"/>
      <c r="J308" s="6"/>
      <c r="K308" s="6"/>
      <c r="L308" s="6"/>
      <c r="M308" s="6"/>
      <c r="N308" s="6"/>
      <c r="O308" s="6"/>
      <c r="P308" s="6"/>
    </row>
    <row r="309" spans="1:16">
      <c r="A309" s="82"/>
      <c r="B309" s="82"/>
      <c r="C309" s="83"/>
      <c r="D309" s="6"/>
      <c r="E309" s="6"/>
      <c r="F309" s="6"/>
      <c r="G309" s="6"/>
      <c r="H309" s="6"/>
      <c r="I309" s="6"/>
      <c r="J309" s="6"/>
      <c r="K309" s="6"/>
      <c r="L309" s="6"/>
      <c r="M309" s="6"/>
      <c r="N309" s="6"/>
      <c r="O309" s="6"/>
      <c r="P309" s="6"/>
    </row>
    <row r="310" spans="1:16">
      <c r="A310" s="82"/>
      <c r="B310" s="82"/>
      <c r="C310" s="83"/>
      <c r="D310" s="6"/>
      <c r="E310" s="6"/>
      <c r="F310" s="6"/>
      <c r="G310" s="6"/>
      <c r="H310" s="6"/>
      <c r="I310" s="6"/>
      <c r="J310" s="6"/>
      <c r="K310" s="6"/>
      <c r="L310" s="6"/>
      <c r="M310" s="6"/>
      <c r="N310" s="6"/>
      <c r="O310" s="6"/>
      <c r="P310" s="6"/>
    </row>
    <row r="311" spans="1:16">
      <c r="A311" s="82"/>
      <c r="B311" s="82"/>
      <c r="C311" s="83"/>
      <c r="D311" s="6"/>
      <c r="E311" s="6"/>
      <c r="F311" s="6"/>
      <c r="G311" s="6"/>
      <c r="H311" s="6"/>
      <c r="I311" s="6"/>
      <c r="J311" s="6"/>
      <c r="K311" s="6"/>
      <c r="L311" s="6"/>
      <c r="M311" s="6"/>
      <c r="N311" s="6"/>
      <c r="O311" s="6"/>
      <c r="P311" s="6"/>
    </row>
    <row r="312" spans="1:16">
      <c r="A312" s="82"/>
      <c r="B312" s="82"/>
      <c r="C312" s="83"/>
      <c r="D312" s="6"/>
      <c r="E312" s="6"/>
      <c r="F312" s="6"/>
      <c r="G312" s="6"/>
      <c r="H312" s="6"/>
      <c r="I312" s="6"/>
      <c r="J312" s="6"/>
      <c r="K312" s="6"/>
      <c r="L312" s="6"/>
      <c r="M312" s="6"/>
      <c r="N312" s="6"/>
      <c r="O312" s="6"/>
      <c r="P312" s="6"/>
    </row>
    <row r="313" spans="1:16">
      <c r="A313" s="82"/>
      <c r="B313" s="82"/>
      <c r="C313" s="83"/>
      <c r="D313" s="6"/>
      <c r="E313" s="6"/>
      <c r="F313" s="6"/>
      <c r="G313" s="6"/>
      <c r="H313" s="6"/>
      <c r="I313" s="6"/>
      <c r="J313" s="6"/>
      <c r="K313" s="6"/>
      <c r="L313" s="6"/>
      <c r="M313" s="6"/>
      <c r="N313" s="6"/>
      <c r="O313" s="6"/>
      <c r="P313" s="6"/>
    </row>
    <row r="314" spans="1:16">
      <c r="A314" s="82"/>
      <c r="B314" s="82"/>
      <c r="C314" s="83"/>
      <c r="D314" s="6"/>
      <c r="E314" s="6"/>
      <c r="F314" s="6"/>
      <c r="G314" s="6"/>
      <c r="H314" s="6"/>
      <c r="I314" s="6"/>
      <c r="J314" s="6"/>
      <c r="K314" s="6"/>
      <c r="L314" s="6"/>
      <c r="M314" s="6"/>
      <c r="N314" s="6"/>
      <c r="O314" s="6"/>
      <c r="P314" s="6"/>
    </row>
    <row r="315" spans="1:16">
      <c r="A315" s="82"/>
      <c r="B315" s="82"/>
      <c r="C315" s="83"/>
      <c r="D315" s="6"/>
      <c r="E315" s="6"/>
      <c r="F315" s="6"/>
      <c r="G315" s="6"/>
      <c r="H315" s="6"/>
      <c r="I315" s="6"/>
      <c r="J315" s="6"/>
      <c r="K315" s="6"/>
      <c r="L315" s="6"/>
      <c r="M315" s="6"/>
      <c r="N315" s="6"/>
      <c r="O315" s="6"/>
      <c r="P315" s="6"/>
    </row>
    <row r="316" spans="1:16">
      <c r="A316" s="82"/>
      <c r="B316" s="82"/>
      <c r="C316" s="83"/>
      <c r="D316" s="6"/>
      <c r="E316" s="6"/>
      <c r="F316" s="6"/>
      <c r="G316" s="6"/>
      <c r="H316" s="6"/>
      <c r="I316" s="6"/>
      <c r="J316" s="6"/>
      <c r="K316" s="6"/>
      <c r="L316" s="6"/>
      <c r="M316" s="6"/>
      <c r="N316" s="6"/>
      <c r="O316" s="6"/>
      <c r="P316" s="6"/>
    </row>
    <row r="317" spans="1:16">
      <c r="A317" s="82"/>
      <c r="B317" s="82"/>
      <c r="C317" s="83"/>
      <c r="D317" s="6"/>
      <c r="E317" s="6"/>
      <c r="F317" s="6"/>
      <c r="G317" s="6"/>
      <c r="H317" s="6"/>
      <c r="I317" s="6"/>
      <c r="J317" s="6"/>
      <c r="K317" s="6"/>
      <c r="L317" s="6"/>
      <c r="M317" s="6"/>
      <c r="N317" s="6"/>
      <c r="O317" s="6"/>
      <c r="P317" s="6"/>
    </row>
    <row r="318" spans="1:16">
      <c r="A318" s="82"/>
      <c r="B318" s="82"/>
      <c r="C318" s="83"/>
      <c r="D318" s="6"/>
      <c r="E318" s="6"/>
      <c r="F318" s="6"/>
      <c r="G318" s="6"/>
      <c r="H318" s="6"/>
      <c r="I318" s="6"/>
      <c r="J318" s="6"/>
      <c r="K318" s="6"/>
      <c r="L318" s="6"/>
      <c r="M318" s="6"/>
      <c r="N318" s="6"/>
      <c r="O318" s="6"/>
      <c r="P318" s="6"/>
    </row>
    <row r="319" spans="1:16">
      <c r="A319" s="82"/>
      <c r="B319" s="82"/>
      <c r="C319" s="83"/>
      <c r="D319" s="6"/>
      <c r="E319" s="6"/>
      <c r="F319" s="6"/>
      <c r="G319" s="6"/>
      <c r="H319" s="6"/>
      <c r="I319" s="6"/>
      <c r="J319" s="6"/>
      <c r="K319" s="6"/>
      <c r="L319" s="6"/>
      <c r="M319" s="6"/>
      <c r="N319" s="6"/>
      <c r="O319" s="6"/>
      <c r="P319" s="6"/>
    </row>
    <row r="320" spans="1:16">
      <c r="A320" s="82"/>
      <c r="B320" s="82"/>
      <c r="C320" s="83"/>
      <c r="D320" s="6"/>
      <c r="E320" s="6"/>
      <c r="F320" s="6"/>
      <c r="G320" s="6"/>
      <c r="H320" s="6"/>
      <c r="I320" s="6"/>
      <c r="J320" s="6"/>
      <c r="K320" s="6"/>
      <c r="L320" s="6"/>
      <c r="M320" s="6"/>
      <c r="N320" s="6"/>
      <c r="O320" s="6"/>
      <c r="P320" s="6"/>
    </row>
    <row r="321" spans="1:16">
      <c r="A321" s="82"/>
      <c r="B321" s="82"/>
      <c r="C321" s="83"/>
      <c r="D321" s="6"/>
      <c r="E321" s="6"/>
      <c r="F321" s="6"/>
      <c r="G321" s="6"/>
      <c r="H321" s="6"/>
      <c r="I321" s="6"/>
      <c r="J321" s="6"/>
      <c r="K321" s="6"/>
      <c r="L321" s="6"/>
      <c r="M321" s="6"/>
      <c r="N321" s="6"/>
      <c r="O321" s="6"/>
      <c r="P321" s="6"/>
    </row>
    <row r="322" spans="1:16">
      <c r="A322" s="82"/>
      <c r="B322" s="82"/>
      <c r="C322" s="83"/>
      <c r="D322" s="6"/>
      <c r="E322" s="6"/>
      <c r="F322" s="6"/>
      <c r="G322" s="6"/>
      <c r="H322" s="6"/>
      <c r="I322" s="6"/>
      <c r="J322" s="6"/>
      <c r="K322" s="6"/>
      <c r="L322" s="6"/>
      <c r="M322" s="6"/>
      <c r="N322" s="6"/>
      <c r="O322" s="6"/>
      <c r="P322" s="6"/>
    </row>
    <row r="323" spans="1:16">
      <c r="A323" s="82"/>
      <c r="B323" s="82"/>
      <c r="C323" s="83"/>
      <c r="D323" s="6"/>
      <c r="E323" s="6"/>
      <c r="F323" s="6"/>
      <c r="G323" s="6"/>
      <c r="H323" s="6"/>
      <c r="I323" s="6"/>
      <c r="J323" s="6"/>
      <c r="K323" s="6"/>
      <c r="L323" s="6"/>
      <c r="M323" s="6"/>
      <c r="N323" s="6"/>
      <c r="O323" s="6"/>
      <c r="P323" s="6"/>
    </row>
    <row r="324" spans="1:16">
      <c r="A324" s="82"/>
      <c r="B324" s="82"/>
      <c r="C324" s="83"/>
      <c r="D324" s="6"/>
      <c r="E324" s="6"/>
      <c r="F324" s="6"/>
      <c r="G324" s="6"/>
      <c r="H324" s="6"/>
      <c r="I324" s="6"/>
      <c r="J324" s="6"/>
      <c r="K324" s="6"/>
      <c r="L324" s="6"/>
      <c r="M324" s="6"/>
      <c r="N324" s="6"/>
      <c r="O324" s="6"/>
      <c r="P324" s="6"/>
    </row>
    <row r="325" spans="1:16">
      <c r="A325" s="82"/>
      <c r="B325" s="82"/>
      <c r="C325" s="83"/>
      <c r="D325" s="6"/>
      <c r="E325" s="6"/>
      <c r="F325" s="6"/>
      <c r="G325" s="6"/>
      <c r="H325" s="6"/>
      <c r="I325" s="6"/>
      <c r="J325" s="6"/>
      <c r="K325" s="6"/>
      <c r="L325" s="6"/>
      <c r="M325" s="6"/>
      <c r="N325" s="6"/>
      <c r="O325" s="6"/>
      <c r="P325" s="6"/>
    </row>
    <row r="326" spans="1:16">
      <c r="A326" s="82"/>
      <c r="B326" s="82"/>
      <c r="C326" s="83"/>
      <c r="D326" s="6"/>
      <c r="E326" s="6"/>
      <c r="F326" s="6"/>
      <c r="G326" s="6"/>
      <c r="H326" s="6"/>
      <c r="I326" s="6"/>
      <c r="J326" s="6"/>
      <c r="K326" s="6"/>
      <c r="L326" s="6"/>
      <c r="M326" s="6"/>
      <c r="N326" s="6"/>
      <c r="O326" s="6"/>
      <c r="P326" s="6"/>
    </row>
    <row r="327" spans="1:16">
      <c r="A327" s="82"/>
      <c r="B327" s="82"/>
      <c r="C327" s="83"/>
      <c r="D327" s="6"/>
      <c r="E327" s="6"/>
      <c r="F327" s="6"/>
      <c r="G327" s="6"/>
      <c r="H327" s="6"/>
      <c r="I327" s="6"/>
      <c r="J327" s="6"/>
      <c r="K327" s="6"/>
      <c r="L327" s="6"/>
      <c r="M327" s="6"/>
      <c r="N327" s="6"/>
      <c r="O327" s="6"/>
      <c r="P327" s="6"/>
    </row>
    <row r="328" spans="1:16">
      <c r="A328" s="82"/>
      <c r="B328" s="82"/>
      <c r="C328" s="83"/>
      <c r="D328" s="6"/>
      <c r="E328" s="6"/>
      <c r="F328" s="6"/>
      <c r="G328" s="6"/>
      <c r="H328" s="6"/>
      <c r="I328" s="6"/>
      <c r="J328" s="6"/>
      <c r="K328" s="6"/>
      <c r="L328" s="6"/>
      <c r="M328" s="6"/>
      <c r="N328" s="6"/>
      <c r="O328" s="6"/>
      <c r="P328" s="6"/>
    </row>
    <row r="329" spans="1:16">
      <c r="A329" s="82"/>
      <c r="B329" s="82"/>
      <c r="C329" s="83"/>
      <c r="D329" s="6"/>
      <c r="E329" s="6"/>
      <c r="F329" s="6"/>
      <c r="G329" s="6"/>
      <c r="H329" s="6"/>
      <c r="I329" s="6"/>
      <c r="J329" s="6"/>
      <c r="K329" s="6"/>
      <c r="L329" s="6"/>
      <c r="M329" s="6"/>
      <c r="N329" s="6"/>
      <c r="O329" s="6"/>
      <c r="P329" s="6"/>
    </row>
    <row r="330" spans="1:16">
      <c r="A330" s="82"/>
      <c r="B330" s="82"/>
      <c r="C330" s="83"/>
      <c r="D330" s="6"/>
      <c r="E330" s="6"/>
      <c r="F330" s="6"/>
      <c r="G330" s="6"/>
      <c r="H330" s="6"/>
      <c r="I330" s="6"/>
      <c r="J330" s="6"/>
      <c r="K330" s="6"/>
      <c r="L330" s="6"/>
      <c r="M330" s="6"/>
      <c r="N330" s="6"/>
      <c r="O330" s="6"/>
      <c r="P330" s="6"/>
    </row>
    <row r="331" spans="1:16">
      <c r="A331" s="82"/>
      <c r="B331" s="82"/>
      <c r="C331" s="83"/>
      <c r="D331" s="6"/>
      <c r="E331" s="6"/>
      <c r="F331" s="6"/>
      <c r="G331" s="6"/>
      <c r="H331" s="6"/>
      <c r="I331" s="6"/>
      <c r="J331" s="6"/>
      <c r="K331" s="6"/>
      <c r="L331" s="6"/>
      <c r="M331" s="6"/>
      <c r="N331" s="6"/>
      <c r="O331" s="6"/>
      <c r="P331" s="6"/>
    </row>
    <row r="332" spans="1:16">
      <c r="A332" s="82"/>
      <c r="B332" s="82"/>
      <c r="C332" s="83"/>
      <c r="D332" s="6"/>
      <c r="E332" s="6"/>
      <c r="F332" s="6"/>
      <c r="G332" s="6"/>
      <c r="H332" s="6"/>
      <c r="I332" s="6"/>
      <c r="J332" s="6"/>
      <c r="K332" s="6"/>
      <c r="L332" s="6"/>
      <c r="M332" s="6"/>
      <c r="N332" s="6"/>
      <c r="O332" s="6"/>
      <c r="P332" s="6"/>
    </row>
    <row r="333" spans="1:16">
      <c r="A333" s="82"/>
      <c r="B333" s="82"/>
      <c r="C333" s="83"/>
      <c r="D333" s="6"/>
      <c r="E333" s="6"/>
      <c r="F333" s="6"/>
      <c r="G333" s="6"/>
      <c r="H333" s="6"/>
      <c r="I333" s="6"/>
      <c r="J333" s="6"/>
      <c r="K333" s="6"/>
      <c r="L333" s="6"/>
      <c r="M333" s="6"/>
      <c r="N333" s="6"/>
      <c r="O333" s="6"/>
      <c r="P333" s="6"/>
    </row>
    <row r="334" spans="1:16">
      <c r="A334" s="82"/>
      <c r="B334" s="82"/>
      <c r="C334" s="83"/>
      <c r="D334" s="6"/>
      <c r="E334" s="6"/>
      <c r="F334" s="6"/>
      <c r="G334" s="6"/>
      <c r="H334" s="6"/>
      <c r="I334" s="6"/>
      <c r="J334" s="6"/>
      <c r="K334" s="6"/>
      <c r="L334" s="6"/>
      <c r="M334" s="6"/>
      <c r="N334" s="6"/>
      <c r="O334" s="6"/>
      <c r="P334" s="6"/>
    </row>
    <row r="335" spans="1:16">
      <c r="A335" s="82"/>
      <c r="B335" s="82"/>
      <c r="C335" s="83"/>
      <c r="D335" s="6"/>
      <c r="E335" s="6"/>
      <c r="F335" s="6"/>
      <c r="G335" s="6"/>
      <c r="H335" s="6"/>
      <c r="I335" s="6"/>
      <c r="J335" s="6"/>
      <c r="K335" s="6"/>
      <c r="L335" s="6"/>
      <c r="M335" s="6"/>
      <c r="N335" s="6"/>
      <c r="O335" s="6"/>
      <c r="P335" s="6"/>
    </row>
    <row r="336" spans="1:16">
      <c r="A336" s="82"/>
      <c r="B336" s="82"/>
      <c r="C336" s="83"/>
      <c r="D336" s="6"/>
      <c r="E336" s="6"/>
      <c r="F336" s="6"/>
      <c r="G336" s="6"/>
      <c r="H336" s="6"/>
      <c r="I336" s="6"/>
      <c r="J336" s="6"/>
      <c r="K336" s="6"/>
      <c r="L336" s="6"/>
      <c r="M336" s="6"/>
      <c r="N336" s="6"/>
      <c r="O336" s="6"/>
      <c r="P336" s="6"/>
    </row>
    <row r="337" spans="1:16">
      <c r="A337" s="82"/>
      <c r="B337" s="82"/>
      <c r="C337" s="83"/>
      <c r="D337" s="6"/>
      <c r="E337" s="6"/>
      <c r="F337" s="6"/>
      <c r="G337" s="6"/>
      <c r="H337" s="6"/>
      <c r="I337" s="6"/>
      <c r="J337" s="6"/>
      <c r="K337" s="6"/>
      <c r="L337" s="6"/>
      <c r="M337" s="6"/>
      <c r="N337" s="6"/>
      <c r="O337" s="6"/>
      <c r="P337" s="6"/>
    </row>
    <row r="338" spans="1:16">
      <c r="A338" s="82"/>
      <c r="B338" s="82"/>
      <c r="C338" s="83"/>
      <c r="D338" s="6"/>
      <c r="E338" s="6"/>
      <c r="F338" s="6"/>
      <c r="G338" s="6"/>
      <c r="H338" s="6"/>
      <c r="I338" s="6"/>
      <c r="J338" s="6"/>
      <c r="K338" s="6"/>
      <c r="L338" s="6"/>
      <c r="M338" s="6"/>
      <c r="N338" s="6"/>
      <c r="O338" s="6"/>
      <c r="P338" s="6"/>
    </row>
    <row r="339" spans="1:16">
      <c r="A339" s="82"/>
      <c r="B339" s="82"/>
      <c r="C339" s="83"/>
      <c r="D339" s="6"/>
      <c r="E339" s="6"/>
      <c r="F339" s="6"/>
      <c r="G339" s="6"/>
      <c r="H339" s="6"/>
      <c r="I339" s="6"/>
      <c r="J339" s="6"/>
      <c r="K339" s="6"/>
      <c r="L339" s="6"/>
      <c r="M339" s="6"/>
      <c r="N339" s="6"/>
      <c r="O339" s="6"/>
      <c r="P339" s="6"/>
    </row>
    <row r="340" spans="1:16">
      <c r="A340" s="82"/>
      <c r="B340" s="82"/>
      <c r="C340" s="83"/>
      <c r="D340" s="6"/>
      <c r="E340" s="6"/>
      <c r="F340" s="6"/>
      <c r="G340" s="6"/>
      <c r="H340" s="6"/>
      <c r="I340" s="6"/>
      <c r="J340" s="6"/>
      <c r="K340" s="6"/>
      <c r="L340" s="6"/>
      <c r="M340" s="6"/>
      <c r="N340" s="6"/>
      <c r="O340" s="6"/>
      <c r="P340" s="6"/>
    </row>
    <row r="341" spans="1:16">
      <c r="A341" s="82"/>
      <c r="B341" s="82"/>
      <c r="C341" s="83"/>
      <c r="D341" s="6"/>
      <c r="E341" s="6"/>
      <c r="F341" s="6"/>
      <c r="G341" s="6"/>
      <c r="H341" s="6"/>
      <c r="I341" s="6"/>
      <c r="J341" s="6"/>
      <c r="K341" s="6"/>
      <c r="L341" s="6"/>
      <c r="M341" s="6"/>
      <c r="N341" s="6"/>
      <c r="O341" s="6"/>
      <c r="P341" s="6"/>
    </row>
    <row r="342" spans="1:16">
      <c r="A342" s="82"/>
      <c r="B342" s="82"/>
      <c r="C342" s="83"/>
      <c r="D342" s="6"/>
      <c r="E342" s="6"/>
      <c r="F342" s="6"/>
      <c r="G342" s="6"/>
      <c r="H342" s="6"/>
      <c r="I342" s="6"/>
      <c r="J342" s="6"/>
      <c r="K342" s="6"/>
      <c r="L342" s="6"/>
      <c r="M342" s="6"/>
      <c r="N342" s="6"/>
      <c r="O342" s="6"/>
      <c r="P342" s="6"/>
    </row>
    <row r="343" spans="1:16">
      <c r="A343" s="82"/>
      <c r="B343" s="82"/>
      <c r="C343" s="83"/>
      <c r="D343" s="6"/>
      <c r="E343" s="6"/>
      <c r="F343" s="6"/>
      <c r="G343" s="6"/>
      <c r="H343" s="6"/>
      <c r="I343" s="6"/>
      <c r="J343" s="6"/>
      <c r="K343" s="6"/>
      <c r="L343" s="6"/>
      <c r="M343" s="6"/>
      <c r="N343" s="6"/>
      <c r="O343" s="6"/>
      <c r="P343" s="6"/>
    </row>
    <row r="344" spans="1:16">
      <c r="A344" s="82"/>
      <c r="B344" s="82"/>
      <c r="C344" s="83"/>
      <c r="D344" s="6"/>
      <c r="E344" s="6"/>
      <c r="F344" s="6"/>
      <c r="G344" s="6"/>
      <c r="H344" s="6"/>
      <c r="I344" s="6"/>
      <c r="J344" s="6"/>
      <c r="K344" s="6"/>
      <c r="L344" s="6"/>
      <c r="M344" s="6"/>
      <c r="N344" s="6"/>
      <c r="O344" s="6"/>
      <c r="P344" s="6"/>
    </row>
    <row r="345" spans="1:16">
      <c r="A345" s="82"/>
      <c r="B345" s="82"/>
      <c r="C345" s="83"/>
      <c r="D345" s="6"/>
      <c r="E345" s="6"/>
      <c r="F345" s="6"/>
      <c r="G345" s="6"/>
      <c r="H345" s="6"/>
      <c r="I345" s="6"/>
      <c r="J345" s="6"/>
      <c r="K345" s="6"/>
      <c r="L345" s="6"/>
      <c r="M345" s="6"/>
      <c r="N345" s="6"/>
      <c r="O345" s="6"/>
      <c r="P345" s="6"/>
    </row>
    <row r="346" spans="1:16">
      <c r="A346" s="82"/>
      <c r="B346" s="82"/>
      <c r="C346" s="83"/>
      <c r="D346" s="6"/>
      <c r="E346" s="6"/>
      <c r="F346" s="6"/>
      <c r="G346" s="6"/>
      <c r="H346" s="6"/>
      <c r="I346" s="6"/>
      <c r="J346" s="6"/>
      <c r="K346" s="6"/>
      <c r="L346" s="6"/>
      <c r="M346" s="6"/>
      <c r="N346" s="6"/>
      <c r="O346" s="6"/>
      <c r="P346" s="6"/>
    </row>
    <row r="347" spans="1:16">
      <c r="A347" s="82"/>
      <c r="B347" s="82"/>
      <c r="C347" s="83"/>
      <c r="D347" s="6"/>
      <c r="E347" s="6"/>
      <c r="F347" s="6"/>
      <c r="G347" s="6"/>
      <c r="H347" s="6"/>
      <c r="I347" s="6"/>
      <c r="J347" s="6"/>
      <c r="K347" s="6"/>
      <c r="L347" s="6"/>
      <c r="M347" s="6"/>
      <c r="N347" s="6"/>
      <c r="O347" s="6"/>
      <c r="P347" s="6"/>
    </row>
    <row r="348" spans="1:16">
      <c r="A348" s="82"/>
      <c r="B348" s="82"/>
      <c r="C348" s="83"/>
      <c r="D348" s="6"/>
      <c r="E348" s="6"/>
      <c r="F348" s="6"/>
      <c r="G348" s="6"/>
      <c r="H348" s="6"/>
      <c r="I348" s="6"/>
      <c r="J348" s="6"/>
      <c r="K348" s="6"/>
      <c r="L348" s="6"/>
      <c r="M348" s="6"/>
      <c r="N348" s="6"/>
      <c r="O348" s="6"/>
      <c r="P348" s="6"/>
    </row>
    <row r="349" spans="1:16">
      <c r="A349" s="82"/>
      <c r="B349" s="82"/>
      <c r="C349" s="83"/>
      <c r="D349" s="6"/>
      <c r="E349" s="6"/>
      <c r="F349" s="6"/>
      <c r="G349" s="6"/>
      <c r="H349" s="6"/>
      <c r="I349" s="6"/>
      <c r="J349" s="6"/>
      <c r="K349" s="6"/>
      <c r="L349" s="6"/>
      <c r="M349" s="6"/>
      <c r="N349" s="6"/>
      <c r="O349" s="6"/>
      <c r="P349" s="6"/>
    </row>
    <row r="350" spans="1:16">
      <c r="A350" s="82"/>
      <c r="B350" s="82"/>
      <c r="C350" s="83"/>
      <c r="D350" s="6"/>
      <c r="E350" s="6"/>
      <c r="F350" s="6"/>
      <c r="G350" s="6"/>
      <c r="H350" s="6"/>
      <c r="I350" s="6"/>
      <c r="J350" s="6"/>
      <c r="K350" s="6"/>
      <c r="L350" s="6"/>
      <c r="M350" s="6"/>
      <c r="N350" s="6"/>
      <c r="O350" s="6"/>
      <c r="P350" s="6"/>
    </row>
    <row r="351" spans="1:16">
      <c r="A351" s="82"/>
      <c r="B351" s="82"/>
      <c r="C351" s="83"/>
      <c r="D351" s="6"/>
      <c r="E351" s="6"/>
      <c r="F351" s="6"/>
      <c r="G351" s="6"/>
      <c r="H351" s="6"/>
      <c r="I351" s="6"/>
      <c r="J351" s="6"/>
      <c r="K351" s="6"/>
      <c r="L351" s="6"/>
      <c r="M351" s="6"/>
      <c r="N351" s="6"/>
      <c r="O351" s="6"/>
      <c r="P351" s="6"/>
    </row>
    <row r="352" spans="1:16">
      <c r="A352" s="82"/>
      <c r="B352" s="82"/>
      <c r="C352" s="83"/>
      <c r="D352" s="6"/>
      <c r="E352" s="6"/>
      <c r="F352" s="6"/>
      <c r="G352" s="6"/>
      <c r="H352" s="6"/>
      <c r="I352" s="6"/>
      <c r="J352" s="6"/>
      <c r="K352" s="6"/>
      <c r="L352" s="6"/>
      <c r="M352" s="6"/>
      <c r="N352" s="6"/>
      <c r="O352" s="6"/>
      <c r="P352" s="6"/>
    </row>
    <row r="353" spans="1:16">
      <c r="A353" s="82"/>
      <c r="B353" s="82"/>
      <c r="C353" s="83"/>
      <c r="D353" s="6"/>
      <c r="E353" s="6"/>
      <c r="F353" s="6"/>
      <c r="G353" s="6"/>
      <c r="H353" s="6"/>
      <c r="I353" s="6"/>
      <c r="J353" s="6"/>
      <c r="K353" s="6"/>
      <c r="L353" s="6"/>
      <c r="M353" s="6"/>
      <c r="N353" s="6"/>
      <c r="O353" s="6"/>
      <c r="P353" s="6"/>
    </row>
    <row r="354" spans="1:16">
      <c r="A354" s="82"/>
      <c r="B354" s="82"/>
      <c r="C354" s="83"/>
      <c r="D354" s="6"/>
      <c r="E354" s="6"/>
      <c r="F354" s="6"/>
      <c r="G354" s="6"/>
      <c r="H354" s="6"/>
      <c r="I354" s="6"/>
      <c r="J354" s="6"/>
      <c r="K354" s="6"/>
      <c r="L354" s="6"/>
      <c r="M354" s="6"/>
      <c r="N354" s="6"/>
      <c r="O354" s="6"/>
      <c r="P354" s="6"/>
    </row>
    <row r="355" spans="1:16">
      <c r="A355" s="82"/>
      <c r="B355" s="82"/>
      <c r="C355" s="83"/>
      <c r="D355" s="6"/>
      <c r="E355" s="6"/>
      <c r="F355" s="6"/>
      <c r="G355" s="6"/>
      <c r="H355" s="6"/>
      <c r="I355" s="6"/>
      <c r="J355" s="6"/>
      <c r="K355" s="6"/>
      <c r="L355" s="6"/>
      <c r="M355" s="6"/>
      <c r="N355" s="6"/>
      <c r="O355" s="6"/>
      <c r="P355" s="6"/>
    </row>
    <row r="356" spans="1:16">
      <c r="A356" s="82"/>
      <c r="B356" s="82"/>
      <c r="C356" s="83"/>
      <c r="D356" s="6"/>
      <c r="E356" s="6"/>
      <c r="F356" s="6"/>
      <c r="G356" s="6"/>
      <c r="H356" s="6"/>
      <c r="I356" s="6"/>
      <c r="J356" s="6"/>
      <c r="K356" s="6"/>
      <c r="L356" s="6"/>
      <c r="M356" s="6"/>
      <c r="N356" s="6"/>
      <c r="O356" s="6"/>
      <c r="P356" s="6"/>
    </row>
    <row r="357" spans="1:16">
      <c r="A357" s="82"/>
      <c r="B357" s="82"/>
      <c r="C357" s="83"/>
      <c r="D357" s="6"/>
      <c r="E357" s="6"/>
      <c r="F357" s="6"/>
      <c r="G357" s="6"/>
      <c r="H357" s="6"/>
      <c r="I357" s="6"/>
      <c r="J357" s="6"/>
      <c r="K357" s="6"/>
      <c r="L357" s="6"/>
      <c r="M357" s="6"/>
      <c r="N357" s="6"/>
      <c r="O357" s="6"/>
      <c r="P357" s="6"/>
    </row>
    <row r="358" spans="1:16">
      <c r="A358" s="82"/>
      <c r="B358" s="82"/>
      <c r="C358" s="83"/>
      <c r="D358" s="6"/>
      <c r="E358" s="6"/>
      <c r="F358" s="6"/>
      <c r="G358" s="6"/>
      <c r="H358" s="6"/>
      <c r="I358" s="6"/>
      <c r="J358" s="6"/>
      <c r="K358" s="6"/>
      <c r="L358" s="6"/>
      <c r="M358" s="6"/>
      <c r="N358" s="6"/>
      <c r="O358" s="6"/>
      <c r="P358" s="6"/>
    </row>
    <row r="359" spans="1:16">
      <c r="A359" s="82"/>
      <c r="B359" s="82"/>
      <c r="C359" s="83"/>
      <c r="D359" s="6"/>
      <c r="E359" s="6"/>
      <c r="F359" s="6"/>
      <c r="G359" s="6"/>
      <c r="H359" s="6"/>
      <c r="I359" s="6"/>
      <c r="J359" s="6"/>
      <c r="K359" s="6"/>
      <c r="L359" s="6"/>
      <c r="M359" s="6"/>
      <c r="N359" s="6"/>
      <c r="O359" s="6"/>
      <c r="P359" s="6"/>
    </row>
    <row r="360" spans="1:16">
      <c r="A360" s="82"/>
      <c r="B360" s="82"/>
      <c r="C360" s="83"/>
      <c r="D360" s="6"/>
      <c r="E360" s="6"/>
      <c r="F360" s="6"/>
      <c r="G360" s="6"/>
      <c r="H360" s="6"/>
      <c r="I360" s="6"/>
      <c r="J360" s="6"/>
      <c r="K360" s="6"/>
      <c r="L360" s="6"/>
      <c r="M360" s="6"/>
      <c r="N360" s="6"/>
      <c r="O360" s="6"/>
      <c r="P360" s="6"/>
    </row>
    <row r="361" spans="1:16">
      <c r="A361" s="82"/>
      <c r="B361" s="82"/>
      <c r="C361" s="83"/>
      <c r="D361" s="6"/>
      <c r="E361" s="6"/>
      <c r="F361" s="6"/>
      <c r="G361" s="6"/>
      <c r="H361" s="6"/>
      <c r="I361" s="6"/>
      <c r="J361" s="6"/>
      <c r="K361" s="6"/>
      <c r="L361" s="6"/>
      <c r="M361" s="6"/>
      <c r="N361" s="6"/>
      <c r="O361" s="6"/>
      <c r="P361" s="6"/>
    </row>
    <row r="362" spans="1:16">
      <c r="A362" s="82"/>
      <c r="B362" s="82"/>
      <c r="C362" s="83"/>
      <c r="D362" s="6"/>
      <c r="E362" s="6"/>
      <c r="F362" s="6"/>
      <c r="G362" s="6"/>
      <c r="H362" s="6"/>
      <c r="I362" s="6"/>
      <c r="J362" s="6"/>
      <c r="K362" s="6"/>
      <c r="L362" s="6"/>
      <c r="M362" s="6"/>
      <c r="N362" s="6"/>
      <c r="O362" s="6"/>
      <c r="P362" s="6"/>
    </row>
    <row r="363" spans="1:16">
      <c r="A363" s="82"/>
      <c r="B363" s="82"/>
      <c r="C363" s="83"/>
      <c r="D363" s="6"/>
      <c r="E363" s="6"/>
      <c r="F363" s="6"/>
      <c r="G363" s="6"/>
      <c r="H363" s="6"/>
      <c r="I363" s="6"/>
      <c r="J363" s="6"/>
      <c r="K363" s="6"/>
      <c r="L363" s="6"/>
      <c r="M363" s="6"/>
      <c r="N363" s="6"/>
      <c r="O363" s="6"/>
      <c r="P363" s="6"/>
    </row>
    <row r="364" spans="1:16">
      <c r="A364" s="82"/>
      <c r="B364" s="82"/>
      <c r="C364" s="83"/>
      <c r="D364" s="6"/>
      <c r="E364" s="6"/>
      <c r="F364" s="6"/>
      <c r="G364" s="6"/>
      <c r="H364" s="6"/>
      <c r="I364" s="6"/>
      <c r="J364" s="6"/>
      <c r="K364" s="6"/>
      <c r="L364" s="6"/>
      <c r="M364" s="6"/>
      <c r="N364" s="6"/>
      <c r="O364" s="6"/>
      <c r="P364" s="6"/>
    </row>
    <row r="365" spans="1:16">
      <c r="A365" s="82"/>
      <c r="B365" s="82"/>
      <c r="C365" s="83"/>
      <c r="D365" s="6"/>
      <c r="E365" s="6"/>
      <c r="F365" s="6"/>
      <c r="G365" s="6"/>
      <c r="H365" s="6"/>
      <c r="I365" s="6"/>
      <c r="J365" s="6"/>
      <c r="K365" s="6"/>
      <c r="L365" s="6"/>
      <c r="M365" s="6"/>
      <c r="N365" s="6"/>
      <c r="O365" s="6"/>
      <c r="P365" s="6"/>
    </row>
    <row r="366" spans="1:16">
      <c r="A366" s="82"/>
      <c r="B366" s="82"/>
      <c r="C366" s="83"/>
      <c r="D366" s="6"/>
      <c r="E366" s="6"/>
      <c r="F366" s="6"/>
      <c r="G366" s="6"/>
      <c r="H366" s="6"/>
      <c r="I366" s="6"/>
      <c r="J366" s="6"/>
      <c r="K366" s="6"/>
      <c r="L366" s="6"/>
      <c r="M366" s="6"/>
      <c r="N366" s="6"/>
      <c r="O366" s="6"/>
      <c r="P366" s="6"/>
    </row>
    <row r="367" spans="1:16">
      <c r="A367" s="82"/>
      <c r="B367" s="82"/>
      <c r="C367" s="83"/>
      <c r="D367" s="6"/>
      <c r="E367" s="6"/>
      <c r="F367" s="6"/>
      <c r="G367" s="6"/>
      <c r="H367" s="6"/>
      <c r="I367" s="6"/>
      <c r="J367" s="6"/>
      <c r="K367" s="6"/>
      <c r="L367" s="6"/>
      <c r="M367" s="6"/>
      <c r="N367" s="6"/>
      <c r="O367" s="6"/>
      <c r="P367" s="6"/>
    </row>
    <row r="368" spans="1:16">
      <c r="A368" s="82"/>
      <c r="B368" s="82"/>
      <c r="C368" s="83"/>
      <c r="D368" s="6"/>
      <c r="E368" s="6"/>
      <c r="F368" s="6"/>
      <c r="G368" s="6"/>
      <c r="H368" s="6"/>
      <c r="I368" s="6"/>
      <c r="J368" s="6"/>
      <c r="K368" s="6"/>
      <c r="L368" s="6"/>
      <c r="M368" s="6"/>
      <c r="N368" s="6"/>
      <c r="O368" s="6"/>
      <c r="P368" s="6"/>
    </row>
    <row r="369" spans="1:16">
      <c r="A369" s="82"/>
      <c r="B369" s="82"/>
      <c r="C369" s="83"/>
      <c r="D369" s="6"/>
      <c r="E369" s="6"/>
      <c r="F369" s="6"/>
      <c r="G369" s="6"/>
      <c r="H369" s="6"/>
      <c r="I369" s="6"/>
      <c r="J369" s="6"/>
      <c r="K369" s="6"/>
      <c r="L369" s="6"/>
      <c r="M369" s="6"/>
      <c r="N369" s="6"/>
      <c r="O369" s="6"/>
      <c r="P369" s="6"/>
    </row>
    <row r="370" spans="1:16">
      <c r="A370" s="82"/>
      <c r="B370" s="82"/>
      <c r="C370" s="83"/>
      <c r="D370" s="6"/>
      <c r="E370" s="6"/>
      <c r="F370" s="6"/>
      <c r="G370" s="6"/>
      <c r="H370" s="6"/>
      <c r="I370" s="6"/>
      <c r="J370" s="6"/>
      <c r="K370" s="6"/>
      <c r="L370" s="6"/>
      <c r="M370" s="6"/>
      <c r="N370" s="6"/>
      <c r="O370" s="6"/>
      <c r="P370" s="6"/>
    </row>
    <row r="371" spans="1:16">
      <c r="A371" s="82"/>
      <c r="B371" s="82"/>
      <c r="C371" s="83"/>
      <c r="D371" s="6"/>
      <c r="E371" s="6"/>
      <c r="F371" s="6"/>
      <c r="G371" s="6"/>
      <c r="H371" s="6"/>
      <c r="I371" s="6"/>
      <c r="J371" s="6"/>
      <c r="K371" s="6"/>
      <c r="L371" s="6"/>
      <c r="M371" s="6"/>
      <c r="N371" s="6"/>
      <c r="O371" s="6"/>
      <c r="P371" s="6"/>
    </row>
    <row r="372" spans="1:16">
      <c r="A372" s="82"/>
      <c r="B372" s="82"/>
      <c r="C372" s="83"/>
      <c r="D372" s="6"/>
      <c r="E372" s="6"/>
      <c r="F372" s="6"/>
      <c r="G372" s="6"/>
      <c r="H372" s="6"/>
      <c r="I372" s="6"/>
      <c r="J372" s="6"/>
      <c r="K372" s="6"/>
      <c r="L372" s="6"/>
      <c r="M372" s="6"/>
      <c r="N372" s="6"/>
      <c r="O372" s="6"/>
      <c r="P372" s="6"/>
    </row>
    <row r="373" spans="1:16">
      <c r="A373" s="82"/>
      <c r="B373" s="82"/>
      <c r="C373" s="83"/>
      <c r="D373" s="6"/>
      <c r="E373" s="6"/>
      <c r="F373" s="6"/>
      <c r="G373" s="6"/>
      <c r="H373" s="6"/>
      <c r="I373" s="6"/>
      <c r="J373" s="6"/>
      <c r="K373" s="6"/>
      <c r="L373" s="6"/>
      <c r="M373" s="6"/>
      <c r="N373" s="6"/>
      <c r="O373" s="6"/>
      <c r="P373" s="6"/>
    </row>
    <row r="374" spans="1:16">
      <c r="A374" s="82"/>
      <c r="B374" s="82"/>
      <c r="C374" s="83"/>
      <c r="D374" s="6"/>
      <c r="E374" s="6"/>
      <c r="F374" s="6"/>
      <c r="G374" s="6"/>
      <c r="H374" s="6"/>
      <c r="I374" s="6"/>
      <c r="J374" s="6"/>
      <c r="K374" s="6"/>
      <c r="L374" s="6"/>
      <c r="M374" s="6"/>
      <c r="N374" s="6"/>
      <c r="O374" s="6"/>
      <c r="P374" s="6"/>
    </row>
    <row r="375" spans="1:16">
      <c r="A375" s="82"/>
      <c r="B375" s="82"/>
      <c r="C375" s="83"/>
      <c r="D375" s="6"/>
      <c r="E375" s="6"/>
      <c r="F375" s="6"/>
      <c r="G375" s="6"/>
      <c r="H375" s="6"/>
      <c r="I375" s="6"/>
      <c r="J375" s="6"/>
      <c r="K375" s="6"/>
      <c r="L375" s="6"/>
      <c r="M375" s="6"/>
      <c r="N375" s="6"/>
      <c r="O375" s="6"/>
      <c r="P375" s="6"/>
    </row>
    <row r="376" spans="1:16">
      <c r="A376" s="82"/>
      <c r="B376" s="82"/>
      <c r="C376" s="83"/>
      <c r="D376" s="6"/>
      <c r="E376" s="6"/>
      <c r="F376" s="6"/>
      <c r="G376" s="6"/>
      <c r="H376" s="6"/>
      <c r="I376" s="6"/>
      <c r="J376" s="6"/>
      <c r="K376" s="6"/>
      <c r="L376" s="6"/>
      <c r="M376" s="6"/>
      <c r="N376" s="6"/>
      <c r="O376" s="6"/>
      <c r="P376" s="6"/>
    </row>
    <row r="377" spans="1:16">
      <c r="A377" s="82"/>
      <c r="B377" s="82"/>
      <c r="C377" s="83"/>
      <c r="D377" s="6"/>
      <c r="E377" s="6"/>
      <c r="F377" s="6"/>
      <c r="G377" s="6"/>
      <c r="H377" s="6"/>
      <c r="I377" s="6"/>
      <c r="J377" s="6"/>
      <c r="K377" s="6"/>
      <c r="L377" s="6"/>
      <c r="M377" s="6"/>
      <c r="N377" s="6"/>
      <c r="O377" s="6"/>
      <c r="P377" s="6"/>
    </row>
    <row r="378" spans="1:16">
      <c r="A378" s="82"/>
      <c r="B378" s="82"/>
      <c r="C378" s="83"/>
      <c r="D378" s="6"/>
      <c r="E378" s="6"/>
      <c r="F378" s="6"/>
      <c r="G378" s="6"/>
      <c r="H378" s="6"/>
      <c r="I378" s="6"/>
      <c r="J378" s="6"/>
      <c r="K378" s="6"/>
      <c r="L378" s="6"/>
      <c r="M378" s="6"/>
      <c r="N378" s="6"/>
      <c r="O378" s="6"/>
      <c r="P378" s="6"/>
    </row>
    <row r="379" spans="1:16">
      <c r="A379" s="82"/>
      <c r="B379" s="82"/>
      <c r="C379" s="83"/>
      <c r="D379" s="6"/>
      <c r="E379" s="6"/>
      <c r="F379" s="6"/>
      <c r="G379" s="6"/>
      <c r="H379" s="6"/>
      <c r="I379" s="6"/>
      <c r="J379" s="6"/>
      <c r="K379" s="6"/>
      <c r="L379" s="6"/>
      <c r="M379" s="6"/>
      <c r="N379" s="6"/>
      <c r="O379" s="6"/>
      <c r="P379" s="6"/>
    </row>
    <row r="380" spans="1:16">
      <c r="A380" s="82"/>
      <c r="B380" s="82"/>
      <c r="C380" s="83"/>
      <c r="D380" s="6"/>
      <c r="E380" s="6"/>
      <c r="F380" s="6"/>
      <c r="G380" s="6"/>
      <c r="H380" s="6"/>
      <c r="I380" s="6"/>
      <c r="J380" s="6"/>
      <c r="K380" s="6"/>
      <c r="L380" s="6"/>
      <c r="M380" s="6"/>
      <c r="N380" s="6"/>
      <c r="O380" s="6"/>
      <c r="P380" s="6"/>
    </row>
    <row r="381" spans="1:16">
      <c r="A381" s="82"/>
      <c r="B381" s="82"/>
      <c r="C381" s="83"/>
      <c r="D381" s="6"/>
      <c r="E381" s="6"/>
      <c r="F381" s="6"/>
      <c r="G381" s="6"/>
      <c r="H381" s="6"/>
      <c r="I381" s="6"/>
      <c r="J381" s="6"/>
      <c r="K381" s="6"/>
      <c r="L381" s="6"/>
      <c r="M381" s="6"/>
      <c r="N381" s="6"/>
      <c r="O381" s="6"/>
      <c r="P381" s="6"/>
    </row>
    <row r="382" spans="1:16">
      <c r="A382" s="82"/>
      <c r="B382" s="82"/>
      <c r="C382" s="83"/>
      <c r="D382" s="6"/>
      <c r="E382" s="6"/>
      <c r="F382" s="6"/>
      <c r="G382" s="6"/>
      <c r="H382" s="6"/>
      <c r="I382" s="6"/>
      <c r="J382" s="6"/>
      <c r="K382" s="6"/>
      <c r="L382" s="6"/>
      <c r="M382" s="6"/>
      <c r="N382" s="6"/>
      <c r="O382" s="6"/>
      <c r="P382" s="6"/>
    </row>
    <row r="383" spans="1:16">
      <c r="A383" s="82"/>
      <c r="B383" s="82"/>
      <c r="C383" s="83"/>
      <c r="D383" s="6"/>
      <c r="E383" s="6"/>
      <c r="F383" s="6"/>
      <c r="G383" s="6"/>
      <c r="H383" s="6"/>
      <c r="I383" s="6"/>
      <c r="J383" s="6"/>
      <c r="K383" s="6"/>
      <c r="L383" s="6"/>
      <c r="M383" s="6"/>
      <c r="N383" s="6"/>
      <c r="O383" s="6"/>
      <c r="P383" s="6"/>
    </row>
    <row r="384" spans="1:16">
      <c r="A384" s="82"/>
      <c r="B384" s="82"/>
      <c r="C384" s="83"/>
      <c r="D384" s="6"/>
      <c r="E384" s="6"/>
      <c r="F384" s="6"/>
      <c r="G384" s="6"/>
      <c r="H384" s="6"/>
      <c r="I384" s="6"/>
      <c r="J384" s="6"/>
      <c r="K384" s="6"/>
      <c r="L384" s="6"/>
      <c r="M384" s="6"/>
      <c r="N384" s="6"/>
      <c r="O384" s="6"/>
      <c r="P384" s="6"/>
    </row>
    <row r="385" spans="1:16">
      <c r="A385" s="82"/>
      <c r="B385" s="82"/>
      <c r="C385" s="83"/>
      <c r="D385" s="6"/>
      <c r="E385" s="6"/>
      <c r="F385" s="6"/>
      <c r="G385" s="6"/>
      <c r="H385" s="6"/>
      <c r="I385" s="6"/>
      <c r="J385" s="6"/>
      <c r="K385" s="6"/>
      <c r="L385" s="6"/>
      <c r="M385" s="6"/>
      <c r="N385" s="6"/>
      <c r="O385" s="6"/>
      <c r="P385" s="6"/>
    </row>
    <row r="386" spans="1:16">
      <c r="A386" s="82"/>
      <c r="B386" s="82"/>
      <c r="C386" s="83"/>
      <c r="D386" s="6"/>
      <c r="E386" s="6"/>
      <c r="F386" s="6"/>
      <c r="G386" s="6"/>
      <c r="H386" s="6"/>
      <c r="I386" s="6"/>
      <c r="J386" s="6"/>
      <c r="K386" s="6"/>
      <c r="L386" s="6"/>
      <c r="M386" s="6"/>
      <c r="N386" s="6"/>
      <c r="O386" s="6"/>
      <c r="P386" s="6"/>
    </row>
    <row r="387" spans="1:16">
      <c r="A387" s="82"/>
      <c r="B387" s="82"/>
      <c r="C387" s="83"/>
      <c r="D387" s="6"/>
      <c r="E387" s="6"/>
      <c r="F387" s="6"/>
      <c r="G387" s="6"/>
      <c r="H387" s="6"/>
      <c r="I387" s="6"/>
      <c r="J387" s="6"/>
      <c r="K387" s="6"/>
      <c r="L387" s="6"/>
      <c r="M387" s="6"/>
      <c r="N387" s="6"/>
      <c r="O387" s="6"/>
      <c r="P387" s="6"/>
    </row>
    <row r="388" spans="1:16">
      <c r="A388" s="82"/>
      <c r="B388" s="82"/>
      <c r="C388" s="83"/>
      <c r="D388" s="6"/>
      <c r="E388" s="6"/>
      <c r="F388" s="6"/>
      <c r="G388" s="6"/>
      <c r="H388" s="6"/>
      <c r="I388" s="6"/>
      <c r="J388" s="6"/>
      <c r="K388" s="6"/>
      <c r="L388" s="6"/>
      <c r="M388" s="6"/>
      <c r="N388" s="6"/>
      <c r="O388" s="6"/>
      <c r="P388" s="6"/>
    </row>
    <row r="389" spans="1:16">
      <c r="A389" s="82"/>
      <c r="B389" s="82"/>
      <c r="C389" s="83"/>
      <c r="D389" s="6"/>
      <c r="E389" s="6"/>
      <c r="F389" s="6"/>
      <c r="G389" s="6"/>
      <c r="H389" s="6"/>
      <c r="I389" s="6"/>
      <c r="J389" s="6"/>
      <c r="K389" s="6"/>
      <c r="L389" s="6"/>
      <c r="M389" s="6"/>
      <c r="N389" s="6"/>
      <c r="O389" s="6"/>
      <c r="P389" s="6"/>
    </row>
    <row r="390" spans="1:16">
      <c r="A390" s="82"/>
      <c r="B390" s="82"/>
      <c r="C390" s="83"/>
      <c r="D390" s="6"/>
      <c r="E390" s="6"/>
      <c r="F390" s="6"/>
      <c r="G390" s="6"/>
      <c r="H390" s="6"/>
      <c r="I390" s="6"/>
      <c r="J390" s="6"/>
      <c r="K390" s="6"/>
      <c r="L390" s="6"/>
      <c r="M390" s="6"/>
      <c r="N390" s="6"/>
      <c r="O390" s="6"/>
      <c r="P390" s="6"/>
    </row>
    <row r="391" spans="1:16">
      <c r="A391" s="82"/>
      <c r="B391" s="82"/>
      <c r="C391" s="83"/>
      <c r="D391" s="6"/>
      <c r="E391" s="6"/>
      <c r="F391" s="6"/>
      <c r="G391" s="6"/>
      <c r="H391" s="6"/>
      <c r="I391" s="6"/>
      <c r="J391" s="6"/>
      <c r="K391" s="6"/>
      <c r="L391" s="6"/>
      <c r="M391" s="6"/>
      <c r="N391" s="6"/>
      <c r="O391" s="6"/>
      <c r="P391" s="6"/>
    </row>
    <row r="392" spans="1:16">
      <c r="A392" s="82"/>
      <c r="B392" s="82"/>
      <c r="C392" s="83"/>
      <c r="D392" s="6"/>
      <c r="E392" s="6"/>
      <c r="F392" s="6"/>
      <c r="G392" s="6"/>
      <c r="H392" s="6"/>
      <c r="I392" s="6"/>
      <c r="J392" s="6"/>
      <c r="K392" s="6"/>
      <c r="L392" s="6"/>
      <c r="M392" s="6"/>
      <c r="N392" s="6"/>
      <c r="O392" s="6"/>
      <c r="P392" s="6"/>
    </row>
    <row r="393" spans="1:16">
      <c r="A393" s="82"/>
      <c r="B393" s="82"/>
      <c r="C393" s="83"/>
      <c r="D393" s="6"/>
      <c r="E393" s="6"/>
      <c r="F393" s="6"/>
      <c r="G393" s="6"/>
      <c r="H393" s="6"/>
      <c r="I393" s="6"/>
      <c r="J393" s="6"/>
      <c r="K393" s="6"/>
      <c r="L393" s="6"/>
      <c r="M393" s="6"/>
      <c r="N393" s="6"/>
      <c r="O393" s="6"/>
      <c r="P393" s="6"/>
    </row>
    <row r="394" spans="1:16">
      <c r="A394" s="82"/>
      <c r="B394" s="82"/>
      <c r="C394" s="83"/>
      <c r="D394" s="6"/>
      <c r="E394" s="6"/>
      <c r="F394" s="6"/>
      <c r="G394" s="6"/>
      <c r="H394" s="6"/>
      <c r="I394" s="6"/>
      <c r="J394" s="6"/>
      <c r="K394" s="6"/>
      <c r="L394" s="6"/>
      <c r="M394" s="6"/>
      <c r="N394" s="6"/>
      <c r="O394" s="6"/>
      <c r="P394" s="6"/>
    </row>
    <row r="395" spans="1:16">
      <c r="A395" s="82"/>
      <c r="B395" s="82"/>
      <c r="C395" s="83"/>
      <c r="D395" s="6"/>
      <c r="E395" s="6"/>
      <c r="F395" s="6"/>
      <c r="G395" s="6"/>
      <c r="H395" s="6"/>
      <c r="I395" s="6"/>
      <c r="J395" s="6"/>
      <c r="K395" s="6"/>
      <c r="L395" s="6"/>
      <c r="M395" s="6"/>
      <c r="N395" s="6"/>
      <c r="O395" s="6"/>
      <c r="P395" s="6"/>
    </row>
    <row r="396" spans="1:16">
      <c r="A396" s="82"/>
      <c r="B396" s="82"/>
      <c r="C396" s="83"/>
      <c r="D396" s="6"/>
      <c r="E396" s="6"/>
      <c r="F396" s="6"/>
      <c r="G396" s="6"/>
      <c r="H396" s="6"/>
      <c r="I396" s="6"/>
      <c r="J396" s="6"/>
      <c r="K396" s="6"/>
      <c r="L396" s="6"/>
      <c r="M396" s="6"/>
      <c r="N396" s="6"/>
      <c r="O396" s="6"/>
      <c r="P396" s="6"/>
    </row>
    <row r="397" spans="1:16">
      <c r="A397" s="82"/>
      <c r="B397" s="82"/>
      <c r="C397" s="83"/>
      <c r="D397" s="6"/>
      <c r="E397" s="6"/>
      <c r="F397" s="6"/>
      <c r="G397" s="6"/>
      <c r="H397" s="6"/>
      <c r="I397" s="6"/>
      <c r="J397" s="6"/>
      <c r="K397" s="6"/>
      <c r="L397" s="6"/>
      <c r="M397" s="6"/>
      <c r="N397" s="6"/>
      <c r="O397" s="6"/>
      <c r="P397" s="6"/>
    </row>
    <row r="398" spans="1:16">
      <c r="A398" s="82"/>
      <c r="B398" s="82"/>
      <c r="C398" s="83"/>
      <c r="D398" s="6"/>
      <c r="E398" s="6"/>
      <c r="F398" s="6"/>
      <c r="G398" s="6"/>
      <c r="H398" s="6"/>
      <c r="I398" s="6"/>
      <c r="J398" s="6"/>
      <c r="K398" s="6"/>
      <c r="L398" s="6"/>
      <c r="M398" s="6"/>
      <c r="N398" s="6"/>
      <c r="O398" s="6"/>
      <c r="P398" s="6"/>
    </row>
    <row r="399" spans="1:16">
      <c r="A399" s="82"/>
      <c r="B399" s="82"/>
      <c r="C399" s="83"/>
      <c r="D399" s="6"/>
      <c r="E399" s="6"/>
      <c r="F399" s="6"/>
      <c r="G399" s="6"/>
      <c r="H399" s="6"/>
      <c r="I399" s="6"/>
      <c r="J399" s="6"/>
      <c r="K399" s="6"/>
      <c r="L399" s="6"/>
      <c r="M399" s="6"/>
      <c r="N399" s="6"/>
      <c r="O399" s="6"/>
      <c r="P399" s="6"/>
    </row>
    <row r="400" spans="1:16">
      <c r="A400" s="82"/>
      <c r="B400" s="82"/>
      <c r="C400" s="83"/>
      <c r="D400" s="6"/>
      <c r="E400" s="6"/>
      <c r="F400" s="6"/>
      <c r="G400" s="6"/>
      <c r="H400" s="6"/>
      <c r="I400" s="6"/>
      <c r="J400" s="6"/>
      <c r="K400" s="6"/>
      <c r="L400" s="6"/>
      <c r="M400" s="6"/>
      <c r="N400" s="6"/>
      <c r="O400" s="6"/>
      <c r="P400" s="6"/>
    </row>
    <row r="401" spans="1:16">
      <c r="A401" s="82"/>
      <c r="B401" s="82"/>
      <c r="C401" s="83"/>
      <c r="D401" s="6"/>
      <c r="E401" s="6"/>
      <c r="F401" s="6"/>
      <c r="G401" s="6"/>
      <c r="H401" s="6"/>
      <c r="I401" s="6"/>
      <c r="J401" s="6"/>
      <c r="K401" s="6"/>
      <c r="L401" s="6"/>
      <c r="M401" s="6"/>
      <c r="N401" s="6"/>
      <c r="O401" s="6"/>
      <c r="P401" s="6"/>
    </row>
    <row r="402" spans="1:16">
      <c r="A402" s="82"/>
      <c r="B402" s="82"/>
      <c r="C402" s="83"/>
      <c r="D402" s="6"/>
      <c r="E402" s="6"/>
      <c r="F402" s="6"/>
      <c r="G402" s="6"/>
      <c r="H402" s="6"/>
      <c r="I402" s="6"/>
      <c r="J402" s="6"/>
      <c r="K402" s="6"/>
      <c r="L402" s="6"/>
      <c r="M402" s="6"/>
      <c r="N402" s="6"/>
      <c r="O402" s="6"/>
      <c r="P402" s="6"/>
    </row>
    <row r="403" spans="1:16">
      <c r="A403" s="82"/>
      <c r="B403" s="82"/>
      <c r="C403" s="83"/>
      <c r="D403" s="6"/>
      <c r="E403" s="6"/>
      <c r="F403" s="6"/>
      <c r="G403" s="6"/>
      <c r="H403" s="6"/>
      <c r="I403" s="6"/>
      <c r="J403" s="6"/>
      <c r="K403" s="6"/>
      <c r="L403" s="6"/>
      <c r="M403" s="6"/>
      <c r="N403" s="6"/>
      <c r="O403" s="6"/>
      <c r="P403" s="6"/>
    </row>
    <row r="404" spans="1:16">
      <c r="A404" s="82"/>
      <c r="B404" s="82"/>
      <c r="C404" s="83"/>
      <c r="D404" s="6"/>
      <c r="E404" s="6"/>
      <c r="F404" s="6"/>
      <c r="G404" s="6"/>
      <c r="H404" s="6"/>
      <c r="I404" s="6"/>
      <c r="J404" s="6"/>
      <c r="K404" s="6"/>
      <c r="L404" s="6"/>
      <c r="M404" s="6"/>
      <c r="N404" s="6"/>
      <c r="O404" s="6"/>
      <c r="P404" s="6"/>
    </row>
    <row r="405" spans="1:16">
      <c r="A405" s="82"/>
      <c r="B405" s="82"/>
      <c r="C405" s="83"/>
      <c r="D405" s="6"/>
      <c r="E405" s="6"/>
      <c r="F405" s="6"/>
      <c r="G405" s="6"/>
      <c r="H405" s="6"/>
      <c r="I405" s="6"/>
      <c r="J405" s="6"/>
      <c r="K405" s="6"/>
      <c r="L405" s="6"/>
      <c r="M405" s="6"/>
      <c r="N405" s="6"/>
      <c r="O405" s="6"/>
      <c r="P405" s="6"/>
    </row>
    <row r="406" spans="1:16">
      <c r="A406" s="82"/>
      <c r="B406" s="82"/>
      <c r="C406" s="83"/>
      <c r="D406" s="6"/>
      <c r="E406" s="6"/>
      <c r="F406" s="6"/>
      <c r="G406" s="6"/>
      <c r="H406" s="6"/>
      <c r="I406" s="6"/>
      <c r="J406" s="6"/>
      <c r="K406" s="6"/>
      <c r="L406" s="6"/>
      <c r="M406" s="6"/>
      <c r="N406" s="6"/>
      <c r="O406" s="6"/>
      <c r="P406" s="6"/>
    </row>
    <row r="407" spans="1:16">
      <c r="A407" s="82"/>
      <c r="B407" s="82"/>
      <c r="C407" s="83"/>
      <c r="D407" s="6"/>
      <c r="E407" s="6"/>
      <c r="F407" s="6"/>
      <c r="G407" s="6"/>
      <c r="H407" s="6"/>
      <c r="I407" s="6"/>
      <c r="J407" s="6"/>
      <c r="K407" s="6"/>
      <c r="L407" s="6"/>
      <c r="M407" s="6"/>
      <c r="N407" s="6"/>
      <c r="O407" s="6"/>
      <c r="P407" s="6"/>
    </row>
    <row r="408" spans="1:16">
      <c r="A408" s="82"/>
      <c r="B408" s="82"/>
      <c r="C408" s="83"/>
      <c r="D408" s="6"/>
      <c r="E408" s="6"/>
      <c r="F408" s="6"/>
      <c r="G408" s="6"/>
      <c r="H408" s="6"/>
      <c r="I408" s="6"/>
      <c r="J408" s="6"/>
      <c r="K408" s="6"/>
      <c r="L408" s="6"/>
      <c r="M408" s="6"/>
      <c r="N408" s="6"/>
      <c r="O408" s="6"/>
      <c r="P408" s="6"/>
    </row>
    <row r="409" spans="1:16">
      <c r="A409" s="82"/>
      <c r="B409" s="82"/>
      <c r="C409" s="83"/>
      <c r="D409" s="6"/>
      <c r="E409" s="6"/>
      <c r="F409" s="6"/>
      <c r="G409" s="6"/>
      <c r="H409" s="6"/>
      <c r="I409" s="6"/>
      <c r="J409" s="6"/>
      <c r="K409" s="6"/>
      <c r="L409" s="6"/>
      <c r="M409" s="6"/>
      <c r="N409" s="6"/>
      <c r="O409" s="6"/>
      <c r="P409" s="6"/>
    </row>
    <row r="410" spans="1:16">
      <c r="A410" s="82"/>
      <c r="B410" s="82"/>
      <c r="C410" s="83"/>
      <c r="D410" s="6"/>
      <c r="E410" s="6"/>
      <c r="F410" s="6"/>
      <c r="G410" s="6"/>
      <c r="H410" s="6"/>
      <c r="I410" s="6"/>
      <c r="J410" s="6"/>
      <c r="K410" s="6"/>
      <c r="L410" s="6"/>
      <c r="M410" s="6"/>
      <c r="N410" s="6"/>
      <c r="O410" s="6"/>
      <c r="P410" s="6"/>
    </row>
    <row r="411" spans="1:16">
      <c r="A411" s="82"/>
      <c r="B411" s="82"/>
      <c r="C411" s="83"/>
      <c r="D411" s="6"/>
      <c r="E411" s="6"/>
      <c r="F411" s="6"/>
      <c r="G411" s="6"/>
      <c r="H411" s="6"/>
      <c r="I411" s="6"/>
      <c r="J411" s="6"/>
      <c r="K411" s="6"/>
      <c r="L411" s="6"/>
      <c r="M411" s="6"/>
      <c r="N411" s="6"/>
      <c r="O411" s="6"/>
      <c r="P411" s="6"/>
    </row>
    <row r="412" spans="1:16">
      <c r="A412" s="82"/>
      <c r="B412" s="82"/>
      <c r="C412" s="83"/>
      <c r="D412" s="6"/>
      <c r="E412" s="6"/>
      <c r="F412" s="6"/>
      <c r="G412" s="6"/>
      <c r="H412" s="6"/>
      <c r="I412" s="6"/>
      <c r="J412" s="6"/>
      <c r="K412" s="6"/>
      <c r="L412" s="6"/>
      <c r="M412" s="6"/>
      <c r="N412" s="6"/>
      <c r="O412" s="6"/>
      <c r="P412" s="6"/>
    </row>
    <row r="413" spans="1:16">
      <c r="A413" s="82"/>
      <c r="B413" s="82"/>
      <c r="C413" s="83"/>
      <c r="D413" s="6"/>
      <c r="E413" s="6"/>
      <c r="F413" s="6"/>
      <c r="G413" s="6"/>
      <c r="H413" s="6"/>
      <c r="I413" s="6"/>
      <c r="J413" s="6"/>
      <c r="K413" s="6"/>
      <c r="L413" s="6"/>
      <c r="M413" s="6"/>
      <c r="N413" s="6"/>
      <c r="O413" s="6"/>
      <c r="P413" s="6"/>
    </row>
    <row r="414" spans="1:16">
      <c r="A414" s="82"/>
      <c r="B414" s="82"/>
      <c r="C414" s="83"/>
      <c r="D414" s="6"/>
      <c r="E414" s="6"/>
      <c r="F414" s="6"/>
      <c r="G414" s="6"/>
      <c r="H414" s="6"/>
      <c r="I414" s="6"/>
      <c r="J414" s="6"/>
      <c r="K414" s="6"/>
      <c r="L414" s="6"/>
      <c r="M414" s="6"/>
      <c r="N414" s="6"/>
      <c r="O414" s="6"/>
      <c r="P414" s="6"/>
    </row>
    <row r="415" spans="1:16">
      <c r="A415" s="82"/>
      <c r="B415" s="82"/>
      <c r="C415" s="83"/>
      <c r="D415" s="6"/>
      <c r="E415" s="6"/>
      <c r="F415" s="6"/>
      <c r="G415" s="6"/>
      <c r="H415" s="6"/>
      <c r="I415" s="6"/>
      <c r="J415" s="6"/>
      <c r="K415" s="6"/>
      <c r="L415" s="6"/>
      <c r="M415" s="6"/>
      <c r="N415" s="6"/>
      <c r="O415" s="6"/>
      <c r="P415" s="6"/>
    </row>
    <row r="416" spans="1:16">
      <c r="A416" s="82"/>
      <c r="B416" s="82"/>
      <c r="C416" s="83"/>
      <c r="D416" s="6"/>
      <c r="E416" s="6"/>
      <c r="F416" s="6"/>
      <c r="G416" s="6"/>
      <c r="H416" s="6"/>
      <c r="I416" s="6"/>
      <c r="J416" s="6"/>
      <c r="K416" s="6"/>
      <c r="L416" s="6"/>
      <c r="M416" s="6"/>
      <c r="N416" s="6"/>
      <c r="O416" s="6"/>
      <c r="P416" s="6"/>
    </row>
    <row r="417" spans="1:16">
      <c r="A417" s="82"/>
      <c r="B417" s="82"/>
      <c r="C417" s="83"/>
      <c r="D417" s="6"/>
      <c r="E417" s="6"/>
      <c r="F417" s="6"/>
      <c r="G417" s="6"/>
      <c r="H417" s="6"/>
      <c r="I417" s="6"/>
      <c r="J417" s="6"/>
      <c r="K417" s="6"/>
      <c r="L417" s="6"/>
      <c r="M417" s="6"/>
      <c r="N417" s="6"/>
      <c r="O417" s="6"/>
      <c r="P417" s="6"/>
    </row>
    <row r="418" spans="1:16">
      <c r="A418" s="82"/>
      <c r="B418" s="82"/>
      <c r="C418" s="83"/>
      <c r="D418" s="6"/>
      <c r="E418" s="6"/>
      <c r="F418" s="6"/>
      <c r="G418" s="6"/>
      <c r="H418" s="6"/>
      <c r="I418" s="6"/>
      <c r="J418" s="6"/>
      <c r="K418" s="6"/>
      <c r="L418" s="6"/>
      <c r="M418" s="6"/>
      <c r="N418" s="6"/>
      <c r="O418" s="6"/>
      <c r="P418" s="6"/>
    </row>
    <row r="419" spans="1:16">
      <c r="A419" s="82"/>
      <c r="B419" s="82"/>
      <c r="C419" s="83"/>
      <c r="D419" s="6"/>
      <c r="E419" s="6"/>
      <c r="F419" s="6"/>
      <c r="G419" s="6"/>
      <c r="H419" s="6"/>
      <c r="I419" s="6"/>
      <c r="J419" s="6"/>
      <c r="K419" s="6"/>
      <c r="L419" s="6"/>
      <c r="M419" s="6"/>
      <c r="N419" s="6"/>
      <c r="O419" s="6"/>
      <c r="P419" s="6"/>
    </row>
    <row r="420" spans="1:16">
      <c r="A420" s="82"/>
      <c r="B420" s="82"/>
      <c r="C420" s="83"/>
      <c r="D420" s="6"/>
      <c r="E420" s="6"/>
      <c r="F420" s="6"/>
      <c r="G420" s="6"/>
      <c r="H420" s="6"/>
      <c r="I420" s="6"/>
      <c r="J420" s="6"/>
      <c r="K420" s="6"/>
      <c r="L420" s="6"/>
      <c r="M420" s="6"/>
      <c r="N420" s="6"/>
      <c r="O420" s="6"/>
      <c r="P420" s="6"/>
    </row>
    <row r="421" spans="1:16">
      <c r="A421" s="82"/>
      <c r="B421" s="82"/>
      <c r="C421" s="83"/>
      <c r="D421" s="6"/>
      <c r="E421" s="6"/>
      <c r="F421" s="6"/>
      <c r="G421" s="6"/>
      <c r="H421" s="6"/>
      <c r="I421" s="6"/>
      <c r="J421" s="6"/>
      <c r="K421" s="6"/>
      <c r="L421" s="6"/>
      <c r="M421" s="6"/>
      <c r="N421" s="6"/>
      <c r="O421" s="6"/>
      <c r="P421" s="6"/>
    </row>
    <row r="422" spans="1:16">
      <c r="A422" s="82"/>
      <c r="B422" s="82"/>
      <c r="C422" s="83"/>
      <c r="D422" s="6"/>
      <c r="E422" s="6"/>
      <c r="F422" s="6"/>
      <c r="G422" s="6"/>
      <c r="H422" s="6"/>
      <c r="I422" s="6"/>
      <c r="J422" s="6"/>
      <c r="K422" s="6"/>
      <c r="L422" s="6"/>
      <c r="M422" s="6"/>
      <c r="N422" s="6"/>
      <c r="O422" s="6"/>
      <c r="P422" s="6"/>
    </row>
    <row r="423" spans="1:16">
      <c r="A423" s="82"/>
      <c r="B423" s="82"/>
      <c r="C423" s="83"/>
      <c r="D423" s="6"/>
      <c r="E423" s="6"/>
      <c r="F423" s="6"/>
      <c r="G423" s="6"/>
      <c r="H423" s="6"/>
      <c r="I423" s="6"/>
      <c r="J423" s="6"/>
      <c r="K423" s="6"/>
      <c r="L423" s="6"/>
      <c r="M423" s="6"/>
      <c r="N423" s="6"/>
      <c r="O423" s="6"/>
      <c r="P423" s="6"/>
    </row>
    <row r="424" spans="1:16">
      <c r="A424" s="82"/>
      <c r="B424" s="82"/>
      <c r="C424" s="83"/>
      <c r="D424" s="6"/>
      <c r="E424" s="6"/>
      <c r="F424" s="6"/>
      <c r="G424" s="6"/>
      <c r="H424" s="6"/>
      <c r="I424" s="6"/>
      <c r="J424" s="6"/>
      <c r="K424" s="6"/>
      <c r="L424" s="6"/>
      <c r="M424" s="6"/>
      <c r="N424" s="6"/>
      <c r="O424" s="6"/>
      <c r="P424" s="6"/>
    </row>
    <row r="425" spans="1:16">
      <c r="A425" s="82"/>
      <c r="B425" s="82"/>
      <c r="C425" s="83"/>
      <c r="D425" s="6"/>
      <c r="E425" s="6"/>
      <c r="F425" s="6"/>
      <c r="G425" s="6"/>
      <c r="H425" s="6"/>
      <c r="I425" s="6"/>
      <c r="J425" s="6"/>
      <c r="K425" s="6"/>
      <c r="L425" s="6"/>
      <c r="M425" s="6"/>
      <c r="N425" s="6"/>
      <c r="O425" s="6"/>
      <c r="P425" s="6"/>
    </row>
    <row r="426" spans="1:16">
      <c r="A426" s="82"/>
      <c r="B426" s="82"/>
      <c r="C426" s="83"/>
      <c r="D426" s="6"/>
      <c r="E426" s="6"/>
      <c r="F426" s="6"/>
      <c r="G426" s="6"/>
      <c r="H426" s="6"/>
      <c r="I426" s="6"/>
      <c r="J426" s="6"/>
      <c r="K426" s="6"/>
      <c r="L426" s="6"/>
      <c r="M426" s="6"/>
      <c r="N426" s="6"/>
      <c r="O426" s="6"/>
      <c r="P426" s="6"/>
    </row>
    <row r="427" spans="1:16">
      <c r="A427" s="82"/>
      <c r="B427" s="82"/>
      <c r="C427" s="83"/>
      <c r="D427" s="6"/>
      <c r="E427" s="6"/>
      <c r="F427" s="6"/>
      <c r="G427" s="6"/>
      <c r="H427" s="6"/>
      <c r="I427" s="6"/>
      <c r="J427" s="6"/>
      <c r="K427" s="6"/>
      <c r="L427" s="6"/>
      <c r="M427" s="6"/>
      <c r="N427" s="6"/>
      <c r="O427" s="6"/>
      <c r="P427" s="6"/>
    </row>
    <row r="428" spans="1:16">
      <c r="A428" s="82"/>
      <c r="B428" s="82"/>
      <c r="C428" s="83"/>
      <c r="D428" s="6"/>
      <c r="E428" s="6"/>
      <c r="F428" s="6"/>
      <c r="G428" s="6"/>
      <c r="H428" s="6"/>
      <c r="I428" s="6"/>
      <c r="J428" s="6"/>
      <c r="K428" s="6"/>
      <c r="L428" s="6"/>
      <c r="M428" s="6"/>
      <c r="N428" s="6"/>
      <c r="O428" s="6"/>
      <c r="P428" s="6"/>
    </row>
    <row r="429" spans="1:16">
      <c r="A429" s="82"/>
      <c r="B429" s="82"/>
      <c r="C429" s="83"/>
      <c r="D429" s="6"/>
      <c r="E429" s="6"/>
      <c r="F429" s="6"/>
      <c r="G429" s="6"/>
      <c r="H429" s="6"/>
      <c r="I429" s="6"/>
      <c r="J429" s="6"/>
      <c r="K429" s="6"/>
      <c r="L429" s="6"/>
      <c r="M429" s="6"/>
      <c r="N429" s="6"/>
      <c r="O429" s="6"/>
      <c r="P429" s="6"/>
    </row>
    <row r="430" spans="1:16">
      <c r="A430" s="82"/>
      <c r="B430" s="82"/>
      <c r="C430" s="83"/>
      <c r="D430" s="6"/>
      <c r="E430" s="6"/>
      <c r="F430" s="6"/>
      <c r="G430" s="6"/>
      <c r="H430" s="6"/>
      <c r="I430" s="6"/>
      <c r="J430" s="6"/>
      <c r="K430" s="6"/>
      <c r="L430" s="6"/>
      <c r="M430" s="6"/>
      <c r="N430" s="6"/>
      <c r="O430" s="6"/>
      <c r="P430" s="6"/>
    </row>
    <row r="431" spans="1:16">
      <c r="A431" s="82"/>
      <c r="B431" s="82"/>
      <c r="C431" s="83"/>
      <c r="D431" s="6"/>
      <c r="E431" s="6"/>
      <c r="F431" s="6"/>
      <c r="G431" s="6"/>
      <c r="H431" s="6"/>
      <c r="I431" s="6"/>
      <c r="J431" s="6"/>
      <c r="K431" s="6"/>
      <c r="L431" s="6"/>
      <c r="M431" s="6"/>
      <c r="N431" s="6"/>
      <c r="O431" s="6"/>
      <c r="P431" s="6"/>
    </row>
    <row r="432" spans="1:16">
      <c r="A432" s="82"/>
      <c r="B432" s="82"/>
      <c r="C432" s="83"/>
      <c r="D432" s="6"/>
      <c r="E432" s="6"/>
      <c r="F432" s="6"/>
      <c r="G432" s="6"/>
      <c r="H432" s="6"/>
      <c r="I432" s="6"/>
      <c r="J432" s="6"/>
      <c r="K432" s="6"/>
      <c r="L432" s="6"/>
      <c r="M432" s="6"/>
      <c r="N432" s="6"/>
      <c r="O432" s="6"/>
      <c r="P432" s="6"/>
    </row>
    <row r="433" spans="1:16">
      <c r="A433" s="82"/>
      <c r="B433" s="82"/>
      <c r="C433" s="83"/>
      <c r="D433" s="6"/>
      <c r="E433" s="6"/>
      <c r="F433" s="6"/>
      <c r="G433" s="6"/>
      <c r="H433" s="6"/>
      <c r="I433" s="6"/>
      <c r="J433" s="6"/>
      <c r="K433" s="6"/>
      <c r="L433" s="6"/>
      <c r="M433" s="6"/>
      <c r="N433" s="6"/>
      <c r="O433" s="6"/>
      <c r="P433" s="6"/>
    </row>
    <row r="434" spans="1:16">
      <c r="A434" s="82"/>
      <c r="B434" s="82"/>
      <c r="C434" s="83"/>
      <c r="D434" s="6"/>
      <c r="E434" s="6"/>
      <c r="F434" s="6"/>
      <c r="G434" s="6"/>
      <c r="H434" s="6"/>
      <c r="I434" s="6"/>
      <c r="J434" s="6"/>
      <c r="K434" s="6"/>
      <c r="L434" s="6"/>
      <c r="M434" s="6"/>
      <c r="N434" s="6"/>
      <c r="O434" s="6"/>
      <c r="P434" s="6"/>
    </row>
    <row r="435" spans="1:16">
      <c r="A435" s="82"/>
      <c r="B435" s="82"/>
      <c r="C435" s="83"/>
      <c r="D435" s="6"/>
      <c r="E435" s="6"/>
      <c r="F435" s="6"/>
      <c r="G435" s="6"/>
      <c r="H435" s="6"/>
      <c r="I435" s="6"/>
      <c r="J435" s="6"/>
      <c r="K435" s="6"/>
      <c r="L435" s="6"/>
      <c r="M435" s="6"/>
      <c r="N435" s="6"/>
      <c r="O435" s="6"/>
      <c r="P435" s="6"/>
    </row>
    <row r="436" spans="1:16">
      <c r="A436" s="82"/>
      <c r="B436" s="82"/>
      <c r="C436" s="83"/>
      <c r="D436" s="6"/>
      <c r="E436" s="6"/>
      <c r="F436" s="6"/>
      <c r="G436" s="6"/>
      <c r="H436" s="6"/>
      <c r="I436" s="6"/>
      <c r="J436" s="6"/>
      <c r="K436" s="6"/>
      <c r="L436" s="6"/>
      <c r="M436" s="6"/>
      <c r="N436" s="6"/>
      <c r="O436" s="6"/>
      <c r="P436" s="6"/>
    </row>
    <row r="437" spans="1:16">
      <c r="A437" s="82"/>
      <c r="B437" s="82"/>
      <c r="C437" s="83"/>
      <c r="D437" s="6"/>
      <c r="E437" s="6"/>
      <c r="F437" s="6"/>
      <c r="G437" s="6"/>
      <c r="H437" s="6"/>
      <c r="I437" s="6"/>
      <c r="J437" s="6"/>
      <c r="K437" s="6"/>
      <c r="L437" s="6"/>
      <c r="M437" s="6"/>
      <c r="N437" s="6"/>
      <c r="O437" s="6"/>
      <c r="P437" s="6"/>
    </row>
    <row r="438" spans="1:16">
      <c r="A438" s="82"/>
      <c r="B438" s="82"/>
      <c r="C438" s="83"/>
      <c r="D438" s="6"/>
      <c r="E438" s="6"/>
      <c r="F438" s="6"/>
      <c r="G438" s="6"/>
      <c r="H438" s="6"/>
      <c r="I438" s="6"/>
      <c r="J438" s="6"/>
      <c r="K438" s="6"/>
      <c r="L438" s="6"/>
      <c r="M438" s="6"/>
      <c r="N438" s="6"/>
      <c r="O438" s="6"/>
      <c r="P438" s="6"/>
    </row>
    <row r="439" spans="1:16">
      <c r="A439" s="82"/>
      <c r="B439" s="82"/>
      <c r="C439" s="83"/>
      <c r="D439" s="6"/>
      <c r="E439" s="6"/>
      <c r="F439" s="6"/>
      <c r="G439" s="6"/>
      <c r="H439" s="6"/>
      <c r="I439" s="6"/>
      <c r="J439" s="6"/>
      <c r="K439" s="6"/>
      <c r="L439" s="6"/>
      <c r="M439" s="6"/>
      <c r="N439" s="6"/>
      <c r="O439" s="6"/>
      <c r="P439" s="6"/>
    </row>
    <row r="440" spans="1:16">
      <c r="A440" s="82"/>
      <c r="B440" s="82"/>
      <c r="C440" s="83"/>
      <c r="D440" s="6"/>
      <c r="E440" s="6"/>
      <c r="F440" s="6"/>
      <c r="G440" s="6"/>
      <c r="H440" s="6"/>
      <c r="I440" s="6"/>
      <c r="J440" s="6"/>
      <c r="K440" s="6"/>
      <c r="L440" s="6"/>
      <c r="M440" s="6"/>
      <c r="N440" s="6"/>
      <c r="O440" s="6"/>
      <c r="P440" s="6"/>
    </row>
    <row r="441" spans="1:16">
      <c r="A441" s="82"/>
      <c r="B441" s="82"/>
      <c r="C441" s="83"/>
      <c r="D441" s="6"/>
      <c r="E441" s="6"/>
      <c r="F441" s="6"/>
      <c r="G441" s="6"/>
      <c r="H441" s="6"/>
      <c r="I441" s="6"/>
      <c r="J441" s="6"/>
      <c r="K441" s="6"/>
      <c r="L441" s="6"/>
      <c r="M441" s="6"/>
      <c r="N441" s="6"/>
      <c r="O441" s="6"/>
      <c r="P441" s="6"/>
    </row>
    <row r="442" spans="1:16">
      <c r="A442" s="82"/>
      <c r="B442" s="82"/>
      <c r="C442" s="83"/>
      <c r="D442" s="6"/>
      <c r="E442" s="6"/>
      <c r="F442" s="6"/>
      <c r="G442" s="6"/>
      <c r="H442" s="6"/>
      <c r="I442" s="6"/>
      <c r="J442" s="6"/>
      <c r="K442" s="6"/>
      <c r="L442" s="6"/>
      <c r="M442" s="6"/>
      <c r="N442" s="6"/>
      <c r="O442" s="6"/>
      <c r="P442" s="6"/>
    </row>
    <row r="443" spans="1:16">
      <c r="A443" s="82"/>
      <c r="B443" s="82"/>
      <c r="C443" s="83"/>
      <c r="D443" s="6"/>
      <c r="E443" s="6"/>
      <c r="F443" s="6"/>
      <c r="G443" s="6"/>
      <c r="H443" s="6"/>
      <c r="I443" s="6"/>
      <c r="J443" s="6"/>
      <c r="K443" s="6"/>
      <c r="L443" s="6"/>
      <c r="M443" s="6"/>
      <c r="N443" s="6"/>
      <c r="O443" s="6"/>
      <c r="P443" s="6"/>
    </row>
    <row r="444" spans="1:16">
      <c r="A444" s="82"/>
      <c r="B444" s="82"/>
      <c r="C444" s="83"/>
      <c r="D444" s="6"/>
      <c r="E444" s="6"/>
      <c r="F444" s="6"/>
      <c r="G444" s="6"/>
      <c r="H444" s="6"/>
      <c r="I444" s="6"/>
      <c r="J444" s="6"/>
      <c r="K444" s="6"/>
      <c r="L444" s="6"/>
      <c r="M444" s="6"/>
      <c r="N444" s="6"/>
      <c r="O444" s="6"/>
      <c r="P444" s="6"/>
    </row>
    <row r="445" spans="1:16">
      <c r="A445" s="82"/>
      <c r="B445" s="82"/>
      <c r="C445" s="83"/>
      <c r="D445" s="6"/>
      <c r="E445" s="6"/>
      <c r="F445" s="6"/>
      <c r="G445" s="6"/>
      <c r="H445" s="6"/>
      <c r="I445" s="6"/>
      <c r="J445" s="6"/>
      <c r="K445" s="6"/>
      <c r="L445" s="6"/>
      <c r="M445" s="6"/>
      <c r="N445" s="6"/>
      <c r="O445" s="6"/>
      <c r="P445" s="6"/>
    </row>
    <row r="446" spans="1:16">
      <c r="A446" s="82"/>
      <c r="B446" s="82"/>
      <c r="C446" s="83"/>
      <c r="D446" s="6"/>
      <c r="E446" s="6"/>
      <c r="F446" s="6"/>
      <c r="G446" s="6"/>
      <c r="H446" s="6"/>
      <c r="I446" s="6"/>
      <c r="J446" s="6"/>
      <c r="K446" s="6"/>
      <c r="L446" s="6"/>
      <c r="M446" s="6"/>
      <c r="N446" s="6"/>
      <c r="O446" s="6"/>
      <c r="P446" s="6"/>
    </row>
    <row r="447" spans="1:16">
      <c r="A447" s="82"/>
      <c r="B447" s="82"/>
      <c r="C447" s="83"/>
      <c r="D447" s="6"/>
      <c r="E447" s="6"/>
      <c r="F447" s="6"/>
      <c r="G447" s="6"/>
      <c r="H447" s="6"/>
      <c r="I447" s="6"/>
      <c r="J447" s="6"/>
      <c r="K447" s="6"/>
      <c r="L447" s="6"/>
      <c r="M447" s="6"/>
      <c r="N447" s="6"/>
      <c r="O447" s="6"/>
      <c r="P447" s="6"/>
    </row>
    <row r="448" spans="1:16">
      <c r="A448" s="82"/>
      <c r="B448" s="82"/>
      <c r="C448" s="83"/>
      <c r="D448" s="6"/>
      <c r="E448" s="6"/>
      <c r="F448" s="6"/>
      <c r="G448" s="6"/>
      <c r="H448" s="6"/>
      <c r="I448" s="6"/>
      <c r="J448" s="6"/>
      <c r="K448" s="6"/>
      <c r="L448" s="6"/>
      <c r="M448" s="6"/>
      <c r="N448" s="6"/>
      <c r="O448" s="6"/>
      <c r="P448" s="6"/>
    </row>
    <row r="449" spans="1:16">
      <c r="A449" s="82"/>
      <c r="B449" s="82"/>
      <c r="C449" s="83"/>
      <c r="D449" s="6"/>
      <c r="E449" s="6"/>
      <c r="F449" s="6"/>
      <c r="G449" s="6"/>
      <c r="H449" s="6"/>
      <c r="I449" s="6"/>
      <c r="J449" s="6"/>
      <c r="K449" s="6"/>
      <c r="L449" s="6"/>
      <c r="M449" s="6"/>
      <c r="N449" s="6"/>
      <c r="O449" s="6"/>
      <c r="P449" s="6"/>
    </row>
    <row r="450" spans="1:16">
      <c r="A450" s="82"/>
      <c r="B450" s="82"/>
      <c r="C450" s="83"/>
      <c r="D450" s="6"/>
      <c r="E450" s="6"/>
      <c r="F450" s="6"/>
      <c r="G450" s="6"/>
      <c r="H450" s="6"/>
      <c r="I450" s="6"/>
      <c r="J450" s="6"/>
      <c r="K450" s="6"/>
      <c r="L450" s="6"/>
      <c r="M450" s="6"/>
      <c r="N450" s="6"/>
      <c r="O450" s="6"/>
      <c r="P450" s="6"/>
    </row>
    <row r="451" spans="1:16">
      <c r="A451" s="82"/>
      <c r="B451" s="82"/>
      <c r="C451" s="83"/>
      <c r="D451" s="6"/>
      <c r="E451" s="6"/>
      <c r="F451" s="6"/>
      <c r="G451" s="6"/>
      <c r="H451" s="6"/>
      <c r="I451" s="6"/>
      <c r="J451" s="6"/>
      <c r="K451" s="6"/>
      <c r="L451" s="6"/>
      <c r="M451" s="6"/>
      <c r="N451" s="6"/>
      <c r="O451" s="6"/>
      <c r="P451" s="6"/>
    </row>
    <row r="452" spans="1:16">
      <c r="A452" s="82"/>
      <c r="B452" s="82"/>
      <c r="C452" s="83"/>
      <c r="D452" s="6"/>
      <c r="E452" s="6"/>
      <c r="F452" s="6"/>
      <c r="G452" s="6"/>
      <c r="H452" s="6"/>
      <c r="I452" s="6"/>
      <c r="J452" s="6"/>
      <c r="K452" s="6"/>
      <c r="L452" s="6"/>
      <c r="M452" s="6"/>
      <c r="N452" s="6"/>
      <c r="O452" s="6"/>
      <c r="P452" s="6"/>
    </row>
    <row r="453" spans="1:16">
      <c r="A453" s="82"/>
      <c r="B453" s="82"/>
      <c r="C453" s="83"/>
      <c r="D453" s="6"/>
      <c r="E453" s="6"/>
      <c r="F453" s="6"/>
      <c r="G453" s="6"/>
      <c r="H453" s="6"/>
      <c r="I453" s="6"/>
      <c r="J453" s="6"/>
      <c r="K453" s="6"/>
      <c r="L453" s="6"/>
      <c r="M453" s="6"/>
      <c r="N453" s="6"/>
      <c r="O453" s="6"/>
      <c r="P453" s="6"/>
    </row>
    <row r="454" spans="1:16">
      <c r="A454" s="82"/>
      <c r="B454" s="82"/>
      <c r="C454" s="83"/>
      <c r="D454" s="6"/>
      <c r="E454" s="6"/>
      <c r="F454" s="6"/>
      <c r="G454" s="6"/>
      <c r="H454" s="6"/>
      <c r="I454" s="6"/>
      <c r="J454" s="6"/>
      <c r="K454" s="6"/>
      <c r="L454" s="6"/>
      <c r="M454" s="6"/>
      <c r="N454" s="6"/>
      <c r="O454" s="6"/>
      <c r="P454" s="6"/>
    </row>
    <row r="455" spans="1:16">
      <c r="A455" s="82"/>
      <c r="B455" s="82"/>
      <c r="C455" s="83"/>
      <c r="D455" s="6"/>
      <c r="E455" s="6"/>
      <c r="F455" s="6"/>
      <c r="G455" s="6"/>
      <c r="H455" s="6"/>
      <c r="I455" s="6"/>
      <c r="J455" s="6"/>
      <c r="K455" s="6"/>
      <c r="L455" s="6"/>
      <c r="M455" s="6"/>
      <c r="N455" s="6"/>
      <c r="O455" s="6"/>
      <c r="P455" s="6"/>
    </row>
    <row r="456" spans="1:16">
      <c r="A456" s="82"/>
      <c r="B456" s="82"/>
      <c r="C456" s="83"/>
      <c r="D456" s="6"/>
      <c r="E456" s="6"/>
      <c r="F456" s="6"/>
      <c r="G456" s="6"/>
      <c r="H456" s="6"/>
      <c r="I456" s="6"/>
      <c r="J456" s="6"/>
      <c r="K456" s="6"/>
      <c r="L456" s="6"/>
      <c r="M456" s="6"/>
      <c r="N456" s="6"/>
      <c r="O456" s="6"/>
      <c r="P456" s="6"/>
    </row>
    <row r="457" spans="1:16">
      <c r="A457" s="82"/>
      <c r="B457" s="82"/>
      <c r="C457" s="83"/>
      <c r="D457" s="6"/>
      <c r="E457" s="6"/>
      <c r="F457" s="6"/>
      <c r="G457" s="6"/>
      <c r="H457" s="6"/>
      <c r="I457" s="6"/>
      <c r="J457" s="6"/>
      <c r="K457" s="6"/>
      <c r="L457" s="6"/>
      <c r="M457" s="6"/>
      <c r="N457" s="6"/>
      <c r="O457" s="6"/>
      <c r="P457" s="6"/>
    </row>
    <row r="458" spans="1:16">
      <c r="A458" s="82"/>
      <c r="B458" s="82"/>
      <c r="C458" s="83"/>
      <c r="D458" s="6"/>
      <c r="E458" s="6"/>
      <c r="F458" s="6"/>
      <c r="G458" s="6"/>
      <c r="H458" s="6"/>
      <c r="I458" s="6"/>
      <c r="J458" s="6"/>
      <c r="K458" s="6"/>
      <c r="L458" s="6"/>
      <c r="M458" s="6"/>
      <c r="N458" s="6"/>
      <c r="O458" s="6"/>
      <c r="P458" s="6"/>
    </row>
    <row r="459" spans="1:16">
      <c r="A459" s="82"/>
      <c r="B459" s="82"/>
      <c r="C459" s="83"/>
      <c r="D459" s="6"/>
      <c r="E459" s="6"/>
      <c r="F459" s="6"/>
      <c r="G459" s="6"/>
      <c r="H459" s="6"/>
      <c r="I459" s="6"/>
      <c r="J459" s="6"/>
      <c r="K459" s="6"/>
      <c r="L459" s="6"/>
      <c r="M459" s="6"/>
      <c r="N459" s="6"/>
      <c r="O459" s="6"/>
      <c r="P459" s="6"/>
    </row>
    <row r="460" spans="1:16">
      <c r="A460" s="82"/>
      <c r="B460" s="82"/>
      <c r="C460" s="83"/>
      <c r="D460" s="6"/>
      <c r="E460" s="6"/>
      <c r="F460" s="6"/>
      <c r="G460" s="6"/>
      <c r="H460" s="6"/>
      <c r="I460" s="6"/>
      <c r="J460" s="6"/>
      <c r="K460" s="6"/>
      <c r="L460" s="6"/>
      <c r="M460" s="6"/>
      <c r="N460" s="6"/>
      <c r="O460" s="6"/>
      <c r="P460" s="6"/>
    </row>
    <row r="461" spans="1:16">
      <c r="A461" s="82"/>
      <c r="B461" s="82"/>
      <c r="C461" s="83"/>
      <c r="D461" s="6"/>
      <c r="E461" s="6"/>
      <c r="F461" s="6"/>
      <c r="G461" s="6"/>
      <c r="H461" s="6"/>
      <c r="I461" s="6"/>
      <c r="J461" s="6"/>
      <c r="K461" s="6"/>
      <c r="L461" s="6"/>
      <c r="M461" s="6"/>
      <c r="N461" s="6"/>
      <c r="O461" s="6"/>
      <c r="P461" s="6"/>
    </row>
    <row r="462" spans="1:16">
      <c r="A462" s="82"/>
      <c r="B462" s="82"/>
      <c r="C462" s="83"/>
      <c r="D462" s="6"/>
      <c r="E462" s="6"/>
      <c r="F462" s="6"/>
      <c r="G462" s="6"/>
      <c r="H462" s="6"/>
      <c r="I462" s="6"/>
      <c r="J462" s="6"/>
      <c r="K462" s="6"/>
      <c r="L462" s="6"/>
      <c r="M462" s="6"/>
      <c r="N462" s="6"/>
      <c r="O462" s="6"/>
      <c r="P462" s="6"/>
    </row>
    <row r="463" spans="1:16">
      <c r="A463" s="82"/>
      <c r="B463" s="82"/>
      <c r="C463" s="83"/>
      <c r="D463" s="6"/>
      <c r="E463" s="6"/>
      <c r="F463" s="6"/>
      <c r="G463" s="6"/>
      <c r="H463" s="6"/>
      <c r="I463" s="6"/>
      <c r="J463" s="6"/>
      <c r="K463" s="6"/>
      <c r="L463" s="6"/>
      <c r="M463" s="6"/>
      <c r="N463" s="6"/>
      <c r="O463" s="6"/>
      <c r="P463" s="6"/>
    </row>
    <row r="464" spans="1:16">
      <c r="A464" s="82"/>
      <c r="B464" s="82"/>
      <c r="C464" s="83"/>
      <c r="D464" s="6"/>
      <c r="E464" s="6"/>
      <c r="F464" s="6"/>
      <c r="G464" s="6"/>
      <c r="H464" s="6"/>
      <c r="I464" s="6"/>
      <c r="J464" s="6"/>
      <c r="K464" s="6"/>
      <c r="L464" s="6"/>
      <c r="M464" s="6"/>
      <c r="N464" s="6"/>
      <c r="O464" s="6"/>
      <c r="P464" s="6"/>
    </row>
    <row r="465" spans="1:16">
      <c r="A465" s="82"/>
      <c r="B465" s="82"/>
      <c r="C465" s="83"/>
      <c r="D465" s="6"/>
      <c r="E465" s="6"/>
      <c r="F465" s="6"/>
      <c r="G465" s="6"/>
      <c r="H465" s="6"/>
      <c r="I465" s="6"/>
      <c r="J465" s="6"/>
      <c r="K465" s="6"/>
      <c r="L465" s="6"/>
      <c r="M465" s="6"/>
      <c r="N465" s="6"/>
      <c r="O465" s="6"/>
      <c r="P465" s="6"/>
    </row>
    <row r="466" spans="1:16">
      <c r="A466" s="82"/>
      <c r="B466" s="82"/>
      <c r="C466" s="83"/>
      <c r="D466" s="6"/>
      <c r="E466" s="6"/>
      <c r="F466" s="6"/>
      <c r="G466" s="6"/>
      <c r="H466" s="6"/>
      <c r="I466" s="6"/>
      <c r="J466" s="6"/>
      <c r="K466" s="6"/>
      <c r="L466" s="6"/>
      <c r="M466" s="6"/>
      <c r="N466" s="6"/>
      <c r="O466" s="6"/>
      <c r="P466" s="6"/>
    </row>
    <row r="467" spans="1:16">
      <c r="A467" s="82"/>
      <c r="B467" s="82"/>
      <c r="C467" s="83"/>
      <c r="D467" s="6"/>
      <c r="E467" s="6"/>
      <c r="F467" s="6"/>
      <c r="G467" s="6"/>
      <c r="H467" s="6"/>
      <c r="I467" s="6"/>
      <c r="J467" s="6"/>
      <c r="K467" s="6"/>
      <c r="L467" s="6"/>
      <c r="M467" s="6"/>
      <c r="N467" s="6"/>
      <c r="O467" s="6"/>
      <c r="P467" s="6"/>
    </row>
    <row r="468" spans="1:16">
      <c r="A468" s="82"/>
      <c r="B468" s="82"/>
      <c r="C468" s="83"/>
      <c r="D468" s="6"/>
      <c r="E468" s="6"/>
      <c r="F468" s="6"/>
      <c r="G468" s="6"/>
      <c r="H468" s="6"/>
      <c r="I468" s="6"/>
      <c r="J468" s="6"/>
      <c r="K468" s="6"/>
      <c r="L468" s="6"/>
      <c r="M468" s="6"/>
      <c r="N468" s="6"/>
      <c r="O468" s="6"/>
      <c r="P468" s="6"/>
    </row>
    <row r="469" spans="1:16">
      <c r="A469" s="82"/>
      <c r="B469" s="82"/>
      <c r="C469" s="83"/>
      <c r="D469" s="6"/>
      <c r="E469" s="6"/>
      <c r="F469" s="6"/>
      <c r="G469" s="6"/>
      <c r="H469" s="6"/>
      <c r="I469" s="6"/>
      <c r="J469" s="6"/>
      <c r="K469" s="6"/>
      <c r="L469" s="6"/>
      <c r="M469" s="6"/>
      <c r="N469" s="6"/>
      <c r="O469" s="6"/>
      <c r="P469" s="6"/>
    </row>
    <row r="470" spans="1:16">
      <c r="A470" s="82"/>
      <c r="B470" s="82"/>
      <c r="C470" s="83"/>
      <c r="D470" s="6"/>
      <c r="E470" s="6"/>
      <c r="F470" s="6"/>
      <c r="G470" s="6"/>
      <c r="H470" s="6"/>
      <c r="I470" s="6"/>
      <c r="J470" s="6"/>
      <c r="K470" s="6"/>
      <c r="L470" s="6"/>
      <c r="M470" s="6"/>
      <c r="N470" s="6"/>
      <c r="O470" s="6"/>
      <c r="P470" s="6"/>
    </row>
    <row r="471" spans="1:16">
      <c r="A471" s="82"/>
      <c r="B471" s="82"/>
      <c r="C471" s="83"/>
      <c r="D471" s="6"/>
      <c r="E471" s="6"/>
      <c r="F471" s="6"/>
      <c r="G471" s="6"/>
      <c r="H471" s="6"/>
      <c r="I471" s="6"/>
      <c r="J471" s="6"/>
      <c r="K471" s="6"/>
      <c r="L471" s="6"/>
      <c r="M471" s="6"/>
      <c r="N471" s="6"/>
      <c r="O471" s="6"/>
      <c r="P471" s="6"/>
    </row>
    <row r="472" spans="1:16">
      <c r="A472" s="82"/>
      <c r="B472" s="82"/>
      <c r="C472" s="83"/>
      <c r="D472" s="6"/>
      <c r="E472" s="6"/>
      <c r="F472" s="6"/>
      <c r="G472" s="6"/>
      <c r="H472" s="6"/>
      <c r="I472" s="6"/>
      <c r="J472" s="6"/>
      <c r="K472" s="6"/>
      <c r="L472" s="6"/>
      <c r="M472" s="6"/>
      <c r="N472" s="6"/>
      <c r="O472" s="6"/>
      <c r="P472" s="6"/>
    </row>
    <row r="473" spans="1:16">
      <c r="A473" s="82"/>
      <c r="B473" s="82"/>
      <c r="C473" s="83"/>
      <c r="D473" s="6"/>
      <c r="E473" s="6"/>
      <c r="F473" s="6"/>
      <c r="G473" s="6"/>
      <c r="H473" s="6"/>
      <c r="I473" s="6"/>
      <c r="J473" s="6"/>
      <c r="K473" s="6"/>
      <c r="L473" s="6"/>
      <c r="M473" s="6"/>
      <c r="N473" s="6"/>
      <c r="O473" s="6"/>
      <c r="P473" s="6"/>
    </row>
    <row r="474" spans="1:16">
      <c r="A474" s="82"/>
      <c r="B474" s="82"/>
      <c r="C474" s="83"/>
      <c r="D474" s="6"/>
      <c r="E474" s="6"/>
      <c r="F474" s="6"/>
      <c r="G474" s="6"/>
      <c r="H474" s="6"/>
      <c r="I474" s="6"/>
      <c r="J474" s="6"/>
      <c r="K474" s="6"/>
      <c r="L474" s="6"/>
      <c r="M474" s="6"/>
      <c r="N474" s="6"/>
      <c r="O474" s="6"/>
      <c r="P474" s="6"/>
    </row>
    <row r="475" spans="1:16">
      <c r="A475" s="82"/>
      <c r="B475" s="82"/>
      <c r="C475" s="83"/>
      <c r="D475" s="6"/>
      <c r="E475" s="6"/>
      <c r="F475" s="6"/>
      <c r="G475" s="6"/>
      <c r="H475" s="6"/>
      <c r="I475" s="6"/>
      <c r="J475" s="6"/>
      <c r="K475" s="6"/>
      <c r="L475" s="6"/>
      <c r="M475" s="6"/>
      <c r="N475" s="6"/>
      <c r="O475" s="6"/>
      <c r="P475" s="6"/>
    </row>
    <row r="476" spans="1:16">
      <c r="A476" s="82"/>
      <c r="B476" s="82"/>
      <c r="C476" s="83"/>
      <c r="D476" s="6"/>
      <c r="E476" s="6"/>
      <c r="F476" s="6"/>
      <c r="G476" s="6"/>
      <c r="H476" s="6"/>
      <c r="I476" s="6"/>
      <c r="J476" s="6"/>
      <c r="K476" s="6"/>
      <c r="L476" s="6"/>
      <c r="M476" s="6"/>
      <c r="N476" s="6"/>
      <c r="O476" s="6"/>
      <c r="P476" s="6"/>
    </row>
    <row r="477" spans="1:16">
      <c r="A477" s="82"/>
      <c r="B477" s="82"/>
      <c r="C477" s="83"/>
      <c r="D477" s="6"/>
      <c r="E477" s="6"/>
      <c r="F477" s="6"/>
      <c r="G477" s="6"/>
      <c r="H477" s="6"/>
      <c r="I477" s="6"/>
      <c r="J477" s="6"/>
      <c r="K477" s="6"/>
      <c r="L477" s="6"/>
      <c r="M477" s="6"/>
      <c r="N477" s="6"/>
      <c r="O477" s="6"/>
      <c r="P477" s="6"/>
    </row>
    <row r="478" spans="1:16">
      <c r="A478" s="82"/>
      <c r="B478" s="82"/>
      <c r="C478" s="83"/>
      <c r="D478" s="6"/>
      <c r="E478" s="6"/>
      <c r="F478" s="6"/>
      <c r="G478" s="6"/>
      <c r="H478" s="6"/>
      <c r="I478" s="6"/>
      <c r="J478" s="6"/>
      <c r="K478" s="6"/>
      <c r="L478" s="6"/>
      <c r="M478" s="6"/>
      <c r="N478" s="6"/>
      <c r="O478" s="6"/>
      <c r="P478" s="6"/>
    </row>
    <row r="479" spans="1:16">
      <c r="A479" s="82"/>
      <c r="B479" s="82"/>
      <c r="C479" s="83"/>
      <c r="D479" s="6"/>
      <c r="E479" s="6"/>
      <c r="F479" s="6"/>
      <c r="G479" s="6"/>
      <c r="H479" s="6"/>
      <c r="I479" s="6"/>
      <c r="J479" s="6"/>
      <c r="K479" s="6"/>
      <c r="L479" s="6"/>
      <c r="M479" s="6"/>
      <c r="N479" s="6"/>
      <c r="O479" s="6"/>
      <c r="P479" s="6"/>
    </row>
    <row r="480" spans="1:16">
      <c r="A480" s="82"/>
      <c r="B480" s="82"/>
      <c r="C480" s="83"/>
      <c r="D480" s="6"/>
      <c r="E480" s="6"/>
      <c r="F480" s="6"/>
      <c r="G480" s="6"/>
      <c r="H480" s="6"/>
      <c r="I480" s="6"/>
      <c r="J480" s="6"/>
      <c r="K480" s="6"/>
      <c r="L480" s="6"/>
      <c r="M480" s="6"/>
      <c r="N480" s="6"/>
      <c r="O480" s="6"/>
      <c r="P480" s="6"/>
    </row>
    <row r="481" spans="1:16">
      <c r="A481" s="82"/>
      <c r="B481" s="82"/>
      <c r="C481" s="83"/>
      <c r="D481" s="6"/>
      <c r="E481" s="6"/>
      <c r="F481" s="6"/>
      <c r="G481" s="6"/>
      <c r="H481" s="6"/>
      <c r="I481" s="6"/>
      <c r="J481" s="6"/>
      <c r="K481" s="6"/>
      <c r="L481" s="6"/>
      <c r="M481" s="6"/>
      <c r="N481" s="6"/>
      <c r="O481" s="6"/>
      <c r="P481" s="6"/>
    </row>
    <row r="482" spans="1:16">
      <c r="A482" s="82"/>
      <c r="B482" s="82"/>
      <c r="C482" s="83"/>
      <c r="D482" s="6"/>
      <c r="E482" s="6"/>
      <c r="F482" s="6"/>
      <c r="G482" s="6"/>
      <c r="H482" s="6"/>
      <c r="I482" s="6"/>
      <c r="J482" s="6"/>
      <c r="K482" s="6"/>
      <c r="L482" s="6"/>
      <c r="M482" s="6"/>
      <c r="N482" s="6"/>
      <c r="O482" s="6"/>
      <c r="P482" s="6"/>
    </row>
    <row r="483" spans="1:16">
      <c r="A483" s="82"/>
      <c r="B483" s="82"/>
      <c r="C483" s="83"/>
      <c r="D483" s="6"/>
      <c r="E483" s="6"/>
      <c r="F483" s="6"/>
      <c r="G483" s="6"/>
      <c r="H483" s="6"/>
      <c r="I483" s="6"/>
      <c r="J483" s="6"/>
      <c r="K483" s="6"/>
      <c r="L483" s="6"/>
      <c r="M483" s="6"/>
      <c r="N483" s="6"/>
      <c r="O483" s="6"/>
      <c r="P483" s="6"/>
    </row>
    <row r="484" spans="1:16">
      <c r="A484" s="82"/>
      <c r="B484" s="82"/>
      <c r="C484" s="83"/>
      <c r="D484" s="6"/>
      <c r="E484" s="6"/>
      <c r="F484" s="6"/>
      <c r="G484" s="6"/>
      <c r="H484" s="6"/>
      <c r="I484" s="6"/>
      <c r="J484" s="6"/>
      <c r="K484" s="6"/>
      <c r="L484" s="6"/>
      <c r="M484" s="6"/>
      <c r="N484" s="6"/>
      <c r="O484" s="6"/>
      <c r="P484" s="6"/>
    </row>
    <row r="485" spans="1:16">
      <c r="A485" s="82"/>
      <c r="B485" s="82"/>
      <c r="C485" s="83"/>
      <c r="D485" s="6"/>
      <c r="E485" s="6"/>
      <c r="F485" s="6"/>
      <c r="G485" s="6"/>
      <c r="H485" s="6"/>
      <c r="I485" s="6"/>
      <c r="J485" s="6"/>
      <c r="K485" s="6"/>
      <c r="L485" s="6"/>
      <c r="M485" s="6"/>
      <c r="N485" s="6"/>
      <c r="O485" s="6"/>
      <c r="P485" s="6"/>
    </row>
    <row r="486" spans="1:16">
      <c r="A486" s="82"/>
      <c r="B486" s="82"/>
      <c r="C486" s="83"/>
      <c r="D486" s="6"/>
      <c r="E486" s="6"/>
      <c r="F486" s="6"/>
      <c r="G486" s="6"/>
      <c r="H486" s="6"/>
      <c r="I486" s="6"/>
      <c r="J486" s="6"/>
      <c r="K486" s="6"/>
      <c r="L486" s="6"/>
      <c r="M486" s="6"/>
      <c r="N486" s="6"/>
      <c r="O486" s="6"/>
      <c r="P486" s="6"/>
    </row>
    <row r="487" spans="1:16">
      <c r="A487" s="82"/>
      <c r="B487" s="82"/>
      <c r="C487" s="83"/>
      <c r="D487" s="6"/>
      <c r="E487" s="6"/>
      <c r="F487" s="6"/>
      <c r="G487" s="6"/>
      <c r="H487" s="6"/>
      <c r="I487" s="6"/>
      <c r="J487" s="6"/>
      <c r="K487" s="6"/>
      <c r="L487" s="6"/>
      <c r="M487" s="6"/>
      <c r="N487" s="6"/>
      <c r="O487" s="6"/>
      <c r="P487" s="6"/>
    </row>
    <row r="488" spans="1:16">
      <c r="A488" s="82"/>
      <c r="B488" s="82"/>
      <c r="C488" s="83"/>
      <c r="D488" s="6"/>
      <c r="E488" s="6"/>
      <c r="F488" s="6"/>
      <c r="G488" s="6"/>
      <c r="H488" s="6"/>
      <c r="I488" s="6"/>
      <c r="J488" s="6"/>
      <c r="K488" s="6"/>
      <c r="L488" s="6"/>
      <c r="M488" s="6"/>
      <c r="N488" s="6"/>
      <c r="O488" s="6"/>
      <c r="P488" s="6"/>
    </row>
    <row r="489" spans="1:16">
      <c r="A489" s="82"/>
      <c r="B489" s="82"/>
      <c r="C489" s="83"/>
      <c r="D489" s="6"/>
      <c r="E489" s="6"/>
      <c r="F489" s="6"/>
      <c r="G489" s="6"/>
      <c r="H489" s="6"/>
      <c r="I489" s="6"/>
      <c r="J489" s="6"/>
      <c r="K489" s="6"/>
      <c r="L489" s="6"/>
      <c r="M489" s="6"/>
      <c r="N489" s="6"/>
      <c r="O489" s="6"/>
      <c r="P489" s="6"/>
    </row>
    <row r="490" spans="1:16">
      <c r="A490" s="82"/>
      <c r="B490" s="82"/>
      <c r="C490" s="83"/>
      <c r="D490" s="6"/>
      <c r="E490" s="6"/>
      <c r="F490" s="6"/>
      <c r="G490" s="6"/>
      <c r="H490" s="6"/>
      <c r="I490" s="6"/>
      <c r="J490" s="6"/>
      <c r="K490" s="6"/>
      <c r="L490" s="6"/>
      <c r="M490" s="6"/>
      <c r="N490" s="6"/>
      <c r="O490" s="6"/>
      <c r="P490" s="6"/>
    </row>
    <row r="491" spans="1:16">
      <c r="A491" s="82"/>
      <c r="B491" s="82"/>
      <c r="C491" s="83"/>
      <c r="D491" s="6"/>
      <c r="E491" s="6"/>
      <c r="F491" s="6"/>
      <c r="G491" s="6"/>
      <c r="H491" s="6"/>
      <c r="I491" s="6"/>
      <c r="J491" s="6"/>
      <c r="K491" s="6"/>
      <c r="L491" s="6"/>
      <c r="M491" s="6"/>
      <c r="N491" s="6"/>
      <c r="O491" s="6"/>
      <c r="P491" s="6"/>
    </row>
    <row r="492" spans="1:16">
      <c r="A492" s="82"/>
      <c r="B492" s="82"/>
      <c r="C492" s="83"/>
      <c r="D492" s="6"/>
      <c r="E492" s="6"/>
      <c r="F492" s="6"/>
      <c r="G492" s="6"/>
      <c r="H492" s="6"/>
      <c r="I492" s="6"/>
      <c r="J492" s="6"/>
      <c r="K492" s="6"/>
      <c r="L492" s="6"/>
      <c r="M492" s="6"/>
      <c r="N492" s="6"/>
      <c r="O492" s="6"/>
      <c r="P492" s="6"/>
    </row>
    <row r="493" spans="1:16">
      <c r="A493" s="82"/>
      <c r="B493" s="82"/>
      <c r="C493" s="83"/>
      <c r="D493" s="6"/>
      <c r="E493" s="6"/>
      <c r="F493" s="6"/>
      <c r="G493" s="6"/>
      <c r="H493" s="6"/>
      <c r="I493" s="6"/>
      <c r="J493" s="6"/>
      <c r="K493" s="6"/>
      <c r="L493" s="6"/>
      <c r="M493" s="6"/>
      <c r="N493" s="6"/>
      <c r="O493" s="6"/>
      <c r="P493" s="6"/>
    </row>
    <row r="494" spans="1:16">
      <c r="A494" s="82"/>
      <c r="B494" s="82"/>
      <c r="C494" s="83"/>
      <c r="D494" s="6"/>
      <c r="E494" s="6"/>
      <c r="F494" s="6"/>
      <c r="G494" s="6"/>
      <c r="H494" s="6"/>
      <c r="I494" s="6"/>
      <c r="J494" s="6"/>
      <c r="K494" s="6"/>
      <c r="L494" s="6"/>
      <c r="M494" s="6"/>
      <c r="N494" s="6"/>
      <c r="O494" s="6"/>
      <c r="P494" s="6"/>
    </row>
    <row r="495" spans="1:16">
      <c r="A495" s="82"/>
      <c r="B495" s="82"/>
      <c r="C495" s="83"/>
      <c r="D495" s="6"/>
      <c r="E495" s="6"/>
      <c r="F495" s="6"/>
      <c r="G495" s="6"/>
      <c r="H495" s="6"/>
      <c r="I495" s="6"/>
      <c r="J495" s="6"/>
      <c r="K495" s="6"/>
      <c r="L495" s="6"/>
      <c r="M495" s="6"/>
      <c r="N495" s="6"/>
      <c r="O495" s="6"/>
      <c r="P495" s="6"/>
    </row>
    <row r="496" spans="1:16">
      <c r="A496" s="82"/>
      <c r="B496" s="82"/>
      <c r="C496" s="83"/>
      <c r="D496" s="6"/>
      <c r="E496" s="6"/>
      <c r="F496" s="6"/>
      <c r="G496" s="6"/>
      <c r="H496" s="6"/>
      <c r="I496" s="6"/>
      <c r="J496" s="6"/>
      <c r="K496" s="6"/>
      <c r="L496" s="6"/>
      <c r="M496" s="6"/>
      <c r="N496" s="6"/>
      <c r="O496" s="6"/>
      <c r="P496" s="6"/>
    </row>
    <row r="497" spans="1:16">
      <c r="A497" s="82"/>
      <c r="B497" s="82"/>
      <c r="C497" s="83"/>
      <c r="D497" s="6"/>
      <c r="E497" s="6"/>
      <c r="F497" s="6"/>
      <c r="G497" s="6"/>
      <c r="H497" s="6"/>
      <c r="I497" s="6"/>
      <c r="J497" s="6"/>
      <c r="K497" s="6"/>
      <c r="L497" s="6"/>
      <c r="M497" s="6"/>
      <c r="N497" s="6"/>
      <c r="O497" s="6"/>
      <c r="P497" s="6"/>
    </row>
    <row r="498" spans="1:16">
      <c r="A498" s="82"/>
      <c r="B498" s="82"/>
      <c r="C498" s="83"/>
      <c r="D498" s="6"/>
      <c r="E498" s="6"/>
      <c r="F498" s="6"/>
      <c r="G498" s="6"/>
      <c r="H498" s="6"/>
      <c r="I498" s="6"/>
      <c r="J498" s="6"/>
      <c r="K498" s="6"/>
      <c r="L498" s="6"/>
      <c r="M498" s="6"/>
      <c r="N498" s="6"/>
      <c r="O498" s="6"/>
      <c r="P498" s="6"/>
    </row>
    <row r="499" spans="1:16">
      <c r="A499" s="82"/>
      <c r="B499" s="82"/>
      <c r="C499" s="83"/>
      <c r="D499" s="6"/>
      <c r="E499" s="6"/>
      <c r="F499" s="6"/>
      <c r="G499" s="6"/>
      <c r="H499" s="6"/>
      <c r="I499" s="6"/>
      <c r="J499" s="6"/>
      <c r="K499" s="6"/>
      <c r="L499" s="6"/>
      <c r="M499" s="6"/>
      <c r="N499" s="6"/>
      <c r="O499" s="6"/>
      <c r="P499" s="6"/>
    </row>
    <row r="500" spans="1:16">
      <c r="A500" s="82"/>
      <c r="B500" s="82"/>
      <c r="C500" s="83"/>
      <c r="D500" s="6"/>
      <c r="E500" s="6"/>
      <c r="F500" s="6"/>
      <c r="G500" s="6"/>
      <c r="H500" s="6"/>
      <c r="I500" s="6"/>
      <c r="J500" s="6"/>
      <c r="K500" s="6"/>
      <c r="L500" s="6"/>
      <c r="M500" s="6"/>
      <c r="N500" s="6"/>
      <c r="O500" s="6"/>
      <c r="P500" s="6"/>
    </row>
    <row r="501" spans="1:16">
      <c r="A501" s="82"/>
      <c r="B501" s="82"/>
      <c r="C501" s="83"/>
      <c r="D501" s="6"/>
      <c r="E501" s="6"/>
      <c r="F501" s="6"/>
      <c r="G501" s="6"/>
      <c r="H501" s="6"/>
      <c r="I501" s="6"/>
      <c r="J501" s="6"/>
      <c r="K501" s="6"/>
      <c r="L501" s="6"/>
      <c r="M501" s="6"/>
      <c r="N501" s="6"/>
      <c r="O501" s="6"/>
      <c r="P501" s="6"/>
    </row>
    <row r="502" spans="1:16">
      <c r="A502" s="82"/>
      <c r="B502" s="82"/>
      <c r="C502" s="83"/>
      <c r="D502" s="6"/>
      <c r="E502" s="6"/>
      <c r="F502" s="6"/>
      <c r="G502" s="6"/>
      <c r="H502" s="6"/>
      <c r="I502" s="6"/>
      <c r="J502" s="6"/>
      <c r="K502" s="6"/>
      <c r="L502" s="6"/>
      <c r="M502" s="6"/>
      <c r="N502" s="6"/>
      <c r="O502" s="6"/>
      <c r="P502" s="6"/>
    </row>
    <row r="503" spans="1:16">
      <c r="A503" s="82"/>
      <c r="B503" s="82"/>
      <c r="C503" s="83"/>
      <c r="D503" s="6"/>
      <c r="E503" s="6"/>
      <c r="F503" s="6"/>
      <c r="G503" s="6"/>
      <c r="H503" s="6"/>
      <c r="I503" s="6"/>
      <c r="J503" s="6"/>
      <c r="K503" s="6"/>
      <c r="L503" s="6"/>
      <c r="M503" s="6"/>
      <c r="N503" s="6"/>
      <c r="O503" s="6"/>
      <c r="P503" s="6"/>
    </row>
    <row r="504" spans="1:16">
      <c r="A504" s="82"/>
      <c r="B504" s="82"/>
      <c r="C504" s="83"/>
      <c r="D504" s="6"/>
      <c r="E504" s="6"/>
      <c r="F504" s="6"/>
      <c r="G504" s="6"/>
      <c r="H504" s="6"/>
      <c r="I504" s="6"/>
      <c r="J504" s="6"/>
      <c r="K504" s="6"/>
      <c r="L504" s="6"/>
      <c r="M504" s="6"/>
      <c r="N504" s="6"/>
      <c r="O504" s="6"/>
      <c r="P504" s="6"/>
    </row>
    <row r="505" spans="1:16">
      <c r="A505" s="82"/>
      <c r="B505" s="82"/>
      <c r="C505" s="83"/>
      <c r="D505" s="6"/>
      <c r="E505" s="6"/>
      <c r="F505" s="6"/>
      <c r="G505" s="6"/>
      <c r="H505" s="6"/>
      <c r="I505" s="6"/>
      <c r="J505" s="6"/>
      <c r="K505" s="6"/>
      <c r="L505" s="6"/>
      <c r="M505" s="6"/>
      <c r="N505" s="6"/>
      <c r="O505" s="6"/>
      <c r="P505" s="6"/>
    </row>
    <row r="506" spans="1:16">
      <c r="A506" s="82"/>
      <c r="B506" s="82"/>
      <c r="C506" s="83"/>
      <c r="D506" s="6"/>
      <c r="E506" s="6"/>
      <c r="F506" s="6"/>
      <c r="G506" s="6"/>
      <c r="H506" s="6"/>
      <c r="I506" s="6"/>
      <c r="J506" s="6"/>
      <c r="K506" s="6"/>
      <c r="L506" s="6"/>
      <c r="M506" s="6"/>
      <c r="N506" s="6"/>
      <c r="O506" s="6"/>
      <c r="P506" s="6"/>
    </row>
    <row r="507" spans="1:16">
      <c r="A507" s="82"/>
      <c r="B507" s="82"/>
      <c r="C507" s="83"/>
      <c r="D507" s="6"/>
      <c r="E507" s="6"/>
      <c r="F507" s="6"/>
      <c r="G507" s="6"/>
      <c r="H507" s="6"/>
      <c r="I507" s="6"/>
      <c r="J507" s="6"/>
      <c r="K507" s="6"/>
      <c r="L507" s="6"/>
      <c r="M507" s="6"/>
      <c r="N507" s="6"/>
      <c r="O507" s="6"/>
      <c r="P507" s="6"/>
    </row>
    <row r="508" spans="1:16">
      <c r="A508" s="82"/>
      <c r="B508" s="82"/>
      <c r="C508" s="83"/>
      <c r="D508" s="6"/>
      <c r="E508" s="6"/>
      <c r="F508" s="6"/>
      <c r="G508" s="6"/>
      <c r="H508" s="6"/>
      <c r="I508" s="6"/>
      <c r="J508" s="6"/>
      <c r="K508" s="6"/>
      <c r="L508" s="6"/>
      <c r="M508" s="6"/>
      <c r="N508" s="6"/>
      <c r="O508" s="6"/>
      <c r="P508" s="6"/>
    </row>
    <row r="509" spans="1:16">
      <c r="A509" s="82"/>
      <c r="B509" s="82"/>
      <c r="C509" s="83"/>
      <c r="D509" s="6"/>
      <c r="E509" s="6"/>
      <c r="F509" s="6"/>
      <c r="G509" s="6"/>
      <c r="H509" s="6"/>
      <c r="I509" s="6"/>
      <c r="J509" s="6"/>
      <c r="K509" s="6"/>
      <c r="L509" s="6"/>
      <c r="M509" s="6"/>
      <c r="N509" s="6"/>
      <c r="O509" s="6"/>
      <c r="P509" s="6"/>
    </row>
    <row r="510" spans="1:16">
      <c r="A510" s="82"/>
      <c r="B510" s="82"/>
      <c r="C510" s="83"/>
      <c r="D510" s="6"/>
      <c r="E510" s="6"/>
      <c r="F510" s="6"/>
      <c r="G510" s="6"/>
      <c r="H510" s="6"/>
      <c r="I510" s="6"/>
      <c r="J510" s="6"/>
      <c r="K510" s="6"/>
      <c r="L510" s="6"/>
      <c r="M510" s="6"/>
      <c r="N510" s="6"/>
      <c r="O510" s="6"/>
      <c r="P510" s="6"/>
    </row>
    <row r="511" spans="1:16">
      <c r="A511" s="82"/>
      <c r="B511" s="82"/>
      <c r="C511" s="83"/>
      <c r="D511" s="6"/>
      <c r="E511" s="6"/>
      <c r="F511" s="6"/>
      <c r="G511" s="6"/>
      <c r="H511" s="6"/>
      <c r="I511" s="6"/>
      <c r="J511" s="6"/>
      <c r="K511" s="6"/>
      <c r="L511" s="6"/>
      <c r="M511" s="6"/>
      <c r="N511" s="6"/>
      <c r="O511" s="6"/>
      <c r="P511" s="6"/>
    </row>
    <row r="512" spans="1:16">
      <c r="A512" s="82"/>
      <c r="B512" s="82"/>
      <c r="C512" s="83"/>
      <c r="D512" s="6"/>
      <c r="E512" s="6"/>
      <c r="F512" s="6"/>
      <c r="G512" s="6"/>
      <c r="H512" s="6"/>
      <c r="I512" s="6"/>
      <c r="J512" s="6"/>
      <c r="K512" s="6"/>
      <c r="L512" s="6"/>
      <c r="M512" s="6"/>
      <c r="N512" s="6"/>
      <c r="O512" s="6"/>
      <c r="P512" s="6"/>
    </row>
    <row r="513" spans="1:16">
      <c r="A513" s="82"/>
      <c r="B513" s="82"/>
      <c r="C513" s="83"/>
      <c r="D513" s="6"/>
      <c r="E513" s="6"/>
      <c r="F513" s="6"/>
      <c r="G513" s="6"/>
      <c r="H513" s="6"/>
      <c r="I513" s="6"/>
      <c r="J513" s="6"/>
      <c r="K513" s="6"/>
      <c r="L513" s="6"/>
      <c r="M513" s="6"/>
      <c r="N513" s="6"/>
      <c r="O513" s="6"/>
      <c r="P513" s="6"/>
    </row>
    <row r="514" spans="1:16">
      <c r="A514" s="82"/>
      <c r="B514" s="82"/>
      <c r="C514" s="83"/>
      <c r="D514" s="6"/>
      <c r="E514" s="6"/>
      <c r="F514" s="6"/>
      <c r="G514" s="6"/>
      <c r="H514" s="6"/>
      <c r="I514" s="6"/>
      <c r="J514" s="6"/>
      <c r="K514" s="6"/>
      <c r="L514" s="6"/>
      <c r="M514" s="6"/>
      <c r="N514" s="6"/>
      <c r="O514" s="6"/>
      <c r="P514" s="6"/>
    </row>
    <row r="515" spans="1:16">
      <c r="A515" s="82"/>
      <c r="B515" s="82"/>
      <c r="C515" s="83"/>
      <c r="D515" s="6"/>
      <c r="E515" s="6"/>
      <c r="F515" s="6"/>
      <c r="G515" s="6"/>
      <c r="H515" s="6"/>
      <c r="I515" s="6"/>
      <c r="J515" s="6"/>
      <c r="K515" s="6"/>
      <c r="L515" s="6"/>
      <c r="M515" s="6"/>
      <c r="N515" s="6"/>
      <c r="O515" s="6"/>
      <c r="P515" s="6"/>
    </row>
    <row r="516" spans="1:16">
      <c r="A516" s="82"/>
      <c r="B516" s="82"/>
      <c r="C516" s="83"/>
      <c r="D516" s="6"/>
      <c r="E516" s="6"/>
      <c r="F516" s="6"/>
      <c r="G516" s="6"/>
      <c r="H516" s="6"/>
      <c r="I516" s="6"/>
      <c r="J516" s="6"/>
      <c r="K516" s="6"/>
      <c r="L516" s="6"/>
      <c r="M516" s="6"/>
      <c r="N516" s="6"/>
      <c r="O516" s="6"/>
      <c r="P516" s="6"/>
    </row>
    <row r="517" spans="1:16">
      <c r="A517" s="82"/>
      <c r="B517" s="82"/>
      <c r="C517" s="83"/>
      <c r="D517" s="6"/>
      <c r="E517" s="6"/>
      <c r="F517" s="6"/>
      <c r="G517" s="6"/>
      <c r="H517" s="6"/>
      <c r="I517" s="6"/>
      <c r="J517" s="6"/>
      <c r="K517" s="6"/>
      <c r="L517" s="6"/>
      <c r="M517" s="6"/>
      <c r="N517" s="6"/>
      <c r="O517" s="6"/>
      <c r="P517" s="6"/>
    </row>
    <row r="518" spans="1:16">
      <c r="A518" s="82"/>
      <c r="B518" s="82"/>
      <c r="C518" s="83"/>
      <c r="D518" s="6"/>
      <c r="E518" s="6"/>
      <c r="F518" s="6"/>
      <c r="G518" s="6"/>
      <c r="H518" s="6"/>
      <c r="I518" s="6"/>
      <c r="J518" s="6"/>
      <c r="K518" s="6"/>
      <c r="L518" s="6"/>
      <c r="M518" s="6"/>
      <c r="N518" s="6"/>
      <c r="O518" s="6"/>
      <c r="P518" s="6"/>
    </row>
    <row r="519" spans="1:16">
      <c r="A519" s="82"/>
      <c r="B519" s="82"/>
      <c r="C519" s="83"/>
      <c r="D519" s="6"/>
      <c r="E519" s="6"/>
      <c r="F519" s="6"/>
      <c r="G519" s="6"/>
      <c r="H519" s="6"/>
      <c r="I519" s="6"/>
      <c r="J519" s="6"/>
      <c r="K519" s="6"/>
      <c r="L519" s="6"/>
      <c r="M519" s="6"/>
      <c r="N519" s="6"/>
      <c r="O519" s="6"/>
      <c r="P519" s="6"/>
    </row>
    <row r="520" spans="1:16">
      <c r="A520" s="82"/>
      <c r="B520" s="82"/>
      <c r="C520" s="83"/>
      <c r="D520" s="6"/>
      <c r="E520" s="6"/>
      <c r="F520" s="6"/>
      <c r="G520" s="6"/>
      <c r="H520" s="6"/>
      <c r="I520" s="6"/>
      <c r="J520" s="6"/>
      <c r="K520" s="6"/>
      <c r="L520" s="6"/>
      <c r="M520" s="6"/>
      <c r="N520" s="6"/>
      <c r="O520" s="6"/>
      <c r="P520" s="6"/>
    </row>
    <row r="521" spans="1:16">
      <c r="A521" s="82"/>
      <c r="B521" s="82"/>
      <c r="C521" s="83"/>
      <c r="D521" s="6"/>
      <c r="E521" s="6"/>
      <c r="F521" s="6"/>
      <c r="G521" s="6"/>
      <c r="H521" s="6"/>
      <c r="I521" s="6"/>
      <c r="J521" s="6"/>
      <c r="K521" s="6"/>
      <c r="L521" s="6"/>
      <c r="M521" s="6"/>
      <c r="N521" s="6"/>
      <c r="O521" s="6"/>
      <c r="P521" s="6"/>
    </row>
    <row r="522" spans="1:16">
      <c r="A522" s="82"/>
      <c r="B522" s="82"/>
      <c r="C522" s="83"/>
      <c r="D522" s="6"/>
      <c r="E522" s="6"/>
      <c r="F522" s="6"/>
      <c r="G522" s="6"/>
      <c r="H522" s="6"/>
      <c r="I522" s="6"/>
      <c r="J522" s="6"/>
      <c r="K522" s="6"/>
      <c r="L522" s="6"/>
      <c r="M522" s="6"/>
      <c r="N522" s="6"/>
      <c r="O522" s="6"/>
      <c r="P522" s="6"/>
    </row>
    <row r="523" spans="1:16">
      <c r="A523" s="82"/>
      <c r="B523" s="82"/>
      <c r="C523" s="83"/>
      <c r="D523" s="6"/>
      <c r="E523" s="6"/>
      <c r="F523" s="6"/>
      <c r="G523" s="6"/>
      <c r="H523" s="6"/>
      <c r="I523" s="6"/>
      <c r="J523" s="6"/>
      <c r="K523" s="6"/>
      <c r="L523" s="6"/>
      <c r="M523" s="6"/>
      <c r="N523" s="6"/>
      <c r="O523" s="6"/>
      <c r="P523" s="6"/>
    </row>
    <row r="524" spans="1:16">
      <c r="A524" s="82"/>
      <c r="B524" s="82"/>
      <c r="C524" s="83"/>
      <c r="D524" s="6"/>
      <c r="E524" s="6"/>
      <c r="F524" s="6"/>
      <c r="G524" s="6"/>
      <c r="H524" s="6"/>
      <c r="I524" s="6"/>
      <c r="J524" s="6"/>
      <c r="K524" s="6"/>
      <c r="L524" s="6"/>
      <c r="M524" s="6"/>
      <c r="N524" s="6"/>
      <c r="O524" s="6"/>
      <c r="P524" s="6"/>
    </row>
    <row r="525" spans="1:16">
      <c r="A525" s="82"/>
      <c r="B525" s="82"/>
      <c r="C525" s="83"/>
      <c r="D525" s="6"/>
      <c r="E525" s="6"/>
      <c r="F525" s="6"/>
      <c r="G525" s="6"/>
      <c r="H525" s="6"/>
      <c r="I525" s="6"/>
      <c r="J525" s="6"/>
      <c r="K525" s="6"/>
      <c r="L525" s="6"/>
      <c r="M525" s="6"/>
      <c r="N525" s="6"/>
      <c r="O525" s="6"/>
      <c r="P525" s="6"/>
    </row>
    <row r="526" spans="1:16">
      <c r="A526" s="82"/>
      <c r="B526" s="82"/>
      <c r="C526" s="83"/>
      <c r="D526" s="6"/>
      <c r="E526" s="6"/>
      <c r="F526" s="6"/>
      <c r="G526" s="6"/>
      <c r="H526" s="6"/>
      <c r="I526" s="6"/>
      <c r="J526" s="6"/>
      <c r="K526" s="6"/>
      <c r="L526" s="6"/>
      <c r="M526" s="6"/>
      <c r="N526" s="6"/>
      <c r="O526" s="6"/>
      <c r="P526" s="6"/>
    </row>
    <row r="527" spans="1:16">
      <c r="A527" s="82"/>
      <c r="B527" s="82"/>
      <c r="C527" s="83"/>
      <c r="D527" s="6"/>
      <c r="E527" s="6"/>
      <c r="F527" s="6"/>
      <c r="G527" s="6"/>
      <c r="H527" s="6"/>
      <c r="I527" s="6"/>
      <c r="J527" s="6"/>
      <c r="K527" s="6"/>
      <c r="L527" s="6"/>
      <c r="M527" s="6"/>
      <c r="N527" s="6"/>
      <c r="O527" s="6"/>
      <c r="P527" s="6"/>
    </row>
    <row r="528" spans="1:16">
      <c r="A528" s="82"/>
      <c r="B528" s="82"/>
      <c r="C528" s="83"/>
      <c r="D528" s="6"/>
      <c r="E528" s="6"/>
      <c r="F528" s="6"/>
      <c r="G528" s="6"/>
      <c r="H528" s="6"/>
      <c r="I528" s="6"/>
      <c r="J528" s="6"/>
      <c r="K528" s="6"/>
      <c r="L528" s="6"/>
      <c r="M528" s="6"/>
      <c r="N528" s="6"/>
      <c r="O528" s="6"/>
      <c r="P528" s="6"/>
    </row>
    <row r="529" spans="1:16">
      <c r="A529" s="82"/>
      <c r="B529" s="82"/>
      <c r="C529" s="83"/>
      <c r="D529" s="6"/>
      <c r="E529" s="6"/>
      <c r="F529" s="6"/>
      <c r="G529" s="6"/>
      <c r="H529" s="6"/>
      <c r="I529" s="6"/>
      <c r="J529" s="6"/>
      <c r="K529" s="6"/>
      <c r="L529" s="6"/>
      <c r="M529" s="6"/>
      <c r="N529" s="6"/>
      <c r="O529" s="6"/>
      <c r="P529" s="6"/>
    </row>
    <row r="530" spans="1:16">
      <c r="A530" s="82"/>
      <c r="B530" s="82"/>
      <c r="C530" s="83"/>
      <c r="D530" s="6"/>
      <c r="E530" s="6"/>
      <c r="F530" s="6"/>
      <c r="G530" s="6"/>
      <c r="H530" s="6"/>
      <c r="I530" s="6"/>
      <c r="J530" s="6"/>
      <c r="K530" s="6"/>
      <c r="L530" s="6"/>
      <c r="M530" s="6"/>
      <c r="N530" s="6"/>
      <c r="O530" s="6"/>
      <c r="P530" s="6"/>
    </row>
    <row r="531" spans="1:16">
      <c r="A531" s="82"/>
      <c r="B531" s="82"/>
      <c r="C531" s="83"/>
      <c r="D531" s="6"/>
      <c r="E531" s="6"/>
      <c r="F531" s="6"/>
      <c r="G531" s="6"/>
      <c r="H531" s="6"/>
      <c r="I531" s="6"/>
      <c r="J531" s="6"/>
      <c r="K531" s="6"/>
      <c r="L531" s="6"/>
      <c r="M531" s="6"/>
      <c r="N531" s="6"/>
      <c r="O531" s="6"/>
      <c r="P531" s="6"/>
    </row>
    <row r="532" spans="1:16">
      <c r="A532" s="82"/>
      <c r="B532" s="82"/>
      <c r="C532" s="83"/>
      <c r="D532" s="6"/>
      <c r="E532" s="6"/>
      <c r="F532" s="6"/>
      <c r="G532" s="6"/>
      <c r="H532" s="6"/>
      <c r="I532" s="6"/>
      <c r="J532" s="6"/>
      <c r="K532" s="6"/>
      <c r="L532" s="6"/>
      <c r="M532" s="6"/>
      <c r="N532" s="6"/>
      <c r="O532" s="6"/>
      <c r="P532" s="6"/>
    </row>
    <row r="533" spans="1:16">
      <c r="A533" s="82"/>
      <c r="B533" s="82"/>
      <c r="C533" s="83"/>
      <c r="D533" s="6"/>
      <c r="E533" s="6"/>
      <c r="F533" s="6"/>
      <c r="G533" s="6"/>
      <c r="H533" s="6"/>
      <c r="I533" s="6"/>
      <c r="J533" s="6"/>
      <c r="K533" s="6"/>
      <c r="L533" s="6"/>
      <c r="M533" s="6"/>
      <c r="N533" s="6"/>
      <c r="O533" s="6"/>
      <c r="P533" s="6"/>
    </row>
    <row r="534" spans="1:16">
      <c r="A534" s="82"/>
      <c r="B534" s="82"/>
      <c r="C534" s="83"/>
      <c r="D534" s="6"/>
      <c r="E534" s="6"/>
      <c r="F534" s="6"/>
      <c r="G534" s="6"/>
      <c r="H534" s="6"/>
      <c r="I534" s="6"/>
      <c r="J534" s="6"/>
      <c r="K534" s="6"/>
      <c r="L534" s="6"/>
      <c r="M534" s="6"/>
      <c r="N534" s="6"/>
      <c r="O534" s="6"/>
      <c r="P534" s="6"/>
    </row>
    <row r="535" spans="1:16">
      <c r="A535" s="82"/>
      <c r="B535" s="82"/>
      <c r="C535" s="83"/>
      <c r="D535" s="6"/>
      <c r="E535" s="6"/>
      <c r="F535" s="6"/>
      <c r="G535" s="6"/>
      <c r="H535" s="6"/>
      <c r="I535" s="6"/>
      <c r="J535" s="6"/>
      <c r="K535" s="6"/>
      <c r="L535" s="6"/>
      <c r="M535" s="6"/>
      <c r="N535" s="6"/>
      <c r="O535" s="6"/>
      <c r="P535" s="6"/>
    </row>
    <row r="536" spans="1:16">
      <c r="A536" s="82"/>
      <c r="B536" s="82"/>
      <c r="C536" s="83"/>
      <c r="D536" s="6"/>
      <c r="E536" s="6"/>
      <c r="F536" s="6"/>
      <c r="G536" s="6"/>
      <c r="H536" s="6"/>
      <c r="I536" s="6"/>
      <c r="J536" s="6"/>
      <c r="K536" s="6"/>
      <c r="L536" s="6"/>
      <c r="M536" s="6"/>
      <c r="N536" s="6"/>
      <c r="O536" s="6"/>
      <c r="P536" s="6"/>
    </row>
    <row r="537" spans="1:16">
      <c r="A537" s="82"/>
      <c r="B537" s="82"/>
      <c r="C537" s="83"/>
      <c r="D537" s="6"/>
      <c r="E537" s="6"/>
      <c r="F537" s="6"/>
      <c r="G537" s="6"/>
      <c r="H537" s="6"/>
      <c r="I537" s="6"/>
      <c r="J537" s="6"/>
      <c r="K537" s="6"/>
      <c r="L537" s="6"/>
      <c r="M537" s="6"/>
      <c r="N537" s="6"/>
      <c r="O537" s="6"/>
      <c r="P537" s="6"/>
    </row>
    <row r="538" spans="1:16">
      <c r="A538" s="82"/>
      <c r="B538" s="82"/>
      <c r="C538" s="83"/>
      <c r="D538" s="6"/>
      <c r="E538" s="6"/>
      <c r="F538" s="6"/>
      <c r="G538" s="6"/>
      <c r="H538" s="6"/>
      <c r="I538" s="6"/>
      <c r="J538" s="6"/>
      <c r="K538" s="6"/>
      <c r="L538" s="6"/>
      <c r="M538" s="6"/>
      <c r="N538" s="6"/>
      <c r="O538" s="6"/>
      <c r="P538" s="6"/>
    </row>
    <row r="539" spans="1:16">
      <c r="A539" s="82"/>
      <c r="B539" s="82"/>
      <c r="C539" s="83"/>
      <c r="D539" s="6"/>
      <c r="E539" s="6"/>
      <c r="F539" s="6"/>
      <c r="G539" s="6"/>
      <c r="H539" s="6"/>
      <c r="I539" s="6"/>
      <c r="J539" s="6"/>
      <c r="K539" s="6"/>
      <c r="L539" s="6"/>
      <c r="M539" s="6"/>
      <c r="N539" s="6"/>
      <c r="O539" s="6"/>
      <c r="P539" s="6"/>
    </row>
    <row r="540" spans="1:16">
      <c r="A540" s="82"/>
      <c r="B540" s="82"/>
      <c r="C540" s="83"/>
      <c r="D540" s="6"/>
      <c r="E540" s="6"/>
      <c r="F540" s="6"/>
      <c r="G540" s="6"/>
      <c r="H540" s="6"/>
      <c r="I540" s="6"/>
      <c r="J540" s="6"/>
      <c r="K540" s="6"/>
      <c r="L540" s="6"/>
      <c r="M540" s="6"/>
      <c r="N540" s="6"/>
      <c r="O540" s="6"/>
      <c r="P540" s="6"/>
    </row>
    <row r="541" spans="1:16">
      <c r="A541" s="82"/>
      <c r="B541" s="82"/>
      <c r="C541" s="83"/>
      <c r="D541" s="6"/>
      <c r="E541" s="6"/>
      <c r="F541" s="6"/>
      <c r="G541" s="6"/>
      <c r="H541" s="6"/>
      <c r="I541" s="6"/>
      <c r="J541" s="6"/>
      <c r="K541" s="6"/>
      <c r="L541" s="6"/>
      <c r="M541" s="6"/>
      <c r="N541" s="6"/>
      <c r="O541" s="6"/>
      <c r="P541" s="6"/>
    </row>
    <row r="542" spans="1:16">
      <c r="A542" s="82"/>
      <c r="B542" s="82"/>
      <c r="C542" s="83"/>
      <c r="D542" s="6"/>
      <c r="E542" s="6"/>
      <c r="F542" s="6"/>
      <c r="G542" s="6"/>
      <c r="H542" s="6"/>
      <c r="I542" s="6"/>
      <c r="J542" s="6"/>
      <c r="K542" s="6"/>
      <c r="L542" s="6"/>
      <c r="M542" s="6"/>
      <c r="N542" s="6"/>
      <c r="O542" s="6"/>
      <c r="P542" s="6"/>
    </row>
    <row r="543" spans="1:16">
      <c r="A543" s="82"/>
      <c r="B543" s="82"/>
      <c r="C543" s="83"/>
      <c r="D543" s="6"/>
      <c r="E543" s="6"/>
      <c r="F543" s="6"/>
      <c r="G543" s="6"/>
      <c r="H543" s="6"/>
      <c r="I543" s="6"/>
      <c r="J543" s="6"/>
      <c r="K543" s="6"/>
      <c r="L543" s="6"/>
      <c r="M543" s="6"/>
      <c r="N543" s="6"/>
      <c r="O543" s="6"/>
      <c r="P543" s="6"/>
    </row>
    <row r="544" spans="1:16">
      <c r="A544" s="82"/>
      <c r="B544" s="82"/>
      <c r="C544" s="83"/>
      <c r="D544" s="6"/>
      <c r="E544" s="6"/>
      <c r="F544" s="6"/>
      <c r="G544" s="6"/>
      <c r="H544" s="6"/>
      <c r="I544" s="6"/>
      <c r="J544" s="6"/>
      <c r="K544" s="6"/>
      <c r="L544" s="6"/>
      <c r="M544" s="6"/>
      <c r="N544" s="6"/>
      <c r="O544" s="6"/>
      <c r="P544" s="6"/>
    </row>
    <row r="545" spans="1:16">
      <c r="A545" s="82"/>
      <c r="B545" s="82"/>
      <c r="C545" s="83"/>
      <c r="D545" s="6"/>
      <c r="E545" s="6"/>
      <c r="F545" s="6"/>
      <c r="G545" s="6"/>
      <c r="H545" s="6"/>
      <c r="I545" s="6"/>
      <c r="J545" s="6"/>
      <c r="K545" s="6"/>
      <c r="L545" s="6"/>
      <c r="M545" s="6"/>
      <c r="N545" s="6"/>
      <c r="O545" s="6"/>
      <c r="P545" s="6"/>
    </row>
    <row r="546" spans="1:16">
      <c r="A546" s="82"/>
      <c r="B546" s="82"/>
      <c r="C546" s="83"/>
      <c r="D546" s="6"/>
      <c r="E546" s="6"/>
      <c r="F546" s="6"/>
      <c r="G546" s="6"/>
      <c r="H546" s="6"/>
      <c r="I546" s="6"/>
      <c r="J546" s="6"/>
      <c r="K546" s="6"/>
      <c r="L546" s="6"/>
      <c r="M546" s="6"/>
      <c r="N546" s="6"/>
      <c r="O546" s="6"/>
      <c r="P546" s="6"/>
    </row>
    <row r="547" spans="1:16">
      <c r="A547" s="82"/>
      <c r="B547" s="82"/>
      <c r="C547" s="83"/>
      <c r="D547" s="6"/>
      <c r="E547" s="6"/>
      <c r="F547" s="6"/>
      <c r="G547" s="6"/>
      <c r="H547" s="6"/>
      <c r="I547" s="6"/>
      <c r="J547" s="6"/>
      <c r="K547" s="6"/>
      <c r="L547" s="6"/>
      <c r="M547" s="6"/>
      <c r="N547" s="6"/>
      <c r="O547" s="6"/>
      <c r="P547" s="6"/>
    </row>
    <row r="548" spans="1:16">
      <c r="A548" s="82"/>
      <c r="B548" s="82"/>
      <c r="C548" s="83"/>
      <c r="D548" s="6"/>
      <c r="E548" s="6"/>
      <c r="F548" s="6"/>
      <c r="G548" s="6"/>
      <c r="H548" s="6"/>
      <c r="I548" s="6"/>
      <c r="J548" s="6"/>
      <c r="K548" s="6"/>
      <c r="L548" s="6"/>
      <c r="M548" s="6"/>
      <c r="N548" s="6"/>
      <c r="O548" s="6"/>
      <c r="P548" s="6"/>
    </row>
    <row r="549" spans="1:16">
      <c r="A549" s="82"/>
      <c r="B549" s="82"/>
      <c r="C549" s="83"/>
      <c r="D549" s="6"/>
      <c r="E549" s="6"/>
      <c r="F549" s="6"/>
      <c r="G549" s="6"/>
      <c r="H549" s="6"/>
      <c r="I549" s="6"/>
      <c r="J549" s="6"/>
      <c r="K549" s="6"/>
      <c r="L549" s="6"/>
      <c r="M549" s="6"/>
      <c r="N549" s="6"/>
      <c r="O549" s="6"/>
      <c r="P549" s="6"/>
    </row>
    <row r="550" spans="1:16">
      <c r="A550" s="82"/>
      <c r="B550" s="82"/>
      <c r="C550" s="83"/>
      <c r="D550" s="6"/>
      <c r="E550" s="6"/>
      <c r="F550" s="6"/>
      <c r="G550" s="6"/>
      <c r="H550" s="6"/>
      <c r="I550" s="6"/>
      <c r="J550" s="6"/>
      <c r="K550" s="6"/>
      <c r="L550" s="6"/>
      <c r="M550" s="6"/>
      <c r="N550" s="6"/>
      <c r="O550" s="6"/>
      <c r="P550" s="6"/>
    </row>
    <row r="551" spans="1:16">
      <c r="A551" s="82"/>
      <c r="B551" s="82"/>
      <c r="C551" s="83"/>
      <c r="D551" s="6"/>
      <c r="E551" s="6"/>
      <c r="F551" s="6"/>
      <c r="G551" s="6"/>
      <c r="H551" s="6"/>
      <c r="I551" s="6"/>
      <c r="J551" s="6"/>
      <c r="K551" s="6"/>
      <c r="L551" s="6"/>
      <c r="M551" s="6"/>
      <c r="N551" s="6"/>
      <c r="O551" s="6"/>
      <c r="P551" s="6"/>
    </row>
    <row r="552" spans="1:16">
      <c r="A552" s="82"/>
      <c r="B552" s="82"/>
      <c r="C552" s="83"/>
      <c r="D552" s="6"/>
      <c r="E552" s="6"/>
      <c r="F552" s="6"/>
      <c r="G552" s="6"/>
      <c r="H552" s="6"/>
      <c r="I552" s="6"/>
      <c r="J552" s="6"/>
      <c r="K552" s="6"/>
      <c r="L552" s="6"/>
      <c r="M552" s="6"/>
      <c r="N552" s="6"/>
      <c r="O552" s="6"/>
      <c r="P552" s="6"/>
    </row>
    <row r="553" spans="1:16">
      <c r="A553" s="82"/>
      <c r="B553" s="82"/>
      <c r="C553" s="83"/>
      <c r="D553" s="6"/>
      <c r="E553" s="6"/>
      <c r="F553" s="6"/>
      <c r="G553" s="6"/>
      <c r="H553" s="6"/>
      <c r="I553" s="6"/>
      <c r="J553" s="6"/>
      <c r="K553" s="6"/>
      <c r="L553" s="6"/>
      <c r="M553" s="6"/>
      <c r="N553" s="6"/>
      <c r="O553" s="6"/>
      <c r="P553" s="6"/>
    </row>
    <row r="554" spans="1:16">
      <c r="A554" s="82"/>
      <c r="B554" s="82"/>
      <c r="C554" s="83"/>
      <c r="D554" s="6"/>
      <c r="E554" s="6"/>
      <c r="F554" s="6"/>
      <c r="G554" s="6"/>
      <c r="H554" s="6"/>
      <c r="I554" s="6"/>
      <c r="J554" s="6"/>
      <c r="K554" s="6"/>
      <c r="L554" s="6"/>
      <c r="M554" s="6"/>
      <c r="N554" s="6"/>
      <c r="O554" s="6"/>
      <c r="P554" s="6"/>
    </row>
    <row r="555" spans="1:16">
      <c r="A555" s="82"/>
      <c r="B555" s="82"/>
      <c r="C555" s="83"/>
      <c r="D555" s="6"/>
      <c r="E555" s="6"/>
      <c r="F555" s="6"/>
      <c r="G555" s="6"/>
      <c r="H555" s="6"/>
      <c r="I555" s="6"/>
      <c r="J555" s="6"/>
      <c r="K555" s="6"/>
      <c r="L555" s="6"/>
      <c r="M555" s="6"/>
      <c r="N555" s="6"/>
      <c r="O555" s="6"/>
      <c r="P555" s="6"/>
    </row>
    <row r="556" spans="1:16">
      <c r="A556" s="82"/>
      <c r="B556" s="82"/>
      <c r="C556" s="83"/>
      <c r="D556" s="6"/>
      <c r="E556" s="6"/>
      <c r="F556" s="6"/>
      <c r="G556" s="6"/>
      <c r="H556" s="6"/>
      <c r="I556" s="6"/>
      <c r="J556" s="6"/>
      <c r="K556" s="6"/>
      <c r="L556" s="6"/>
      <c r="M556" s="6"/>
      <c r="N556" s="6"/>
      <c r="O556" s="6"/>
      <c r="P556" s="6"/>
    </row>
    <row r="557" spans="1:16">
      <c r="A557" s="82"/>
      <c r="B557" s="82"/>
      <c r="C557" s="83"/>
      <c r="D557" s="6"/>
      <c r="E557" s="6"/>
      <c r="F557" s="6"/>
      <c r="G557" s="6"/>
      <c r="H557" s="6"/>
      <c r="I557" s="6"/>
      <c r="J557" s="6"/>
      <c r="K557" s="6"/>
      <c r="L557" s="6"/>
      <c r="M557" s="6"/>
      <c r="N557" s="6"/>
      <c r="O557" s="6"/>
      <c r="P557" s="6"/>
    </row>
    <row r="558" spans="1:16">
      <c r="A558" s="82"/>
      <c r="B558" s="82"/>
      <c r="C558" s="83"/>
      <c r="D558" s="6"/>
      <c r="E558" s="6"/>
      <c r="F558" s="6"/>
      <c r="G558" s="6"/>
      <c r="H558" s="6"/>
      <c r="I558" s="6"/>
      <c r="J558" s="6"/>
      <c r="K558" s="6"/>
      <c r="L558" s="6"/>
      <c r="M558" s="6"/>
      <c r="N558" s="6"/>
      <c r="O558" s="6"/>
      <c r="P558" s="6"/>
    </row>
    <row r="559" spans="1:16">
      <c r="A559" s="82"/>
      <c r="B559" s="82"/>
      <c r="C559" s="83"/>
      <c r="D559" s="6"/>
      <c r="E559" s="6"/>
      <c r="F559" s="6"/>
      <c r="G559" s="6"/>
      <c r="H559" s="6"/>
      <c r="I559" s="6"/>
      <c r="J559" s="6"/>
      <c r="K559" s="6"/>
      <c r="L559" s="6"/>
      <c r="M559" s="6"/>
      <c r="N559" s="6"/>
      <c r="O559" s="6"/>
      <c r="P559" s="6"/>
    </row>
    <row r="560" spans="1:16">
      <c r="A560" s="82"/>
      <c r="B560" s="82"/>
      <c r="C560" s="83"/>
      <c r="D560" s="6"/>
      <c r="E560" s="6"/>
      <c r="F560" s="6"/>
      <c r="G560" s="6"/>
      <c r="H560" s="6"/>
      <c r="I560" s="6"/>
      <c r="J560" s="6"/>
      <c r="K560" s="6"/>
      <c r="L560" s="6"/>
      <c r="M560" s="6"/>
      <c r="N560" s="6"/>
      <c r="O560" s="6"/>
      <c r="P560" s="6"/>
    </row>
    <row r="561" spans="1:16">
      <c r="A561" s="82"/>
      <c r="B561" s="82"/>
      <c r="C561" s="83"/>
      <c r="D561" s="6"/>
      <c r="E561" s="6"/>
      <c r="F561" s="6"/>
      <c r="G561" s="6"/>
      <c r="H561" s="6"/>
      <c r="I561" s="6"/>
      <c r="J561" s="6"/>
      <c r="K561" s="6"/>
      <c r="L561" s="6"/>
      <c r="M561" s="6"/>
      <c r="N561" s="6"/>
      <c r="O561" s="6"/>
      <c r="P561" s="6"/>
    </row>
    <row r="562" spans="1:16">
      <c r="A562" s="82"/>
      <c r="B562" s="82"/>
      <c r="C562" s="83"/>
      <c r="D562" s="6"/>
      <c r="E562" s="6"/>
      <c r="F562" s="6"/>
      <c r="G562" s="6"/>
      <c r="H562" s="6"/>
      <c r="I562" s="6"/>
      <c r="J562" s="6"/>
      <c r="K562" s="6"/>
      <c r="L562" s="6"/>
      <c r="M562" s="6"/>
      <c r="N562" s="6"/>
      <c r="O562" s="6"/>
      <c r="P562" s="6"/>
    </row>
    <row r="563" spans="1:16">
      <c r="A563" s="82"/>
      <c r="B563" s="82"/>
      <c r="C563" s="83"/>
      <c r="D563" s="6"/>
      <c r="E563" s="6"/>
      <c r="F563" s="6"/>
      <c r="G563" s="6"/>
      <c r="H563" s="6"/>
      <c r="I563" s="6"/>
      <c r="J563" s="6"/>
      <c r="K563" s="6"/>
      <c r="L563" s="6"/>
      <c r="M563" s="6"/>
      <c r="N563" s="6"/>
      <c r="O563" s="6"/>
      <c r="P563" s="6"/>
    </row>
    <row r="564" spans="1:16">
      <c r="A564" s="82"/>
      <c r="B564" s="82"/>
      <c r="C564" s="83"/>
      <c r="D564" s="6"/>
      <c r="E564" s="6"/>
      <c r="F564" s="6"/>
      <c r="G564" s="6"/>
      <c r="H564" s="6"/>
      <c r="I564" s="6"/>
      <c r="J564" s="6"/>
      <c r="K564" s="6"/>
      <c r="L564" s="6"/>
      <c r="M564" s="6"/>
      <c r="N564" s="6"/>
      <c r="O564" s="6"/>
      <c r="P564" s="6"/>
    </row>
    <row r="565" spans="1:16">
      <c r="A565" s="82"/>
      <c r="B565" s="82"/>
      <c r="C565" s="83"/>
      <c r="D565" s="6"/>
      <c r="E565" s="6"/>
      <c r="F565" s="6"/>
      <c r="G565" s="6"/>
      <c r="H565" s="6"/>
      <c r="I565" s="6"/>
      <c r="J565" s="6"/>
      <c r="K565" s="6"/>
      <c r="L565" s="6"/>
      <c r="M565" s="6"/>
      <c r="N565" s="6"/>
      <c r="O565" s="6"/>
      <c r="P565" s="6"/>
    </row>
    <row r="566" spans="1:16">
      <c r="A566" s="82"/>
      <c r="B566" s="82"/>
      <c r="C566" s="83"/>
      <c r="D566" s="6"/>
      <c r="E566" s="6"/>
      <c r="F566" s="6"/>
      <c r="G566" s="6"/>
      <c r="H566" s="6"/>
      <c r="I566" s="6"/>
      <c r="J566" s="6"/>
      <c r="K566" s="6"/>
      <c r="L566" s="6"/>
      <c r="M566" s="6"/>
      <c r="N566" s="6"/>
      <c r="O566" s="6"/>
      <c r="P566" s="6"/>
    </row>
    <row r="567" spans="1:16">
      <c r="A567" s="82"/>
      <c r="B567" s="82"/>
      <c r="C567" s="83"/>
      <c r="D567" s="6"/>
      <c r="E567" s="6"/>
      <c r="F567" s="6"/>
      <c r="G567" s="6"/>
      <c r="H567" s="6"/>
      <c r="I567" s="6"/>
      <c r="J567" s="6"/>
      <c r="K567" s="6"/>
      <c r="L567" s="6"/>
      <c r="M567" s="6"/>
      <c r="N567" s="6"/>
      <c r="O567" s="6"/>
      <c r="P567" s="6"/>
    </row>
    <row r="568" spans="1:16">
      <c r="A568" s="82"/>
      <c r="B568" s="82"/>
      <c r="C568" s="83"/>
      <c r="D568" s="6"/>
      <c r="E568" s="6"/>
      <c r="F568" s="6"/>
      <c r="G568" s="6"/>
      <c r="H568" s="6"/>
      <c r="I568" s="6"/>
      <c r="J568" s="6"/>
      <c r="K568" s="6"/>
      <c r="L568" s="6"/>
      <c r="M568" s="6"/>
      <c r="N568" s="6"/>
      <c r="O568" s="6"/>
      <c r="P568" s="6"/>
    </row>
    <row r="569" spans="1:16">
      <c r="A569" s="82"/>
      <c r="B569" s="82"/>
      <c r="C569" s="83"/>
      <c r="D569" s="6"/>
      <c r="E569" s="6"/>
      <c r="F569" s="6"/>
      <c r="G569" s="6"/>
      <c r="H569" s="6"/>
      <c r="I569" s="6"/>
      <c r="J569" s="6"/>
      <c r="K569" s="6"/>
      <c r="L569" s="6"/>
      <c r="M569" s="6"/>
      <c r="N569" s="6"/>
      <c r="O569" s="6"/>
      <c r="P569" s="6"/>
    </row>
    <row r="570" spans="1:16">
      <c r="A570" s="82"/>
      <c r="B570" s="82"/>
      <c r="C570" s="83"/>
      <c r="D570" s="6"/>
      <c r="E570" s="6"/>
      <c r="F570" s="6"/>
      <c r="G570" s="6"/>
      <c r="H570" s="6"/>
      <c r="I570" s="6"/>
      <c r="J570" s="6"/>
      <c r="K570" s="6"/>
      <c r="L570" s="6"/>
      <c r="M570" s="6"/>
      <c r="N570" s="6"/>
      <c r="O570" s="6"/>
      <c r="P570" s="6"/>
    </row>
    <row r="571" spans="1:16">
      <c r="A571" s="82"/>
      <c r="B571" s="82"/>
      <c r="C571" s="83"/>
      <c r="D571" s="6"/>
      <c r="E571" s="6"/>
      <c r="F571" s="6"/>
      <c r="G571" s="6"/>
      <c r="H571" s="6"/>
      <c r="I571" s="6"/>
      <c r="J571" s="6"/>
      <c r="K571" s="6"/>
      <c r="L571" s="6"/>
      <c r="M571" s="6"/>
      <c r="N571" s="6"/>
      <c r="O571" s="6"/>
      <c r="P571" s="6"/>
    </row>
    <row r="572" spans="1:16">
      <c r="A572" s="82"/>
      <c r="B572" s="82"/>
      <c r="C572" s="83"/>
      <c r="D572" s="6"/>
      <c r="E572" s="6"/>
      <c r="F572" s="6"/>
      <c r="G572" s="6"/>
      <c r="H572" s="6"/>
      <c r="I572" s="6"/>
      <c r="J572" s="6"/>
      <c r="K572" s="6"/>
      <c r="L572" s="6"/>
      <c r="M572" s="6"/>
      <c r="N572" s="6"/>
      <c r="O572" s="6"/>
      <c r="P572" s="6"/>
    </row>
    <row r="573" spans="1:16">
      <c r="A573" s="82"/>
      <c r="B573" s="82"/>
      <c r="C573" s="83"/>
      <c r="D573" s="6"/>
      <c r="E573" s="6"/>
      <c r="F573" s="6"/>
      <c r="G573" s="6"/>
      <c r="H573" s="6"/>
      <c r="I573" s="6"/>
      <c r="J573" s="6"/>
      <c r="K573" s="6"/>
      <c r="L573" s="6"/>
      <c r="M573" s="6"/>
      <c r="N573" s="6"/>
      <c r="O573" s="6"/>
      <c r="P573" s="6"/>
    </row>
    <row r="574" spans="1:16">
      <c r="A574" s="82"/>
      <c r="B574" s="82"/>
      <c r="C574" s="83"/>
      <c r="D574" s="6"/>
      <c r="E574" s="6"/>
      <c r="F574" s="6"/>
      <c r="G574" s="6"/>
      <c r="H574" s="6"/>
      <c r="I574" s="6"/>
      <c r="J574" s="6"/>
      <c r="K574" s="6"/>
      <c r="L574" s="6"/>
      <c r="M574" s="6"/>
      <c r="N574" s="6"/>
      <c r="O574" s="6"/>
      <c r="P574" s="6"/>
    </row>
    <row r="575" spans="1:16">
      <c r="A575" s="82"/>
      <c r="B575" s="82"/>
      <c r="C575" s="83"/>
      <c r="D575" s="6"/>
      <c r="E575" s="6"/>
      <c r="F575" s="6"/>
      <c r="G575" s="6"/>
      <c r="H575" s="6"/>
      <c r="I575" s="6"/>
      <c r="J575" s="6"/>
      <c r="K575" s="6"/>
      <c r="L575" s="6"/>
      <c r="M575" s="6"/>
      <c r="N575" s="6"/>
      <c r="O575" s="6"/>
      <c r="P575" s="6"/>
    </row>
    <row r="576" spans="1:16">
      <c r="A576" s="82"/>
      <c r="B576" s="82"/>
      <c r="C576" s="83"/>
      <c r="D576" s="6"/>
      <c r="E576" s="6"/>
      <c r="F576" s="6"/>
      <c r="G576" s="6"/>
      <c r="H576" s="6"/>
      <c r="I576" s="6"/>
      <c r="J576" s="6"/>
      <c r="K576" s="6"/>
      <c r="L576" s="6"/>
      <c r="M576" s="6"/>
      <c r="N576" s="6"/>
      <c r="O576" s="6"/>
      <c r="P576" s="6"/>
    </row>
    <row r="577" spans="1:16">
      <c r="A577" s="82"/>
      <c r="B577" s="82"/>
      <c r="C577" s="83"/>
      <c r="D577" s="6"/>
      <c r="E577" s="6"/>
      <c r="F577" s="6"/>
      <c r="G577" s="6"/>
      <c r="H577" s="6"/>
      <c r="I577" s="6"/>
      <c r="J577" s="6"/>
      <c r="K577" s="6"/>
      <c r="L577" s="6"/>
      <c r="M577" s="6"/>
      <c r="N577" s="6"/>
      <c r="O577" s="6"/>
      <c r="P577" s="6"/>
    </row>
    <row r="578" spans="1:16">
      <c r="A578" s="82"/>
      <c r="B578" s="82"/>
      <c r="C578" s="83"/>
      <c r="D578" s="6"/>
      <c r="E578" s="6"/>
      <c r="F578" s="6"/>
      <c r="G578" s="6"/>
      <c r="H578" s="6"/>
      <c r="I578" s="6"/>
      <c r="J578" s="6"/>
      <c r="K578" s="6"/>
      <c r="L578" s="6"/>
      <c r="M578" s="6"/>
      <c r="N578" s="6"/>
      <c r="O578" s="6"/>
      <c r="P578" s="6"/>
    </row>
    <row r="579" spans="1:16">
      <c r="A579" s="82"/>
      <c r="B579" s="82"/>
      <c r="C579" s="83"/>
      <c r="D579" s="6"/>
      <c r="E579" s="6"/>
      <c r="F579" s="6"/>
      <c r="G579" s="6"/>
      <c r="H579" s="6"/>
      <c r="I579" s="6"/>
      <c r="J579" s="6"/>
      <c r="K579" s="6"/>
      <c r="L579" s="6"/>
      <c r="M579" s="6"/>
      <c r="N579" s="6"/>
      <c r="O579" s="6"/>
      <c r="P579" s="6"/>
    </row>
    <row r="580" spans="1:16">
      <c r="A580" s="82"/>
      <c r="B580" s="82"/>
      <c r="C580" s="83"/>
      <c r="D580" s="6"/>
      <c r="E580" s="6"/>
      <c r="F580" s="6"/>
      <c r="G580" s="6"/>
      <c r="H580" s="6"/>
      <c r="I580" s="6"/>
      <c r="J580" s="6"/>
      <c r="K580" s="6"/>
      <c r="L580" s="6"/>
      <c r="M580" s="6"/>
      <c r="N580" s="6"/>
      <c r="O580" s="6"/>
      <c r="P580" s="6"/>
    </row>
    <row r="581" spans="1:16">
      <c r="A581" s="82"/>
      <c r="B581" s="82"/>
      <c r="C581" s="83"/>
      <c r="D581" s="6"/>
      <c r="E581" s="6"/>
      <c r="F581" s="6"/>
      <c r="G581" s="6"/>
      <c r="H581" s="6"/>
      <c r="I581" s="6"/>
      <c r="J581" s="6"/>
      <c r="K581" s="6"/>
      <c r="L581" s="6"/>
      <c r="M581" s="6"/>
      <c r="N581" s="6"/>
      <c r="O581" s="6"/>
      <c r="P581" s="6"/>
    </row>
    <row r="582" spans="1:16">
      <c r="A582" s="82"/>
      <c r="B582" s="82"/>
      <c r="C582" s="83"/>
      <c r="D582" s="6"/>
      <c r="E582" s="6"/>
      <c r="F582" s="6"/>
      <c r="G582" s="6"/>
      <c r="H582" s="6"/>
      <c r="I582" s="6"/>
      <c r="J582" s="6"/>
      <c r="K582" s="6"/>
      <c r="L582" s="6"/>
      <c r="M582" s="6"/>
      <c r="N582" s="6"/>
      <c r="O582" s="6"/>
      <c r="P582" s="6"/>
    </row>
    <row r="583" spans="1:16">
      <c r="A583" s="82"/>
      <c r="B583" s="82"/>
      <c r="C583" s="83"/>
      <c r="D583" s="6"/>
      <c r="E583" s="6"/>
      <c r="F583" s="6"/>
      <c r="G583" s="6"/>
      <c r="H583" s="6"/>
      <c r="I583" s="6"/>
      <c r="J583" s="6"/>
      <c r="K583" s="6"/>
      <c r="L583" s="6"/>
      <c r="M583" s="6"/>
      <c r="N583" s="6"/>
      <c r="O583" s="6"/>
      <c r="P583" s="6"/>
    </row>
    <row r="584" spans="1:16">
      <c r="A584" s="82"/>
      <c r="B584" s="82"/>
      <c r="C584" s="83"/>
      <c r="D584" s="6"/>
      <c r="E584" s="6"/>
      <c r="F584" s="6"/>
      <c r="G584" s="6"/>
      <c r="H584" s="6"/>
      <c r="I584" s="6"/>
      <c r="J584" s="6"/>
      <c r="K584" s="6"/>
      <c r="L584" s="6"/>
      <c r="M584" s="6"/>
      <c r="N584" s="6"/>
      <c r="O584" s="6"/>
      <c r="P584" s="6"/>
    </row>
    <row r="585" spans="1:16">
      <c r="A585" s="82"/>
      <c r="B585" s="82"/>
      <c r="C585" s="83"/>
      <c r="D585" s="6"/>
      <c r="E585" s="6"/>
      <c r="F585" s="6"/>
      <c r="G585" s="6"/>
      <c r="H585" s="6"/>
      <c r="I585" s="6"/>
      <c r="J585" s="6"/>
      <c r="K585" s="6"/>
      <c r="L585" s="6"/>
      <c r="M585" s="6"/>
      <c r="N585" s="6"/>
      <c r="O585" s="6"/>
      <c r="P585" s="6"/>
    </row>
    <row r="586" spans="1:16">
      <c r="A586" s="82"/>
      <c r="B586" s="82"/>
      <c r="C586" s="83"/>
      <c r="D586" s="6"/>
      <c r="E586" s="6"/>
      <c r="F586" s="6"/>
      <c r="G586" s="6"/>
      <c r="H586" s="6"/>
      <c r="I586" s="6"/>
      <c r="J586" s="6"/>
      <c r="K586" s="6"/>
      <c r="L586" s="6"/>
      <c r="M586" s="6"/>
      <c r="N586" s="6"/>
      <c r="O586" s="6"/>
      <c r="P586" s="6"/>
    </row>
    <row r="587" spans="1:16">
      <c r="A587" s="82"/>
      <c r="B587" s="82"/>
      <c r="C587" s="83"/>
      <c r="D587" s="6"/>
      <c r="E587" s="6"/>
      <c r="F587" s="6"/>
      <c r="G587" s="6"/>
      <c r="H587" s="6"/>
      <c r="I587" s="6"/>
      <c r="J587" s="6"/>
      <c r="K587" s="6"/>
      <c r="L587" s="6"/>
      <c r="M587" s="6"/>
      <c r="N587" s="6"/>
      <c r="O587" s="6"/>
      <c r="P587" s="6"/>
    </row>
    <row r="588" spans="1:16">
      <c r="A588" s="82"/>
      <c r="B588" s="82"/>
      <c r="C588" s="83"/>
      <c r="D588" s="6"/>
      <c r="E588" s="6"/>
      <c r="F588" s="6"/>
      <c r="G588" s="6"/>
      <c r="H588" s="6"/>
      <c r="I588" s="6"/>
      <c r="J588" s="6"/>
      <c r="K588" s="6"/>
      <c r="L588" s="6"/>
      <c r="M588" s="6"/>
      <c r="N588" s="6"/>
      <c r="O588" s="6"/>
      <c r="P588" s="6"/>
    </row>
    <row r="589" spans="1:16">
      <c r="A589" s="82"/>
      <c r="B589" s="82"/>
      <c r="C589" s="83"/>
      <c r="D589" s="6"/>
      <c r="E589" s="6"/>
      <c r="F589" s="6"/>
      <c r="G589" s="6"/>
      <c r="H589" s="6"/>
      <c r="I589" s="6"/>
      <c r="J589" s="6"/>
      <c r="K589" s="6"/>
      <c r="L589" s="6"/>
      <c r="M589" s="6"/>
      <c r="N589" s="6"/>
      <c r="O589" s="6"/>
      <c r="P589" s="6"/>
    </row>
    <row r="590" spans="1:16">
      <c r="A590" s="82"/>
      <c r="B590" s="82"/>
      <c r="C590" s="83"/>
      <c r="D590" s="6"/>
      <c r="E590" s="6"/>
      <c r="F590" s="6"/>
      <c r="G590" s="6"/>
      <c r="H590" s="6"/>
      <c r="I590" s="6"/>
      <c r="J590" s="6"/>
      <c r="K590" s="6"/>
      <c r="L590" s="6"/>
      <c r="M590" s="6"/>
      <c r="N590" s="6"/>
      <c r="O590" s="6"/>
      <c r="P590" s="6"/>
    </row>
    <row r="591" spans="1:16">
      <c r="A591" s="82"/>
      <c r="B591" s="82"/>
      <c r="C591" s="83"/>
      <c r="D591" s="6"/>
      <c r="E591" s="6"/>
      <c r="F591" s="6"/>
      <c r="G591" s="6"/>
      <c r="H591" s="6"/>
      <c r="I591" s="6"/>
      <c r="J591" s="6"/>
      <c r="K591" s="6"/>
      <c r="L591" s="6"/>
      <c r="M591" s="6"/>
      <c r="N591" s="6"/>
      <c r="O591" s="6"/>
      <c r="P591" s="6"/>
    </row>
    <row r="592" spans="1:16">
      <c r="A592" s="82"/>
      <c r="B592" s="82"/>
      <c r="C592" s="83"/>
      <c r="D592" s="6"/>
      <c r="E592" s="6"/>
      <c r="F592" s="6"/>
      <c r="G592" s="6"/>
      <c r="H592" s="6"/>
      <c r="I592" s="6"/>
      <c r="J592" s="6"/>
      <c r="K592" s="6"/>
      <c r="L592" s="6"/>
      <c r="M592" s="6"/>
      <c r="N592" s="6"/>
      <c r="O592" s="6"/>
      <c r="P592" s="6"/>
    </row>
    <row r="593" spans="1:16">
      <c r="A593" s="82"/>
      <c r="B593" s="82"/>
      <c r="C593" s="83"/>
      <c r="D593" s="6"/>
      <c r="E593" s="6"/>
      <c r="F593" s="6"/>
      <c r="G593" s="6"/>
      <c r="H593" s="6"/>
      <c r="I593" s="6"/>
      <c r="J593" s="6"/>
      <c r="K593" s="6"/>
      <c r="L593" s="6"/>
      <c r="M593" s="6"/>
      <c r="N593" s="6"/>
      <c r="O593" s="6"/>
      <c r="P593" s="6"/>
    </row>
    <row r="594" spans="1:16">
      <c r="A594" s="82"/>
      <c r="B594" s="82"/>
      <c r="C594" s="83"/>
      <c r="D594" s="6"/>
      <c r="E594" s="6"/>
      <c r="F594" s="6"/>
      <c r="G594" s="6"/>
      <c r="H594" s="6"/>
      <c r="I594" s="6"/>
      <c r="J594" s="6"/>
      <c r="K594" s="6"/>
      <c r="L594" s="6"/>
      <c r="M594" s="6"/>
      <c r="N594" s="6"/>
      <c r="O594" s="6"/>
      <c r="P594" s="6"/>
    </row>
    <row r="595" spans="1:16">
      <c r="A595" s="82"/>
      <c r="B595" s="82"/>
      <c r="C595" s="83"/>
      <c r="D595" s="6"/>
      <c r="E595" s="6"/>
      <c r="F595" s="6"/>
      <c r="G595" s="6"/>
      <c r="H595" s="6"/>
      <c r="I595" s="6"/>
      <c r="J595" s="6"/>
      <c r="K595" s="6"/>
      <c r="L595" s="6"/>
      <c r="M595" s="6"/>
      <c r="N595" s="6"/>
      <c r="O595" s="6"/>
      <c r="P595" s="6"/>
    </row>
    <row r="596" spans="1:16">
      <c r="A596" s="82"/>
      <c r="B596" s="82"/>
      <c r="C596" s="83"/>
      <c r="D596" s="6"/>
      <c r="E596" s="6"/>
      <c r="F596" s="6"/>
      <c r="G596" s="6"/>
      <c r="H596" s="6"/>
      <c r="I596" s="6"/>
      <c r="J596" s="6"/>
      <c r="K596" s="6"/>
      <c r="L596" s="6"/>
      <c r="M596" s="6"/>
      <c r="N596" s="6"/>
      <c r="O596" s="6"/>
      <c r="P596" s="6"/>
    </row>
    <row r="597" spans="1:16">
      <c r="A597" s="82"/>
      <c r="B597" s="82"/>
      <c r="C597" s="83"/>
      <c r="D597" s="6"/>
      <c r="E597" s="6"/>
      <c r="F597" s="6"/>
      <c r="G597" s="6"/>
      <c r="H597" s="6"/>
      <c r="I597" s="6"/>
      <c r="J597" s="6"/>
      <c r="K597" s="6"/>
      <c r="L597" s="6"/>
      <c r="M597" s="6"/>
      <c r="N597" s="6"/>
      <c r="O597" s="6"/>
      <c r="P597" s="6"/>
    </row>
    <row r="598" spans="1:16">
      <c r="A598" s="82"/>
      <c r="B598" s="82"/>
      <c r="C598" s="83"/>
      <c r="D598" s="6"/>
      <c r="E598" s="6"/>
      <c r="F598" s="6"/>
      <c r="G598" s="6"/>
      <c r="H598" s="6"/>
      <c r="I598" s="6"/>
      <c r="J598" s="6"/>
      <c r="K598" s="6"/>
      <c r="L598" s="6"/>
      <c r="M598" s="6"/>
      <c r="N598" s="6"/>
      <c r="O598" s="6"/>
      <c r="P598" s="6"/>
    </row>
    <row r="599" spans="1:16">
      <c r="A599" s="82"/>
      <c r="B599" s="82"/>
      <c r="C599" s="83"/>
      <c r="D599" s="6"/>
      <c r="E599" s="6"/>
      <c r="F599" s="6"/>
      <c r="G599" s="6"/>
      <c r="H599" s="6"/>
      <c r="I599" s="6"/>
      <c r="J599" s="6"/>
      <c r="K599" s="6"/>
      <c r="L599" s="6"/>
      <c r="M599" s="6"/>
      <c r="N599" s="6"/>
      <c r="O599" s="6"/>
      <c r="P599" s="6"/>
    </row>
    <row r="600" spans="1:16">
      <c r="A600" s="82"/>
      <c r="B600" s="82"/>
      <c r="C600" s="83"/>
      <c r="D600" s="6"/>
      <c r="E600" s="6"/>
      <c r="F600" s="6"/>
      <c r="G600" s="6"/>
      <c r="H600" s="6"/>
      <c r="I600" s="6"/>
      <c r="J600" s="6"/>
      <c r="K600" s="6"/>
      <c r="L600" s="6"/>
      <c r="M600" s="6"/>
      <c r="N600" s="6"/>
      <c r="O600" s="6"/>
      <c r="P600" s="6"/>
    </row>
    <row r="601" spans="1:16">
      <c r="A601" s="82"/>
      <c r="B601" s="82"/>
      <c r="C601" s="83"/>
      <c r="D601" s="6"/>
      <c r="E601" s="6"/>
      <c r="F601" s="6"/>
      <c r="G601" s="6"/>
      <c r="H601" s="6"/>
      <c r="I601" s="6"/>
      <c r="J601" s="6"/>
      <c r="K601" s="6"/>
      <c r="L601" s="6"/>
      <c r="M601" s="6"/>
      <c r="N601" s="6"/>
      <c r="O601" s="6"/>
      <c r="P601" s="6"/>
    </row>
    <row r="602" spans="1:16">
      <c r="A602" s="82"/>
      <c r="B602" s="82"/>
      <c r="C602" s="83"/>
      <c r="D602" s="6"/>
      <c r="E602" s="6"/>
      <c r="F602" s="6"/>
      <c r="G602" s="6"/>
      <c r="H602" s="6"/>
      <c r="I602" s="6"/>
      <c r="J602" s="6"/>
      <c r="K602" s="6"/>
      <c r="L602" s="6"/>
      <c r="M602" s="6"/>
      <c r="N602" s="6"/>
      <c r="O602" s="6"/>
      <c r="P602" s="6"/>
    </row>
    <row r="603" spans="1:16">
      <c r="A603" s="82"/>
      <c r="B603" s="82"/>
      <c r="C603" s="83"/>
      <c r="D603" s="6"/>
      <c r="E603" s="6"/>
      <c r="F603" s="6"/>
      <c r="G603" s="6"/>
      <c r="H603" s="6"/>
      <c r="I603" s="6"/>
      <c r="J603" s="6"/>
      <c r="K603" s="6"/>
      <c r="L603" s="6"/>
      <c r="M603" s="6"/>
      <c r="N603" s="6"/>
      <c r="O603" s="6"/>
      <c r="P603" s="6"/>
    </row>
    <row r="604" spans="1:16">
      <c r="A604" s="82"/>
      <c r="B604" s="82"/>
      <c r="C604" s="83"/>
      <c r="D604" s="6"/>
      <c r="E604" s="6"/>
      <c r="F604" s="6"/>
      <c r="G604" s="6"/>
      <c r="H604" s="6"/>
      <c r="I604" s="6"/>
      <c r="J604" s="6"/>
      <c r="K604" s="6"/>
      <c r="L604" s="6"/>
      <c r="M604" s="6"/>
      <c r="N604" s="6"/>
      <c r="O604" s="6"/>
      <c r="P604" s="6"/>
    </row>
    <row r="605" spans="1:16">
      <c r="A605" s="82"/>
      <c r="B605" s="82"/>
      <c r="C605" s="83"/>
      <c r="D605" s="6"/>
      <c r="E605" s="6"/>
      <c r="F605" s="6"/>
      <c r="G605" s="6"/>
      <c r="H605" s="6"/>
      <c r="I605" s="6"/>
      <c r="J605" s="6"/>
      <c r="K605" s="6"/>
      <c r="L605" s="6"/>
      <c r="M605" s="6"/>
      <c r="N605" s="6"/>
      <c r="O605" s="6"/>
      <c r="P605" s="6"/>
    </row>
    <row r="606" spans="1:16">
      <c r="A606" s="82"/>
      <c r="B606" s="82"/>
      <c r="C606" s="83"/>
      <c r="D606" s="6"/>
      <c r="E606" s="6"/>
      <c r="F606" s="6"/>
      <c r="G606" s="6"/>
      <c r="H606" s="6"/>
      <c r="I606" s="6"/>
      <c r="J606" s="6"/>
      <c r="K606" s="6"/>
      <c r="L606" s="6"/>
      <c r="M606" s="6"/>
      <c r="N606" s="6"/>
      <c r="O606" s="6"/>
      <c r="P606" s="6"/>
    </row>
    <row r="607" spans="1:16">
      <c r="A607" s="82"/>
      <c r="B607" s="82"/>
      <c r="C607" s="83"/>
      <c r="D607" s="6"/>
      <c r="E607" s="6"/>
      <c r="F607" s="6"/>
      <c r="G607" s="6"/>
      <c r="H607" s="6"/>
      <c r="I607" s="6"/>
      <c r="J607" s="6"/>
      <c r="K607" s="6"/>
      <c r="L607" s="6"/>
      <c r="M607" s="6"/>
      <c r="N607" s="6"/>
      <c r="O607" s="6"/>
      <c r="P607" s="6"/>
    </row>
    <row r="608" spans="1:16">
      <c r="A608" s="82"/>
      <c r="B608" s="82"/>
      <c r="C608" s="83"/>
      <c r="D608" s="6"/>
      <c r="E608" s="6"/>
      <c r="F608" s="6"/>
      <c r="G608" s="6"/>
      <c r="H608" s="6"/>
      <c r="I608" s="6"/>
      <c r="J608" s="6"/>
      <c r="K608" s="6"/>
      <c r="L608" s="6"/>
      <c r="M608" s="6"/>
      <c r="N608" s="6"/>
      <c r="O608" s="6"/>
      <c r="P608" s="6"/>
    </row>
    <row r="609" spans="1:16">
      <c r="A609" s="82"/>
      <c r="B609" s="82"/>
      <c r="C609" s="83"/>
      <c r="D609" s="6"/>
      <c r="E609" s="6"/>
      <c r="F609" s="6"/>
      <c r="G609" s="6"/>
      <c r="H609" s="6"/>
      <c r="I609" s="6"/>
      <c r="J609" s="6"/>
      <c r="K609" s="6"/>
      <c r="L609" s="6"/>
      <c r="M609" s="6"/>
      <c r="N609" s="6"/>
      <c r="O609" s="6"/>
      <c r="P609" s="6"/>
    </row>
    <row r="610" spans="1:16">
      <c r="A610" s="82"/>
      <c r="B610" s="82"/>
      <c r="C610" s="83"/>
      <c r="D610" s="6"/>
      <c r="E610" s="6"/>
      <c r="F610" s="6"/>
      <c r="G610" s="6"/>
      <c r="H610" s="6"/>
      <c r="I610" s="6"/>
      <c r="J610" s="6"/>
      <c r="K610" s="6"/>
      <c r="L610" s="6"/>
      <c r="M610" s="6"/>
      <c r="N610" s="6"/>
      <c r="O610" s="6"/>
      <c r="P610" s="6"/>
    </row>
    <row r="611" spans="1:16">
      <c r="A611" s="82"/>
      <c r="B611" s="82"/>
      <c r="C611" s="83"/>
      <c r="D611" s="6"/>
      <c r="E611" s="6"/>
      <c r="F611" s="6"/>
      <c r="G611" s="6"/>
      <c r="H611" s="6"/>
      <c r="I611" s="6"/>
      <c r="J611" s="6"/>
      <c r="K611" s="6"/>
      <c r="L611" s="6"/>
      <c r="M611" s="6"/>
      <c r="N611" s="6"/>
      <c r="O611" s="6"/>
      <c r="P611" s="6"/>
    </row>
    <row r="612" spans="1:16">
      <c r="A612" s="82"/>
      <c r="B612" s="82"/>
      <c r="C612" s="83"/>
      <c r="D612" s="6"/>
      <c r="E612" s="6"/>
      <c r="F612" s="6"/>
      <c r="G612" s="6"/>
      <c r="H612" s="6"/>
      <c r="I612" s="6"/>
      <c r="J612" s="6"/>
      <c r="K612" s="6"/>
      <c r="L612" s="6"/>
      <c r="M612" s="6"/>
      <c r="N612" s="6"/>
      <c r="O612" s="6"/>
      <c r="P612" s="6"/>
    </row>
    <row r="613" spans="1:16">
      <c r="A613" s="82"/>
      <c r="B613" s="82"/>
      <c r="C613" s="83"/>
      <c r="D613" s="6"/>
      <c r="E613" s="6"/>
      <c r="F613" s="6"/>
      <c r="G613" s="6"/>
      <c r="H613" s="6"/>
      <c r="I613" s="6"/>
      <c r="J613" s="6"/>
      <c r="K613" s="6"/>
      <c r="L613" s="6"/>
      <c r="M613" s="6"/>
      <c r="N613" s="6"/>
      <c r="O613" s="6"/>
      <c r="P613" s="6"/>
    </row>
    <row r="614" spans="1:16">
      <c r="A614" s="82"/>
      <c r="B614" s="82"/>
      <c r="C614" s="83"/>
      <c r="D614" s="6"/>
      <c r="E614" s="6"/>
      <c r="F614" s="6"/>
      <c r="G614" s="6"/>
      <c r="H614" s="6"/>
      <c r="I614" s="6"/>
      <c r="J614" s="6"/>
      <c r="K614" s="6"/>
      <c r="L614" s="6"/>
      <c r="M614" s="6"/>
      <c r="N614" s="6"/>
      <c r="O614" s="6"/>
      <c r="P614" s="6"/>
    </row>
    <row r="615" spans="1:16">
      <c r="A615" s="82"/>
      <c r="B615" s="82"/>
      <c r="C615" s="83"/>
      <c r="D615" s="6"/>
      <c r="E615" s="6"/>
      <c r="F615" s="6"/>
      <c r="G615" s="6"/>
      <c r="H615" s="6"/>
      <c r="I615" s="6"/>
      <c r="J615" s="6"/>
      <c r="K615" s="6"/>
      <c r="L615" s="6"/>
      <c r="M615" s="6"/>
      <c r="N615" s="6"/>
      <c r="O615" s="6"/>
      <c r="P615" s="6"/>
    </row>
    <row r="616" spans="1:16">
      <c r="A616" s="82"/>
      <c r="B616" s="82"/>
      <c r="C616" s="83"/>
      <c r="D616" s="6"/>
      <c r="E616" s="6"/>
      <c r="F616" s="6"/>
      <c r="G616" s="6"/>
      <c r="H616" s="6"/>
      <c r="I616" s="6"/>
      <c r="J616" s="6"/>
      <c r="K616" s="6"/>
      <c r="L616" s="6"/>
      <c r="M616" s="6"/>
      <c r="N616" s="6"/>
      <c r="O616" s="6"/>
      <c r="P616" s="6"/>
    </row>
    <row r="617" spans="1:16">
      <c r="A617" s="82"/>
      <c r="B617" s="82"/>
      <c r="C617" s="83"/>
      <c r="D617" s="6"/>
      <c r="E617" s="6"/>
      <c r="F617" s="6"/>
      <c r="G617" s="6"/>
      <c r="H617" s="6"/>
      <c r="I617" s="6"/>
      <c r="J617" s="6"/>
      <c r="K617" s="6"/>
      <c r="L617" s="6"/>
      <c r="M617" s="6"/>
      <c r="N617" s="6"/>
      <c r="O617" s="6"/>
      <c r="P617" s="6"/>
    </row>
    <row r="618" spans="1:16">
      <c r="A618" s="82"/>
      <c r="B618" s="82"/>
      <c r="C618" s="83"/>
      <c r="D618" s="6"/>
      <c r="E618" s="6"/>
      <c r="F618" s="6"/>
      <c r="G618" s="6"/>
      <c r="H618" s="6"/>
      <c r="I618" s="6"/>
      <c r="J618" s="6"/>
      <c r="K618" s="6"/>
      <c r="L618" s="6"/>
      <c r="M618" s="6"/>
      <c r="N618" s="6"/>
      <c r="O618" s="6"/>
      <c r="P618" s="6"/>
    </row>
    <row r="619" spans="1:16">
      <c r="A619" s="82"/>
      <c r="B619" s="82"/>
      <c r="C619" s="83"/>
      <c r="D619" s="6"/>
      <c r="E619" s="6"/>
      <c r="F619" s="6"/>
      <c r="G619" s="6"/>
      <c r="H619" s="6"/>
      <c r="I619" s="6"/>
      <c r="J619" s="6"/>
      <c r="K619" s="6"/>
      <c r="L619" s="6"/>
      <c r="M619" s="6"/>
      <c r="N619" s="6"/>
      <c r="O619" s="6"/>
      <c r="P619" s="6"/>
    </row>
    <row r="620" spans="1:16">
      <c r="A620" s="82"/>
      <c r="B620" s="82"/>
      <c r="C620" s="83"/>
      <c r="D620" s="6"/>
      <c r="E620" s="6"/>
      <c r="F620" s="6"/>
      <c r="G620" s="6"/>
      <c r="H620" s="6"/>
      <c r="I620" s="6"/>
      <c r="J620" s="6"/>
      <c r="K620" s="6"/>
      <c r="L620" s="6"/>
      <c r="M620" s="6"/>
      <c r="N620" s="6"/>
      <c r="O620" s="6"/>
      <c r="P620" s="6"/>
    </row>
    <row r="621" spans="1:16">
      <c r="A621" s="82"/>
      <c r="B621" s="82"/>
      <c r="C621" s="83"/>
      <c r="D621" s="6"/>
      <c r="E621" s="6"/>
      <c r="F621" s="6"/>
      <c r="G621" s="6"/>
      <c r="H621" s="6"/>
      <c r="I621" s="6"/>
      <c r="J621" s="6"/>
      <c r="K621" s="6"/>
      <c r="L621" s="6"/>
      <c r="M621" s="6"/>
      <c r="N621" s="6"/>
      <c r="O621" s="6"/>
      <c r="P621" s="6"/>
    </row>
    <row r="622" spans="1:16">
      <c r="A622" s="82"/>
      <c r="B622" s="82"/>
      <c r="C622" s="83"/>
      <c r="D622" s="6"/>
      <c r="E622" s="6"/>
      <c r="F622" s="6"/>
      <c r="G622" s="6"/>
      <c r="H622" s="6"/>
      <c r="I622" s="6"/>
      <c r="J622" s="6"/>
      <c r="K622" s="6"/>
      <c r="L622" s="6"/>
      <c r="M622" s="6"/>
      <c r="N622" s="6"/>
      <c r="O622" s="6"/>
      <c r="P622" s="6"/>
    </row>
    <row r="623" spans="1:16">
      <c r="A623" s="82"/>
      <c r="B623" s="82"/>
      <c r="C623" s="83"/>
      <c r="D623" s="6"/>
      <c r="E623" s="6"/>
      <c r="F623" s="6"/>
      <c r="G623" s="6"/>
      <c r="H623" s="6"/>
      <c r="I623" s="6"/>
      <c r="J623" s="6"/>
      <c r="K623" s="6"/>
      <c r="L623" s="6"/>
      <c r="M623" s="6"/>
      <c r="N623" s="6"/>
      <c r="O623" s="6"/>
      <c r="P623" s="6"/>
    </row>
    <row r="624" spans="1:16">
      <c r="A624" s="82"/>
      <c r="B624" s="82"/>
      <c r="C624" s="83"/>
      <c r="D624" s="6"/>
      <c r="E624" s="6"/>
      <c r="F624" s="6"/>
      <c r="G624" s="6"/>
      <c r="H624" s="6"/>
      <c r="I624" s="6"/>
      <c r="J624" s="6"/>
      <c r="K624" s="6"/>
      <c r="L624" s="6"/>
      <c r="M624" s="6"/>
      <c r="N624" s="6"/>
      <c r="O624" s="6"/>
      <c r="P624" s="6"/>
    </row>
    <row r="625" spans="1:16">
      <c r="A625" s="82"/>
      <c r="B625" s="82"/>
      <c r="C625" s="83"/>
      <c r="D625" s="6"/>
      <c r="E625" s="6"/>
      <c r="F625" s="6"/>
      <c r="G625" s="6"/>
      <c r="H625" s="6"/>
      <c r="I625" s="6"/>
      <c r="J625" s="6"/>
      <c r="K625" s="6"/>
      <c r="L625" s="6"/>
      <c r="M625" s="6"/>
      <c r="N625" s="6"/>
      <c r="O625" s="6"/>
      <c r="P625" s="6"/>
    </row>
    <row r="626" spans="1:16">
      <c r="A626" s="82"/>
      <c r="B626" s="82"/>
      <c r="C626" s="83"/>
      <c r="D626" s="6"/>
      <c r="E626" s="6"/>
      <c r="F626" s="6"/>
      <c r="G626" s="6"/>
      <c r="H626" s="6"/>
      <c r="I626" s="6"/>
      <c r="J626" s="6"/>
      <c r="K626" s="6"/>
      <c r="L626" s="6"/>
      <c r="M626" s="6"/>
      <c r="N626" s="6"/>
      <c r="O626" s="6"/>
      <c r="P626" s="6"/>
    </row>
    <row r="627" spans="1:16">
      <c r="A627" s="82"/>
      <c r="B627" s="82"/>
      <c r="C627" s="83"/>
      <c r="D627" s="6"/>
      <c r="E627" s="6"/>
      <c r="F627" s="6"/>
      <c r="G627" s="6"/>
      <c r="H627" s="6"/>
      <c r="I627" s="6"/>
      <c r="J627" s="6"/>
      <c r="K627" s="6"/>
      <c r="L627" s="6"/>
      <c r="M627" s="6"/>
      <c r="N627" s="6"/>
      <c r="O627" s="6"/>
      <c r="P627" s="6"/>
    </row>
    <row r="628" spans="1:16">
      <c r="A628" s="82"/>
      <c r="B628" s="82"/>
      <c r="C628" s="83"/>
      <c r="D628" s="6"/>
      <c r="E628" s="6"/>
      <c r="F628" s="6"/>
      <c r="G628" s="6"/>
      <c r="H628" s="6"/>
      <c r="I628" s="6"/>
      <c r="J628" s="6"/>
      <c r="K628" s="6"/>
      <c r="L628" s="6"/>
      <c r="M628" s="6"/>
      <c r="N628" s="6"/>
      <c r="O628" s="6"/>
      <c r="P628" s="6"/>
    </row>
    <row r="629" spans="1:16">
      <c r="A629" s="82"/>
      <c r="B629" s="82"/>
      <c r="C629" s="83"/>
      <c r="D629" s="6"/>
      <c r="E629" s="6"/>
      <c r="F629" s="6"/>
      <c r="G629" s="6"/>
      <c r="H629" s="6"/>
      <c r="I629" s="6"/>
      <c r="J629" s="6"/>
      <c r="K629" s="6"/>
      <c r="L629" s="6"/>
      <c r="M629" s="6"/>
      <c r="N629" s="6"/>
      <c r="O629" s="6"/>
      <c r="P629" s="6"/>
    </row>
    <row r="630" spans="1:16">
      <c r="A630" s="82"/>
      <c r="B630" s="82"/>
      <c r="C630" s="83"/>
      <c r="D630" s="6"/>
      <c r="E630" s="6"/>
      <c r="F630" s="6"/>
      <c r="G630" s="6"/>
      <c r="H630" s="6"/>
      <c r="I630" s="6"/>
      <c r="J630" s="6"/>
      <c r="K630" s="6"/>
      <c r="L630" s="6"/>
      <c r="M630" s="6"/>
      <c r="N630" s="6"/>
      <c r="O630" s="6"/>
      <c r="P630" s="6"/>
    </row>
    <row r="631" spans="1:16">
      <c r="A631" s="82"/>
      <c r="B631" s="82"/>
      <c r="C631" s="83"/>
      <c r="D631" s="6"/>
      <c r="E631" s="6"/>
      <c r="F631" s="6"/>
      <c r="G631" s="6"/>
      <c r="H631" s="6"/>
      <c r="I631" s="6"/>
      <c r="J631" s="6"/>
      <c r="K631" s="6"/>
      <c r="L631" s="6"/>
      <c r="M631" s="6"/>
      <c r="N631" s="6"/>
      <c r="O631" s="6"/>
      <c r="P631" s="6"/>
    </row>
    <row r="632" spans="1:16">
      <c r="A632" s="82"/>
      <c r="B632" s="82"/>
      <c r="C632" s="83"/>
      <c r="D632" s="6"/>
      <c r="E632" s="6"/>
      <c r="F632" s="6"/>
      <c r="G632" s="6"/>
      <c r="H632" s="6"/>
      <c r="I632" s="6"/>
      <c r="J632" s="6"/>
      <c r="K632" s="6"/>
      <c r="L632" s="6"/>
      <c r="M632" s="6"/>
      <c r="N632" s="6"/>
      <c r="O632" s="6"/>
      <c r="P632" s="6"/>
    </row>
    <row r="633" spans="1:16">
      <c r="A633" s="82"/>
      <c r="B633" s="82"/>
      <c r="C633" s="83"/>
      <c r="D633" s="6"/>
      <c r="E633" s="6"/>
      <c r="F633" s="6"/>
      <c r="G633" s="6"/>
      <c r="H633" s="6"/>
      <c r="I633" s="6"/>
      <c r="J633" s="6"/>
      <c r="K633" s="6"/>
      <c r="L633" s="6"/>
      <c r="M633" s="6"/>
      <c r="N633" s="6"/>
      <c r="O633" s="6"/>
      <c r="P633" s="6"/>
    </row>
    <row r="634" spans="1:16">
      <c r="A634" s="82"/>
      <c r="B634" s="82"/>
      <c r="C634" s="83"/>
      <c r="D634" s="6"/>
      <c r="E634" s="6"/>
      <c r="F634" s="6"/>
      <c r="G634" s="6"/>
      <c r="H634" s="6"/>
      <c r="I634" s="6"/>
      <c r="J634" s="6"/>
      <c r="K634" s="6"/>
      <c r="L634" s="6"/>
      <c r="M634" s="6"/>
      <c r="N634" s="6"/>
      <c r="O634" s="6"/>
      <c r="P634" s="6"/>
    </row>
    <row r="635" spans="1:16">
      <c r="A635" s="82"/>
      <c r="B635" s="82"/>
      <c r="C635" s="83"/>
      <c r="D635" s="6"/>
      <c r="E635" s="6"/>
      <c r="F635" s="6"/>
      <c r="G635" s="6"/>
      <c r="H635" s="6"/>
      <c r="I635" s="6"/>
      <c r="J635" s="6"/>
      <c r="K635" s="6"/>
      <c r="L635" s="6"/>
      <c r="M635" s="6"/>
      <c r="N635" s="6"/>
      <c r="O635" s="6"/>
      <c r="P635" s="6"/>
    </row>
    <row r="636" spans="1:16">
      <c r="A636" s="82"/>
      <c r="B636" s="82"/>
      <c r="C636" s="83"/>
      <c r="D636" s="6"/>
      <c r="E636" s="6"/>
      <c r="F636" s="6"/>
      <c r="G636" s="6"/>
      <c r="H636" s="6"/>
      <c r="I636" s="6"/>
      <c r="J636" s="6"/>
      <c r="K636" s="6"/>
      <c r="L636" s="6"/>
      <c r="M636" s="6"/>
      <c r="N636" s="6"/>
      <c r="O636" s="6"/>
      <c r="P636" s="6"/>
    </row>
    <row r="637" spans="1:16">
      <c r="A637" s="82"/>
      <c r="B637" s="82"/>
      <c r="C637" s="83"/>
      <c r="D637" s="6"/>
      <c r="E637" s="6"/>
      <c r="F637" s="6"/>
      <c r="G637" s="6"/>
      <c r="H637" s="6"/>
      <c r="I637" s="6"/>
      <c r="J637" s="6"/>
      <c r="K637" s="6"/>
      <c r="L637" s="6"/>
      <c r="M637" s="6"/>
      <c r="N637" s="6"/>
      <c r="O637" s="6"/>
      <c r="P637" s="6"/>
    </row>
    <row r="638" spans="1:16">
      <c r="A638" s="82"/>
      <c r="B638" s="82"/>
      <c r="C638" s="83"/>
      <c r="D638" s="6"/>
      <c r="E638" s="6"/>
      <c r="F638" s="6"/>
      <c r="G638" s="6"/>
      <c r="H638" s="6"/>
      <c r="I638" s="6"/>
      <c r="J638" s="6"/>
      <c r="K638" s="6"/>
      <c r="L638" s="6"/>
      <c r="M638" s="6"/>
      <c r="N638" s="6"/>
      <c r="O638" s="6"/>
      <c r="P638" s="6"/>
    </row>
    <row r="639" spans="1:16">
      <c r="A639" s="82"/>
      <c r="B639" s="82"/>
      <c r="C639" s="83"/>
      <c r="D639" s="6"/>
      <c r="E639" s="6"/>
      <c r="F639" s="6"/>
      <c r="G639" s="6"/>
      <c r="H639" s="6"/>
      <c r="I639" s="6"/>
      <c r="J639" s="6"/>
      <c r="K639" s="6"/>
      <c r="L639" s="6"/>
      <c r="M639" s="6"/>
      <c r="N639" s="6"/>
      <c r="O639" s="6"/>
      <c r="P639" s="6"/>
    </row>
    <row r="640" spans="1:16">
      <c r="A640" s="82"/>
      <c r="B640" s="82"/>
      <c r="C640" s="83"/>
      <c r="D640" s="6"/>
      <c r="E640" s="6"/>
      <c r="F640" s="6"/>
      <c r="G640" s="6"/>
      <c r="H640" s="6"/>
      <c r="I640" s="6"/>
      <c r="J640" s="6"/>
      <c r="K640" s="6"/>
      <c r="L640" s="6"/>
      <c r="M640" s="6"/>
      <c r="N640" s="6"/>
      <c r="O640" s="6"/>
      <c r="P640" s="6"/>
    </row>
    <row r="641" spans="1:16">
      <c r="A641" s="82"/>
      <c r="B641" s="82"/>
      <c r="C641" s="83"/>
      <c r="D641" s="6"/>
      <c r="E641" s="6"/>
      <c r="F641" s="6"/>
      <c r="G641" s="6"/>
      <c r="H641" s="6"/>
      <c r="I641" s="6"/>
      <c r="J641" s="6"/>
      <c r="K641" s="6"/>
      <c r="L641" s="6"/>
      <c r="M641" s="6"/>
      <c r="N641" s="6"/>
      <c r="O641" s="6"/>
      <c r="P641" s="6"/>
    </row>
    <row r="642" spans="1:16">
      <c r="A642" s="82"/>
      <c r="B642" s="82"/>
      <c r="C642" s="83"/>
      <c r="D642" s="6"/>
      <c r="E642" s="6"/>
      <c r="F642" s="6"/>
      <c r="G642" s="6"/>
      <c r="H642" s="6"/>
      <c r="I642" s="6"/>
      <c r="J642" s="6"/>
      <c r="K642" s="6"/>
      <c r="L642" s="6"/>
      <c r="M642" s="6"/>
      <c r="N642" s="6"/>
      <c r="O642" s="6"/>
      <c r="P642" s="6"/>
    </row>
    <row r="643" spans="1:16">
      <c r="A643" s="82"/>
      <c r="B643" s="82"/>
      <c r="C643" s="83"/>
      <c r="D643" s="6"/>
      <c r="E643" s="6"/>
      <c r="F643" s="6"/>
      <c r="G643" s="6"/>
      <c r="H643" s="6"/>
      <c r="I643" s="6"/>
      <c r="J643" s="6"/>
      <c r="K643" s="6"/>
      <c r="L643" s="6"/>
      <c r="M643" s="6"/>
      <c r="N643" s="6"/>
      <c r="O643" s="6"/>
      <c r="P643" s="6"/>
    </row>
    <row r="644" spans="1:16">
      <c r="A644" s="82"/>
      <c r="B644" s="82"/>
      <c r="C644" s="83"/>
      <c r="D644" s="6"/>
      <c r="E644" s="6"/>
      <c r="F644" s="6"/>
      <c r="G644" s="6"/>
      <c r="H644" s="6"/>
      <c r="I644" s="6"/>
      <c r="J644" s="6"/>
      <c r="K644" s="6"/>
      <c r="L644" s="6"/>
      <c r="M644" s="6"/>
      <c r="N644" s="6"/>
      <c r="O644" s="6"/>
      <c r="P644" s="6"/>
    </row>
    <row r="645" spans="1:16">
      <c r="A645" s="82"/>
      <c r="B645" s="82"/>
      <c r="C645" s="83"/>
      <c r="D645" s="6"/>
      <c r="E645" s="6"/>
      <c r="F645" s="6"/>
      <c r="G645" s="6"/>
      <c r="H645" s="6"/>
      <c r="I645" s="6"/>
      <c r="J645" s="6"/>
      <c r="K645" s="6"/>
      <c r="L645" s="6"/>
      <c r="M645" s="6"/>
      <c r="N645" s="6"/>
      <c r="O645" s="6"/>
      <c r="P645" s="6"/>
    </row>
    <row r="646" spans="1:16">
      <c r="A646" s="82"/>
      <c r="B646" s="82"/>
      <c r="C646" s="83"/>
      <c r="D646" s="6"/>
      <c r="E646" s="6"/>
      <c r="F646" s="6"/>
      <c r="G646" s="6"/>
      <c r="H646" s="6"/>
      <c r="I646" s="6"/>
      <c r="J646" s="6"/>
      <c r="K646" s="6"/>
      <c r="L646" s="6"/>
      <c r="M646" s="6"/>
      <c r="N646" s="6"/>
      <c r="O646" s="6"/>
      <c r="P646" s="6"/>
    </row>
    <row r="647" spans="1:16">
      <c r="A647" s="82"/>
      <c r="B647" s="82"/>
      <c r="C647" s="83"/>
      <c r="D647" s="6"/>
      <c r="E647" s="6"/>
      <c r="F647" s="6"/>
      <c r="G647" s="6"/>
      <c r="H647" s="6"/>
      <c r="I647" s="6"/>
      <c r="J647" s="6"/>
      <c r="K647" s="6"/>
      <c r="L647" s="6"/>
      <c r="M647" s="6"/>
      <c r="N647" s="6"/>
      <c r="O647" s="6"/>
      <c r="P647" s="6"/>
    </row>
    <row r="648" spans="1:16">
      <c r="A648" s="82"/>
      <c r="B648" s="82"/>
      <c r="C648" s="83"/>
      <c r="D648" s="6"/>
      <c r="E648" s="6"/>
      <c r="F648" s="6"/>
      <c r="G648" s="6"/>
      <c r="H648" s="6"/>
      <c r="I648" s="6"/>
      <c r="J648" s="6"/>
      <c r="K648" s="6"/>
      <c r="L648" s="6"/>
      <c r="M648" s="6"/>
      <c r="N648" s="6"/>
      <c r="O648" s="6"/>
      <c r="P648" s="6"/>
    </row>
    <row r="649" spans="1:16">
      <c r="A649" s="82"/>
      <c r="B649" s="82"/>
      <c r="C649" s="83"/>
      <c r="D649" s="6"/>
      <c r="E649" s="6"/>
      <c r="F649" s="6"/>
      <c r="G649" s="6"/>
      <c r="H649" s="6"/>
      <c r="I649" s="6"/>
      <c r="J649" s="6"/>
      <c r="K649" s="6"/>
      <c r="L649" s="6"/>
      <c r="M649" s="6"/>
      <c r="N649" s="6"/>
      <c r="O649" s="6"/>
      <c r="P649" s="6"/>
    </row>
    <row r="650" spans="1:16">
      <c r="A650" s="82"/>
      <c r="B650" s="82"/>
      <c r="C650" s="83"/>
      <c r="D650" s="6"/>
      <c r="E650" s="6"/>
      <c r="F650" s="6"/>
      <c r="G650" s="6"/>
      <c r="H650" s="6"/>
      <c r="I650" s="6"/>
      <c r="J650" s="6"/>
      <c r="K650" s="6"/>
      <c r="L650" s="6"/>
      <c r="M650" s="6"/>
      <c r="N650" s="6"/>
      <c r="O650" s="6"/>
      <c r="P650" s="6"/>
    </row>
    <row r="651" spans="1:16">
      <c r="A651" s="82"/>
      <c r="B651" s="82"/>
      <c r="C651" s="83"/>
      <c r="D651" s="6"/>
      <c r="E651" s="6"/>
      <c r="F651" s="6"/>
      <c r="G651" s="6"/>
      <c r="H651" s="6"/>
      <c r="I651" s="6"/>
      <c r="J651" s="6"/>
      <c r="K651" s="6"/>
      <c r="L651" s="6"/>
      <c r="M651" s="6"/>
      <c r="N651" s="6"/>
      <c r="O651" s="6"/>
      <c r="P651" s="6"/>
    </row>
    <row r="652" spans="1:16">
      <c r="A652" s="82"/>
      <c r="B652" s="82"/>
      <c r="C652" s="83"/>
      <c r="D652" s="6"/>
      <c r="E652" s="6"/>
      <c r="F652" s="6"/>
      <c r="G652" s="6"/>
      <c r="H652" s="6"/>
      <c r="I652" s="6"/>
      <c r="J652" s="6"/>
      <c r="K652" s="6"/>
      <c r="L652" s="6"/>
      <c r="M652" s="6"/>
      <c r="N652" s="6"/>
      <c r="O652" s="6"/>
      <c r="P652" s="6"/>
    </row>
    <row r="653" spans="1:16">
      <c r="A653" s="82"/>
      <c r="B653" s="82"/>
      <c r="C653" s="83"/>
      <c r="D653" s="6"/>
      <c r="E653" s="6"/>
      <c r="F653" s="6"/>
      <c r="G653" s="6"/>
      <c r="H653" s="6"/>
      <c r="I653" s="6"/>
      <c r="J653" s="6"/>
      <c r="K653" s="6"/>
      <c r="L653" s="6"/>
      <c r="M653" s="6"/>
      <c r="N653" s="6"/>
      <c r="O653" s="6"/>
      <c r="P653" s="6"/>
    </row>
    <row r="654" spans="1:16">
      <c r="A654" s="82"/>
      <c r="B654" s="82"/>
      <c r="C654" s="83"/>
      <c r="D654" s="6"/>
      <c r="E654" s="6"/>
      <c r="F654" s="6"/>
      <c r="G654" s="6"/>
      <c r="H654" s="6"/>
      <c r="I654" s="6"/>
      <c r="J654" s="6"/>
      <c r="K654" s="6"/>
      <c r="L654" s="6"/>
      <c r="M654" s="6"/>
      <c r="N654" s="6"/>
      <c r="O654" s="6"/>
      <c r="P654" s="6"/>
    </row>
    <row r="655" spans="1:16">
      <c r="A655" s="82"/>
      <c r="B655" s="82"/>
      <c r="C655" s="83"/>
      <c r="D655" s="6"/>
      <c r="E655" s="6"/>
      <c r="F655" s="6"/>
      <c r="G655" s="6"/>
      <c r="H655" s="6"/>
      <c r="I655" s="6"/>
      <c r="J655" s="6"/>
      <c r="K655" s="6"/>
      <c r="L655" s="6"/>
      <c r="M655" s="6"/>
      <c r="N655" s="6"/>
      <c r="O655" s="6"/>
      <c r="P655" s="6"/>
    </row>
    <row r="656" spans="1:16">
      <c r="A656" s="82"/>
      <c r="B656" s="82"/>
      <c r="C656" s="83"/>
      <c r="D656" s="6"/>
      <c r="E656" s="6"/>
      <c r="F656" s="6"/>
      <c r="G656" s="6"/>
      <c r="H656" s="6"/>
      <c r="I656" s="6"/>
      <c r="J656" s="6"/>
      <c r="K656" s="6"/>
      <c r="L656" s="6"/>
      <c r="M656" s="6"/>
      <c r="N656" s="6"/>
      <c r="O656" s="6"/>
      <c r="P656" s="6"/>
    </row>
    <row r="657" spans="1:16">
      <c r="A657" s="82"/>
      <c r="B657" s="82"/>
      <c r="C657" s="83"/>
      <c r="D657" s="6"/>
      <c r="E657" s="6"/>
      <c r="F657" s="6"/>
      <c r="G657" s="6"/>
      <c r="H657" s="6"/>
      <c r="I657" s="6"/>
      <c r="J657" s="6"/>
      <c r="K657" s="6"/>
      <c r="L657" s="6"/>
      <c r="M657" s="6"/>
      <c r="N657" s="6"/>
      <c r="O657" s="6"/>
      <c r="P657" s="6"/>
    </row>
    <row r="658" spans="1:16">
      <c r="A658" s="82"/>
      <c r="B658" s="82"/>
      <c r="C658" s="83"/>
      <c r="D658" s="6"/>
      <c r="E658" s="6"/>
      <c r="F658" s="6"/>
      <c r="G658" s="6"/>
      <c r="H658" s="6"/>
      <c r="I658" s="6"/>
      <c r="J658" s="6"/>
      <c r="K658" s="6"/>
      <c r="L658" s="6"/>
      <c r="M658" s="6"/>
      <c r="N658" s="6"/>
      <c r="O658" s="6"/>
      <c r="P658" s="6"/>
    </row>
    <row r="659" spans="1:16">
      <c r="A659" s="82"/>
      <c r="B659" s="82"/>
      <c r="C659" s="83"/>
      <c r="D659" s="6"/>
      <c r="E659" s="6"/>
      <c r="F659" s="6"/>
      <c r="G659" s="6"/>
      <c r="H659" s="6"/>
      <c r="I659" s="6"/>
      <c r="J659" s="6"/>
      <c r="K659" s="6"/>
      <c r="L659" s="6"/>
      <c r="M659" s="6"/>
      <c r="N659" s="6"/>
      <c r="O659" s="6"/>
      <c r="P659" s="6"/>
    </row>
    <row r="660" spans="1:16">
      <c r="A660" s="82"/>
      <c r="B660" s="82"/>
      <c r="C660" s="83"/>
      <c r="D660" s="6"/>
      <c r="E660" s="6"/>
      <c r="F660" s="6"/>
      <c r="G660" s="6"/>
      <c r="H660" s="6"/>
      <c r="I660" s="6"/>
      <c r="J660" s="6"/>
      <c r="K660" s="6"/>
      <c r="L660" s="6"/>
      <c r="M660" s="6"/>
      <c r="N660" s="6"/>
      <c r="O660" s="6"/>
      <c r="P660" s="6"/>
    </row>
    <row r="661" spans="1:16">
      <c r="A661" s="82"/>
      <c r="B661" s="82"/>
      <c r="C661" s="83"/>
      <c r="D661" s="6"/>
      <c r="E661" s="6"/>
      <c r="F661" s="6"/>
      <c r="G661" s="6"/>
      <c r="H661" s="6"/>
      <c r="I661" s="6"/>
      <c r="J661" s="6"/>
      <c r="K661" s="6"/>
      <c r="L661" s="6"/>
      <c r="M661" s="6"/>
      <c r="N661" s="6"/>
      <c r="O661" s="6"/>
      <c r="P661" s="6"/>
    </row>
    <row r="662" spans="1:16">
      <c r="A662" s="82"/>
      <c r="B662" s="82"/>
      <c r="C662" s="83"/>
      <c r="D662" s="6"/>
      <c r="E662" s="6"/>
      <c r="F662" s="6"/>
      <c r="G662" s="6"/>
      <c r="H662" s="6"/>
      <c r="I662" s="6"/>
      <c r="J662" s="6"/>
      <c r="K662" s="6"/>
      <c r="L662" s="6"/>
      <c r="M662" s="6"/>
      <c r="N662" s="6"/>
      <c r="O662" s="6"/>
      <c r="P662" s="6"/>
    </row>
    <row r="663" spans="1:16">
      <c r="A663" s="82"/>
      <c r="B663" s="82"/>
      <c r="C663" s="83"/>
      <c r="D663" s="6"/>
      <c r="E663" s="6"/>
      <c r="F663" s="6"/>
      <c r="G663" s="6"/>
      <c r="H663" s="6"/>
      <c r="I663" s="6"/>
      <c r="J663" s="6"/>
      <c r="K663" s="6"/>
      <c r="L663" s="6"/>
      <c r="M663" s="6"/>
      <c r="N663" s="6"/>
      <c r="O663" s="6"/>
      <c r="P663" s="6"/>
    </row>
    <row r="664" spans="1:16">
      <c r="A664" s="82"/>
      <c r="B664" s="82"/>
      <c r="C664" s="83"/>
      <c r="D664" s="6"/>
      <c r="E664" s="6"/>
      <c r="F664" s="6"/>
      <c r="G664" s="6"/>
      <c r="H664" s="6"/>
      <c r="I664" s="6"/>
      <c r="J664" s="6"/>
      <c r="K664" s="6"/>
      <c r="L664" s="6"/>
      <c r="M664" s="6"/>
      <c r="N664" s="6"/>
      <c r="O664" s="6"/>
      <c r="P664" s="6"/>
    </row>
    <row r="665" spans="1:16">
      <c r="A665" s="82"/>
      <c r="B665" s="82"/>
      <c r="C665" s="83"/>
      <c r="D665" s="6"/>
      <c r="E665" s="6"/>
      <c r="F665" s="6"/>
      <c r="G665" s="6"/>
      <c r="H665" s="6"/>
      <c r="I665" s="6"/>
      <c r="J665" s="6"/>
      <c r="K665" s="6"/>
      <c r="L665" s="6"/>
      <c r="M665" s="6"/>
      <c r="N665" s="6"/>
      <c r="O665" s="6"/>
      <c r="P665" s="6"/>
    </row>
    <row r="666" spans="1:16">
      <c r="A666" s="82"/>
      <c r="B666" s="82"/>
      <c r="C666" s="83"/>
      <c r="D666" s="6"/>
      <c r="E666" s="6"/>
      <c r="F666" s="6"/>
      <c r="G666" s="6"/>
      <c r="H666" s="6"/>
      <c r="I666" s="6"/>
      <c r="J666" s="6"/>
      <c r="K666" s="6"/>
      <c r="L666" s="6"/>
      <c r="M666" s="6"/>
      <c r="N666" s="6"/>
      <c r="O666" s="6"/>
      <c r="P666" s="6"/>
    </row>
    <row r="667" spans="1:16">
      <c r="A667" s="82"/>
      <c r="B667" s="82"/>
      <c r="C667" s="83"/>
      <c r="D667" s="6"/>
      <c r="E667" s="6"/>
      <c r="F667" s="6"/>
      <c r="G667" s="6"/>
      <c r="H667" s="6"/>
      <c r="I667" s="6"/>
      <c r="J667" s="6"/>
      <c r="K667" s="6"/>
      <c r="L667" s="6"/>
      <c r="M667" s="6"/>
      <c r="N667" s="6"/>
      <c r="O667" s="6"/>
      <c r="P667" s="6"/>
    </row>
    <row r="668" spans="1:16">
      <c r="A668" s="82"/>
      <c r="B668" s="82"/>
      <c r="C668" s="83"/>
      <c r="D668" s="6"/>
      <c r="E668" s="6"/>
      <c r="F668" s="6"/>
      <c r="G668" s="6"/>
      <c r="H668" s="6"/>
      <c r="I668" s="6"/>
      <c r="J668" s="6"/>
      <c r="K668" s="6"/>
      <c r="L668" s="6"/>
      <c r="M668" s="6"/>
      <c r="N668" s="6"/>
      <c r="O668" s="6"/>
      <c r="P668" s="6"/>
    </row>
    <row r="669" spans="1:16">
      <c r="A669" s="82"/>
      <c r="B669" s="82"/>
      <c r="C669" s="83"/>
      <c r="D669" s="6"/>
      <c r="E669" s="6"/>
      <c r="F669" s="6"/>
      <c r="G669" s="6"/>
      <c r="H669" s="6"/>
      <c r="I669" s="6"/>
      <c r="J669" s="6"/>
      <c r="K669" s="6"/>
      <c r="L669" s="6"/>
      <c r="M669" s="6"/>
      <c r="N669" s="6"/>
      <c r="O669" s="6"/>
      <c r="P669" s="6"/>
    </row>
    <row r="670" spans="1:16">
      <c r="A670" s="82"/>
      <c r="B670" s="82"/>
      <c r="C670" s="83"/>
      <c r="D670" s="6"/>
      <c r="E670" s="6"/>
      <c r="F670" s="6"/>
      <c r="G670" s="6"/>
      <c r="H670" s="6"/>
      <c r="I670" s="6"/>
      <c r="J670" s="6"/>
      <c r="K670" s="6"/>
      <c r="L670" s="6"/>
      <c r="M670" s="6"/>
      <c r="N670" s="6"/>
      <c r="O670" s="6"/>
      <c r="P670" s="6"/>
    </row>
    <row r="671" spans="1:16">
      <c r="A671" s="82"/>
      <c r="B671" s="82"/>
      <c r="C671" s="83"/>
      <c r="D671" s="6"/>
      <c r="E671" s="6"/>
      <c r="F671" s="6"/>
      <c r="G671" s="6"/>
      <c r="H671" s="6"/>
      <c r="I671" s="6"/>
      <c r="J671" s="6"/>
      <c r="K671" s="6"/>
      <c r="L671" s="6"/>
      <c r="M671" s="6"/>
      <c r="N671" s="6"/>
      <c r="O671" s="6"/>
      <c r="P671" s="6"/>
    </row>
    <row r="672" spans="1:16">
      <c r="A672" s="82"/>
      <c r="B672" s="82"/>
      <c r="C672" s="83"/>
      <c r="D672" s="6"/>
      <c r="E672" s="6"/>
      <c r="F672" s="6"/>
      <c r="G672" s="6"/>
      <c r="H672" s="6"/>
      <c r="I672" s="6"/>
      <c r="J672" s="6"/>
      <c r="K672" s="6"/>
      <c r="L672" s="6"/>
      <c r="M672" s="6"/>
      <c r="N672" s="6"/>
      <c r="O672" s="6"/>
      <c r="P672" s="6"/>
    </row>
    <row r="673" spans="1:16">
      <c r="A673" s="82"/>
      <c r="B673" s="82"/>
      <c r="C673" s="83"/>
      <c r="D673" s="6"/>
      <c r="E673" s="6"/>
      <c r="F673" s="6"/>
      <c r="G673" s="6"/>
      <c r="H673" s="6"/>
      <c r="I673" s="6"/>
      <c r="J673" s="6"/>
      <c r="K673" s="6"/>
      <c r="L673" s="6"/>
      <c r="M673" s="6"/>
      <c r="N673" s="6"/>
      <c r="O673" s="6"/>
      <c r="P673" s="6"/>
    </row>
    <row r="674" spans="1:16">
      <c r="A674" s="82"/>
      <c r="B674" s="82"/>
      <c r="C674" s="83"/>
      <c r="D674" s="6"/>
      <c r="E674" s="6"/>
      <c r="F674" s="6"/>
      <c r="G674" s="6"/>
      <c r="H674" s="6"/>
      <c r="I674" s="6"/>
      <c r="J674" s="6"/>
      <c r="K674" s="6"/>
      <c r="L674" s="6"/>
      <c r="M674" s="6"/>
      <c r="N674" s="6"/>
      <c r="O674" s="6"/>
      <c r="P674" s="6"/>
    </row>
    <row r="675" spans="1:16">
      <c r="A675" s="82"/>
      <c r="B675" s="82"/>
      <c r="C675" s="83"/>
      <c r="D675" s="6"/>
      <c r="E675" s="6"/>
      <c r="F675" s="6"/>
      <c r="G675" s="6"/>
      <c r="H675" s="6"/>
      <c r="I675" s="6"/>
      <c r="J675" s="6"/>
      <c r="K675" s="6"/>
      <c r="L675" s="6"/>
      <c r="M675" s="6"/>
      <c r="N675" s="6"/>
      <c r="O675" s="6"/>
      <c r="P675" s="6"/>
    </row>
    <row r="676" spans="1:16">
      <c r="A676" s="82"/>
      <c r="B676" s="82"/>
      <c r="C676" s="83"/>
      <c r="D676" s="6"/>
      <c r="E676" s="6"/>
      <c r="F676" s="6"/>
      <c r="G676" s="6"/>
      <c r="H676" s="6"/>
      <c r="I676" s="6"/>
      <c r="J676" s="6"/>
      <c r="K676" s="6"/>
      <c r="L676" s="6"/>
      <c r="M676" s="6"/>
      <c r="N676" s="6"/>
      <c r="O676" s="6"/>
      <c r="P676" s="6"/>
    </row>
    <row r="677" spans="1:16">
      <c r="A677" s="82"/>
      <c r="B677" s="82"/>
      <c r="C677" s="83"/>
      <c r="D677" s="6"/>
      <c r="E677" s="6"/>
      <c r="F677" s="6"/>
      <c r="G677" s="6"/>
      <c r="H677" s="6"/>
      <c r="I677" s="6"/>
      <c r="J677" s="6"/>
      <c r="K677" s="6"/>
      <c r="L677" s="6"/>
      <c r="M677" s="6"/>
      <c r="N677" s="6"/>
      <c r="O677" s="6"/>
      <c r="P677" s="6"/>
    </row>
    <row r="678" spans="1:16">
      <c r="A678" s="82"/>
      <c r="B678" s="82"/>
      <c r="C678" s="83"/>
      <c r="D678" s="6"/>
      <c r="E678" s="6"/>
      <c r="F678" s="6"/>
      <c r="G678" s="6"/>
      <c r="H678" s="6"/>
      <c r="I678" s="6"/>
      <c r="J678" s="6"/>
      <c r="K678" s="6"/>
      <c r="L678" s="6"/>
      <c r="M678" s="6"/>
      <c r="N678" s="6"/>
      <c r="O678" s="6"/>
      <c r="P678" s="6"/>
    </row>
    <row r="679" spans="1:16">
      <c r="A679" s="82"/>
      <c r="B679" s="82"/>
      <c r="C679" s="83"/>
      <c r="D679" s="6"/>
      <c r="E679" s="6"/>
      <c r="F679" s="6"/>
      <c r="G679" s="6"/>
      <c r="H679" s="6"/>
      <c r="I679" s="6"/>
      <c r="J679" s="6"/>
      <c r="K679" s="6"/>
      <c r="L679" s="6"/>
      <c r="M679" s="6"/>
      <c r="N679" s="6"/>
      <c r="O679" s="6"/>
      <c r="P679" s="6"/>
    </row>
    <row r="680" spans="1:16">
      <c r="A680" s="82"/>
      <c r="B680" s="82"/>
      <c r="C680" s="83"/>
      <c r="D680" s="6"/>
      <c r="E680" s="6"/>
      <c r="F680" s="6"/>
      <c r="G680" s="6"/>
      <c r="H680" s="6"/>
      <c r="I680" s="6"/>
      <c r="J680" s="6"/>
      <c r="K680" s="6"/>
      <c r="L680" s="6"/>
      <c r="M680" s="6"/>
      <c r="N680" s="6"/>
      <c r="O680" s="6"/>
      <c r="P680" s="6"/>
    </row>
    <row r="681" spans="1:16">
      <c r="A681" s="82"/>
      <c r="B681" s="82"/>
      <c r="C681" s="83"/>
      <c r="D681" s="6"/>
      <c r="E681" s="6"/>
      <c r="F681" s="6"/>
      <c r="G681" s="6"/>
      <c r="H681" s="6"/>
      <c r="I681" s="6"/>
      <c r="J681" s="6"/>
      <c r="K681" s="6"/>
      <c r="L681" s="6"/>
      <c r="M681" s="6"/>
      <c r="N681" s="6"/>
      <c r="O681" s="6"/>
      <c r="P681" s="6"/>
    </row>
    <row r="682" spans="1:16">
      <c r="A682" s="82"/>
      <c r="B682" s="82"/>
      <c r="C682" s="83"/>
      <c r="D682" s="6"/>
      <c r="E682" s="6"/>
      <c r="F682" s="6"/>
      <c r="G682" s="6"/>
      <c r="H682" s="6"/>
      <c r="I682" s="6"/>
      <c r="J682" s="6"/>
      <c r="K682" s="6"/>
      <c r="L682" s="6"/>
      <c r="M682" s="6"/>
      <c r="N682" s="6"/>
      <c r="O682" s="6"/>
      <c r="P682" s="6"/>
    </row>
    <row r="683" spans="1:16">
      <c r="A683" s="82"/>
      <c r="B683" s="82"/>
      <c r="C683" s="83"/>
      <c r="D683" s="6"/>
      <c r="E683" s="6"/>
      <c r="F683" s="6"/>
      <c r="G683" s="6"/>
      <c r="H683" s="6"/>
      <c r="I683" s="6"/>
      <c r="J683" s="6"/>
      <c r="K683" s="6"/>
      <c r="L683" s="6"/>
      <c r="M683" s="6"/>
      <c r="N683" s="6"/>
      <c r="O683" s="6"/>
      <c r="P683" s="6"/>
    </row>
    <row r="684" spans="1:16">
      <c r="A684" s="82"/>
      <c r="B684" s="82"/>
      <c r="C684" s="83"/>
      <c r="D684" s="6"/>
      <c r="E684" s="6"/>
      <c r="F684" s="6"/>
      <c r="G684" s="6"/>
      <c r="H684" s="6"/>
      <c r="I684" s="6"/>
      <c r="J684" s="6"/>
      <c r="K684" s="6"/>
      <c r="L684" s="6"/>
      <c r="M684" s="6"/>
      <c r="N684" s="6"/>
      <c r="O684" s="6"/>
      <c r="P684" s="6"/>
    </row>
    <row r="685" spans="1:16">
      <c r="A685" s="82"/>
      <c r="B685" s="82"/>
      <c r="C685" s="83"/>
      <c r="D685" s="6"/>
      <c r="E685" s="6"/>
      <c r="F685" s="6"/>
      <c r="G685" s="6"/>
      <c r="H685" s="6"/>
      <c r="I685" s="6"/>
      <c r="J685" s="6"/>
      <c r="K685" s="6"/>
      <c r="L685" s="6"/>
      <c r="M685" s="6"/>
      <c r="N685" s="6"/>
      <c r="O685" s="6"/>
      <c r="P685" s="6"/>
    </row>
    <row r="686" spans="1:16">
      <c r="A686" s="82"/>
      <c r="B686" s="82"/>
      <c r="C686" s="83"/>
      <c r="D686" s="6"/>
      <c r="E686" s="6"/>
      <c r="F686" s="6"/>
      <c r="G686" s="6"/>
      <c r="H686" s="6"/>
      <c r="I686" s="6"/>
      <c r="J686" s="6"/>
      <c r="K686" s="6"/>
      <c r="L686" s="6"/>
      <c r="M686" s="6"/>
      <c r="N686" s="6"/>
      <c r="O686" s="6"/>
      <c r="P686" s="6"/>
    </row>
    <row r="687" spans="1:16">
      <c r="A687" s="82"/>
      <c r="B687" s="82"/>
      <c r="C687" s="83"/>
      <c r="D687" s="6"/>
      <c r="E687" s="6"/>
      <c r="F687" s="6"/>
      <c r="G687" s="6"/>
      <c r="H687" s="6"/>
      <c r="I687" s="6"/>
      <c r="J687" s="6"/>
      <c r="K687" s="6"/>
      <c r="L687" s="6"/>
      <c r="M687" s="6"/>
      <c r="N687" s="6"/>
      <c r="O687" s="6"/>
      <c r="P687" s="6"/>
    </row>
    <row r="688" spans="1:16">
      <c r="A688" s="82"/>
      <c r="B688" s="82"/>
      <c r="C688" s="83"/>
      <c r="D688" s="6"/>
      <c r="E688" s="6"/>
      <c r="F688" s="6"/>
      <c r="G688" s="6"/>
      <c r="H688" s="6"/>
      <c r="I688" s="6"/>
      <c r="J688" s="6"/>
      <c r="K688" s="6"/>
      <c r="L688" s="6"/>
      <c r="M688" s="6"/>
      <c r="N688" s="6"/>
      <c r="O688" s="6"/>
      <c r="P688" s="6"/>
    </row>
    <row r="689" spans="1:16">
      <c r="A689" s="82"/>
      <c r="B689" s="82"/>
      <c r="C689" s="83"/>
      <c r="D689" s="6"/>
      <c r="E689" s="6"/>
      <c r="F689" s="6"/>
      <c r="G689" s="6"/>
      <c r="H689" s="6"/>
      <c r="I689" s="6"/>
      <c r="J689" s="6"/>
      <c r="K689" s="6"/>
      <c r="L689" s="6"/>
      <c r="M689" s="6"/>
      <c r="N689" s="6"/>
      <c r="O689" s="6"/>
      <c r="P689" s="6"/>
    </row>
    <row r="690" spans="1:16">
      <c r="A690" s="82"/>
      <c r="B690" s="82"/>
      <c r="C690" s="83"/>
      <c r="D690" s="6"/>
      <c r="E690" s="6"/>
      <c r="F690" s="6"/>
      <c r="G690" s="6"/>
      <c r="H690" s="6"/>
      <c r="I690" s="6"/>
      <c r="J690" s="6"/>
      <c r="K690" s="6"/>
      <c r="L690" s="6"/>
      <c r="M690" s="6"/>
      <c r="N690" s="6"/>
      <c r="O690" s="6"/>
      <c r="P690" s="6"/>
    </row>
    <row r="691" spans="1:16">
      <c r="A691" s="82"/>
      <c r="B691" s="82"/>
      <c r="C691" s="83"/>
      <c r="D691" s="6"/>
      <c r="E691" s="6"/>
      <c r="F691" s="6"/>
      <c r="G691" s="6"/>
      <c r="H691" s="6"/>
      <c r="I691" s="6"/>
      <c r="J691" s="6"/>
      <c r="K691" s="6"/>
      <c r="L691" s="6"/>
      <c r="M691" s="6"/>
      <c r="N691" s="6"/>
      <c r="O691" s="6"/>
      <c r="P691" s="6"/>
    </row>
    <row r="692" spans="1:16">
      <c r="A692" s="82"/>
      <c r="B692" s="82"/>
      <c r="C692" s="83"/>
      <c r="D692" s="6"/>
      <c r="E692" s="6"/>
      <c r="F692" s="6"/>
      <c r="G692" s="6"/>
      <c r="H692" s="6"/>
      <c r="I692" s="6"/>
      <c r="J692" s="6"/>
      <c r="K692" s="6"/>
      <c r="L692" s="6"/>
      <c r="M692" s="6"/>
      <c r="N692" s="6"/>
      <c r="O692" s="6"/>
      <c r="P692" s="6"/>
    </row>
    <row r="693" spans="1:16">
      <c r="A693" s="82"/>
      <c r="B693" s="82"/>
      <c r="C693" s="83"/>
      <c r="D693" s="6"/>
      <c r="E693" s="6"/>
      <c r="F693" s="6"/>
      <c r="G693" s="6"/>
      <c r="H693" s="6"/>
      <c r="I693" s="6"/>
      <c r="J693" s="6"/>
      <c r="K693" s="6"/>
      <c r="L693" s="6"/>
      <c r="M693" s="6"/>
      <c r="N693" s="6"/>
      <c r="O693" s="6"/>
      <c r="P693" s="6"/>
    </row>
    <row r="694" spans="1:16">
      <c r="A694" s="82"/>
      <c r="B694" s="82"/>
      <c r="C694" s="83"/>
      <c r="D694" s="6"/>
      <c r="E694" s="6"/>
      <c r="F694" s="6"/>
      <c r="G694" s="6"/>
      <c r="H694" s="6"/>
      <c r="I694" s="6"/>
      <c r="J694" s="6"/>
      <c r="K694" s="6"/>
      <c r="L694" s="6"/>
      <c r="M694" s="6"/>
      <c r="N694" s="6"/>
      <c r="O694" s="6"/>
      <c r="P694" s="6"/>
    </row>
    <row r="695" spans="1:16">
      <c r="A695" s="82"/>
      <c r="B695" s="82"/>
      <c r="C695" s="83"/>
      <c r="D695" s="6"/>
      <c r="E695" s="6"/>
      <c r="F695" s="6"/>
      <c r="G695" s="6"/>
      <c r="H695" s="6"/>
      <c r="I695" s="6"/>
      <c r="J695" s="6"/>
      <c r="K695" s="6"/>
      <c r="L695" s="6"/>
      <c r="M695" s="6"/>
      <c r="N695" s="6"/>
      <c r="O695" s="6"/>
      <c r="P695" s="6"/>
    </row>
    <row r="696" spans="1:16">
      <c r="A696" s="82"/>
      <c r="B696" s="82"/>
      <c r="C696" s="83"/>
      <c r="D696" s="6"/>
      <c r="E696" s="6"/>
      <c r="F696" s="6"/>
      <c r="G696" s="6"/>
      <c r="H696" s="6"/>
      <c r="I696" s="6"/>
      <c r="J696" s="6"/>
      <c r="K696" s="6"/>
      <c r="L696" s="6"/>
      <c r="M696" s="6"/>
      <c r="N696" s="6"/>
      <c r="O696" s="6"/>
      <c r="P696" s="6"/>
    </row>
    <row r="697" spans="1:16">
      <c r="A697" s="82"/>
      <c r="B697" s="82"/>
      <c r="C697" s="83"/>
      <c r="D697" s="6"/>
      <c r="E697" s="6"/>
      <c r="F697" s="6"/>
      <c r="G697" s="6"/>
      <c r="H697" s="6"/>
      <c r="I697" s="6"/>
      <c r="J697" s="6"/>
      <c r="K697" s="6"/>
      <c r="L697" s="6"/>
      <c r="M697" s="6"/>
      <c r="N697" s="6"/>
      <c r="O697" s="6"/>
      <c r="P697" s="6"/>
    </row>
    <row r="698" spans="1:16">
      <c r="A698" s="82"/>
      <c r="B698" s="82"/>
      <c r="C698" s="83"/>
      <c r="D698" s="6"/>
      <c r="E698" s="6"/>
      <c r="F698" s="6"/>
      <c r="G698" s="6"/>
      <c r="H698" s="6"/>
      <c r="I698" s="6"/>
      <c r="J698" s="6"/>
      <c r="K698" s="6"/>
      <c r="L698" s="6"/>
      <c r="M698" s="6"/>
      <c r="N698" s="6"/>
      <c r="O698" s="6"/>
      <c r="P698" s="6"/>
    </row>
    <row r="699" spans="1:16">
      <c r="A699" s="82"/>
      <c r="B699" s="82"/>
      <c r="C699" s="83"/>
      <c r="D699" s="6"/>
      <c r="E699" s="6"/>
      <c r="F699" s="6"/>
      <c r="G699" s="6"/>
      <c r="H699" s="6"/>
      <c r="I699" s="6"/>
      <c r="J699" s="6"/>
      <c r="K699" s="6"/>
      <c r="L699" s="6"/>
      <c r="M699" s="6"/>
      <c r="N699" s="6"/>
      <c r="O699" s="6"/>
      <c r="P699" s="6"/>
    </row>
    <row r="700" spans="1:16">
      <c r="A700" s="82"/>
      <c r="B700" s="82"/>
      <c r="C700" s="83"/>
      <c r="D700" s="6"/>
      <c r="E700" s="6"/>
      <c r="F700" s="6"/>
      <c r="G700" s="6"/>
      <c r="H700" s="6"/>
      <c r="I700" s="6"/>
      <c r="J700" s="6"/>
      <c r="K700" s="6"/>
      <c r="L700" s="6"/>
      <c r="M700" s="6"/>
      <c r="N700" s="6"/>
      <c r="O700" s="6"/>
      <c r="P700" s="6"/>
    </row>
    <row r="701" spans="1:16">
      <c r="A701" s="82"/>
      <c r="B701" s="82"/>
      <c r="C701" s="83"/>
      <c r="D701" s="6"/>
      <c r="E701" s="6"/>
      <c r="F701" s="6"/>
      <c r="G701" s="6"/>
      <c r="H701" s="6"/>
      <c r="I701" s="6"/>
      <c r="J701" s="6"/>
      <c r="K701" s="6"/>
      <c r="L701" s="6"/>
      <c r="M701" s="6"/>
      <c r="N701" s="6"/>
      <c r="O701" s="6"/>
      <c r="P701" s="6"/>
    </row>
    <row r="702" spans="1:16">
      <c r="A702" s="82"/>
      <c r="B702" s="82"/>
      <c r="C702" s="83"/>
      <c r="D702" s="6"/>
      <c r="E702" s="6"/>
      <c r="F702" s="6"/>
      <c r="G702" s="6"/>
      <c r="H702" s="6"/>
      <c r="I702" s="6"/>
      <c r="J702" s="6"/>
      <c r="K702" s="6"/>
      <c r="L702" s="6"/>
      <c r="M702" s="6"/>
      <c r="N702" s="6"/>
      <c r="O702" s="6"/>
      <c r="P702" s="6"/>
    </row>
    <row r="703" spans="1:16">
      <c r="A703" s="82"/>
      <c r="B703" s="82"/>
      <c r="C703" s="83"/>
      <c r="D703" s="6"/>
      <c r="E703" s="6"/>
      <c r="F703" s="6"/>
      <c r="G703" s="6"/>
      <c r="H703" s="6"/>
      <c r="I703" s="6"/>
      <c r="J703" s="6"/>
      <c r="K703" s="6"/>
      <c r="L703" s="6"/>
      <c r="M703" s="6"/>
      <c r="N703" s="6"/>
      <c r="O703" s="6"/>
      <c r="P703" s="6"/>
    </row>
    <row r="704" spans="1:16">
      <c r="A704" s="82"/>
      <c r="B704" s="82"/>
      <c r="C704" s="83"/>
      <c r="D704" s="6"/>
      <c r="E704" s="6"/>
      <c r="F704" s="6"/>
      <c r="G704" s="6"/>
      <c r="H704" s="6"/>
      <c r="I704" s="6"/>
      <c r="J704" s="6"/>
      <c r="K704" s="6"/>
      <c r="L704" s="6"/>
      <c r="M704" s="6"/>
      <c r="N704" s="6"/>
      <c r="O704" s="6"/>
      <c r="P704" s="6"/>
    </row>
    <row r="705" spans="1:16">
      <c r="A705" s="82"/>
      <c r="B705" s="82"/>
      <c r="C705" s="83"/>
      <c r="D705" s="6"/>
      <c r="E705" s="6"/>
      <c r="F705" s="6"/>
      <c r="G705" s="6"/>
      <c r="H705" s="6"/>
      <c r="I705" s="6"/>
      <c r="J705" s="6"/>
      <c r="K705" s="6"/>
      <c r="L705" s="6"/>
      <c r="M705" s="6"/>
      <c r="N705" s="6"/>
      <c r="O705" s="6"/>
      <c r="P705" s="6"/>
    </row>
    <row r="706" spans="1:16">
      <c r="A706" s="82"/>
      <c r="B706" s="82"/>
      <c r="C706" s="83"/>
      <c r="D706" s="6"/>
      <c r="E706" s="6"/>
      <c r="F706" s="6"/>
      <c r="G706" s="6"/>
      <c r="H706" s="6"/>
      <c r="I706" s="6"/>
      <c r="J706" s="6"/>
      <c r="K706" s="6"/>
      <c r="L706" s="6"/>
      <c r="M706" s="6"/>
      <c r="N706" s="6"/>
      <c r="O706" s="6"/>
      <c r="P706" s="6"/>
    </row>
    <row r="707" spans="1:16">
      <c r="A707" s="82"/>
      <c r="B707" s="82"/>
      <c r="C707" s="83"/>
      <c r="D707" s="6"/>
      <c r="E707" s="6"/>
      <c r="F707" s="6"/>
      <c r="G707" s="6"/>
      <c r="H707" s="6"/>
      <c r="I707" s="6"/>
      <c r="J707" s="6"/>
      <c r="K707" s="6"/>
      <c r="L707" s="6"/>
      <c r="M707" s="6"/>
      <c r="N707" s="6"/>
      <c r="O707" s="6"/>
      <c r="P707" s="6"/>
    </row>
    <row r="708" spans="1:16">
      <c r="A708" s="82"/>
      <c r="B708" s="82"/>
      <c r="C708" s="83"/>
      <c r="D708" s="6"/>
      <c r="E708" s="6"/>
      <c r="F708" s="6"/>
      <c r="G708" s="6"/>
      <c r="H708" s="6"/>
      <c r="I708" s="6"/>
      <c r="J708" s="6"/>
      <c r="K708" s="6"/>
      <c r="L708" s="6"/>
      <c r="M708" s="6"/>
      <c r="N708" s="6"/>
      <c r="O708" s="6"/>
      <c r="P708" s="6"/>
    </row>
    <row r="709" spans="1:16">
      <c r="A709" s="82"/>
      <c r="B709" s="82"/>
      <c r="C709" s="83"/>
      <c r="D709" s="6"/>
      <c r="E709" s="6"/>
      <c r="F709" s="6"/>
      <c r="G709" s="6"/>
      <c r="H709" s="6"/>
      <c r="I709" s="6"/>
      <c r="J709" s="6"/>
      <c r="K709" s="6"/>
      <c r="L709" s="6"/>
      <c r="M709" s="6"/>
      <c r="N709" s="6"/>
      <c r="O709" s="6"/>
      <c r="P709" s="6"/>
    </row>
    <row r="710" spans="1:16">
      <c r="A710" s="82"/>
      <c r="B710" s="82"/>
      <c r="C710" s="83"/>
      <c r="D710" s="6"/>
      <c r="E710" s="6"/>
      <c r="F710" s="6"/>
      <c r="G710" s="6"/>
      <c r="H710" s="6"/>
      <c r="I710" s="6"/>
      <c r="J710" s="6"/>
      <c r="K710" s="6"/>
      <c r="L710" s="6"/>
      <c r="M710" s="6"/>
      <c r="N710" s="6"/>
      <c r="O710" s="6"/>
      <c r="P710" s="6"/>
    </row>
    <row r="711" spans="1:16">
      <c r="A711" s="82"/>
      <c r="B711" s="82"/>
      <c r="C711" s="83"/>
      <c r="D711" s="6"/>
      <c r="E711" s="6"/>
      <c r="F711" s="6"/>
      <c r="G711" s="6"/>
      <c r="H711" s="6"/>
      <c r="I711" s="6"/>
      <c r="J711" s="6"/>
      <c r="K711" s="6"/>
      <c r="L711" s="6"/>
      <c r="M711" s="6"/>
      <c r="N711" s="6"/>
      <c r="O711" s="6"/>
      <c r="P711" s="6"/>
    </row>
    <row r="712" spans="1:16">
      <c r="A712" s="82"/>
      <c r="B712" s="82"/>
      <c r="C712" s="83"/>
      <c r="D712" s="6"/>
      <c r="E712" s="6"/>
      <c r="F712" s="6"/>
      <c r="G712" s="6"/>
      <c r="H712" s="6"/>
      <c r="I712" s="6"/>
      <c r="J712" s="6"/>
      <c r="K712" s="6"/>
      <c r="L712" s="6"/>
      <c r="M712" s="6"/>
      <c r="N712" s="6"/>
      <c r="O712" s="6"/>
      <c r="P712" s="6"/>
    </row>
    <row r="713" spans="1:16">
      <c r="A713" s="82"/>
      <c r="B713" s="82"/>
      <c r="C713" s="83"/>
      <c r="D713" s="6"/>
      <c r="E713" s="6"/>
      <c r="F713" s="6"/>
      <c r="G713" s="6"/>
      <c r="H713" s="6"/>
      <c r="I713" s="6"/>
      <c r="J713" s="6"/>
      <c r="K713" s="6"/>
      <c r="L713" s="6"/>
      <c r="M713" s="6"/>
      <c r="N713" s="6"/>
      <c r="O713" s="6"/>
      <c r="P713" s="6"/>
    </row>
    <row r="714" spans="1:16">
      <c r="A714" s="82"/>
      <c r="B714" s="82"/>
      <c r="C714" s="83"/>
      <c r="D714" s="6"/>
      <c r="E714" s="6"/>
      <c r="F714" s="6"/>
      <c r="G714" s="6"/>
      <c r="H714" s="6"/>
      <c r="I714" s="6"/>
      <c r="J714" s="6"/>
      <c r="K714" s="6"/>
      <c r="L714" s="6"/>
      <c r="M714" s="6"/>
      <c r="N714" s="6"/>
      <c r="O714" s="6"/>
      <c r="P714" s="6"/>
    </row>
    <row r="715" spans="1:16">
      <c r="A715" s="82"/>
      <c r="B715" s="82"/>
      <c r="C715" s="83"/>
      <c r="D715" s="6"/>
      <c r="E715" s="6"/>
      <c r="F715" s="6"/>
      <c r="G715" s="6"/>
      <c r="H715" s="6"/>
      <c r="I715" s="6"/>
      <c r="J715" s="6"/>
      <c r="K715" s="6"/>
      <c r="L715" s="6"/>
      <c r="M715" s="6"/>
      <c r="N715" s="6"/>
      <c r="O715" s="6"/>
      <c r="P715" s="6"/>
    </row>
    <row r="716" spans="1:16">
      <c r="A716" s="82"/>
      <c r="B716" s="82"/>
      <c r="C716" s="83"/>
      <c r="D716" s="6"/>
      <c r="E716" s="6"/>
      <c r="F716" s="6"/>
      <c r="G716" s="6"/>
      <c r="H716" s="6"/>
      <c r="I716" s="6"/>
      <c r="J716" s="6"/>
      <c r="K716" s="6"/>
      <c r="L716" s="6"/>
      <c r="M716" s="6"/>
      <c r="N716" s="6"/>
      <c r="O716" s="6"/>
      <c r="P716" s="6"/>
    </row>
    <row r="717" spans="1:16">
      <c r="A717" s="82"/>
      <c r="B717" s="82"/>
      <c r="C717" s="83"/>
      <c r="D717" s="6"/>
      <c r="E717" s="6"/>
      <c r="F717" s="6"/>
      <c r="G717" s="6"/>
      <c r="H717" s="6"/>
      <c r="I717" s="6"/>
      <c r="J717" s="6"/>
      <c r="K717" s="6"/>
      <c r="L717" s="6"/>
      <c r="M717" s="6"/>
      <c r="N717" s="6"/>
      <c r="O717" s="6"/>
      <c r="P717" s="6"/>
    </row>
    <row r="718" spans="1:16">
      <c r="A718" s="82"/>
      <c r="B718" s="82"/>
      <c r="C718" s="83"/>
      <c r="D718" s="6"/>
      <c r="E718" s="6"/>
      <c r="F718" s="6"/>
      <c r="G718" s="6"/>
      <c r="H718" s="6"/>
      <c r="I718" s="6"/>
      <c r="J718" s="6"/>
      <c r="K718" s="6"/>
      <c r="L718" s="6"/>
      <c r="M718" s="6"/>
      <c r="N718" s="6"/>
      <c r="O718" s="6"/>
      <c r="P718" s="6"/>
    </row>
    <row r="719" spans="1:16">
      <c r="A719" s="82"/>
      <c r="B719" s="82"/>
      <c r="C719" s="83"/>
      <c r="D719" s="6"/>
      <c r="E719" s="6"/>
      <c r="F719" s="6"/>
      <c r="G719" s="6"/>
      <c r="H719" s="6"/>
      <c r="I719" s="6"/>
      <c r="J719" s="6"/>
      <c r="K719" s="6"/>
      <c r="L719" s="6"/>
      <c r="M719" s="6"/>
      <c r="N719" s="6"/>
      <c r="O719" s="6"/>
      <c r="P719" s="6"/>
    </row>
    <row r="720" spans="1:16">
      <c r="A720" s="82"/>
      <c r="B720" s="82"/>
      <c r="C720" s="83"/>
      <c r="D720" s="6"/>
      <c r="E720" s="6"/>
      <c r="F720" s="6"/>
      <c r="G720" s="6"/>
      <c r="H720" s="6"/>
      <c r="I720" s="6"/>
      <c r="J720" s="6"/>
      <c r="K720" s="6"/>
      <c r="L720" s="6"/>
      <c r="M720" s="6"/>
      <c r="N720" s="6"/>
      <c r="O720" s="6"/>
      <c r="P720" s="6"/>
    </row>
    <row r="721" spans="1:16">
      <c r="A721" s="82"/>
      <c r="B721" s="82"/>
      <c r="C721" s="83"/>
      <c r="D721" s="6"/>
      <c r="E721" s="6"/>
      <c r="F721" s="6"/>
      <c r="G721" s="6"/>
      <c r="H721" s="6"/>
      <c r="I721" s="6"/>
      <c r="J721" s="6"/>
      <c r="K721" s="6"/>
      <c r="L721" s="6"/>
      <c r="M721" s="6"/>
      <c r="N721" s="6"/>
      <c r="O721" s="6"/>
      <c r="P721" s="6"/>
    </row>
    <row r="722" spans="1:16">
      <c r="A722" s="82"/>
      <c r="B722" s="82"/>
      <c r="C722" s="83"/>
      <c r="D722" s="6"/>
      <c r="E722" s="6"/>
      <c r="F722" s="6"/>
      <c r="G722" s="6"/>
      <c r="H722" s="6"/>
      <c r="I722" s="6"/>
      <c r="J722" s="6"/>
      <c r="K722" s="6"/>
      <c r="L722" s="6"/>
      <c r="M722" s="6"/>
      <c r="N722" s="6"/>
      <c r="O722" s="6"/>
      <c r="P722" s="6"/>
    </row>
    <row r="723" spans="1:16">
      <c r="A723" s="82"/>
      <c r="B723" s="82"/>
      <c r="C723" s="83"/>
      <c r="D723" s="6"/>
      <c r="E723" s="6"/>
      <c r="F723" s="6"/>
      <c r="G723" s="6"/>
      <c r="H723" s="6"/>
      <c r="I723" s="6"/>
      <c r="J723" s="6"/>
      <c r="K723" s="6"/>
      <c r="L723" s="6"/>
      <c r="M723" s="6"/>
      <c r="N723" s="6"/>
      <c r="O723" s="6"/>
      <c r="P723" s="6"/>
    </row>
    <row r="724" spans="1:16">
      <c r="A724" s="82"/>
      <c r="B724" s="82"/>
      <c r="C724" s="83"/>
      <c r="D724" s="6"/>
      <c r="E724" s="6"/>
      <c r="F724" s="6"/>
      <c r="G724" s="6"/>
      <c r="H724" s="6"/>
      <c r="I724" s="6"/>
      <c r="J724" s="6"/>
      <c r="K724" s="6"/>
      <c r="L724" s="6"/>
      <c r="M724" s="6"/>
      <c r="N724" s="6"/>
      <c r="O724" s="6"/>
      <c r="P724" s="6"/>
    </row>
    <row r="725" spans="1:16">
      <c r="A725" s="82"/>
      <c r="B725" s="82"/>
      <c r="C725" s="83"/>
      <c r="D725" s="6"/>
      <c r="E725" s="6"/>
      <c r="F725" s="6"/>
      <c r="G725" s="6"/>
      <c r="H725" s="6"/>
      <c r="I725" s="6"/>
      <c r="J725" s="6"/>
      <c r="K725" s="6"/>
      <c r="L725" s="6"/>
      <c r="M725" s="6"/>
      <c r="N725" s="6"/>
      <c r="O725" s="6"/>
      <c r="P725" s="6"/>
    </row>
    <row r="726" spans="1:16">
      <c r="A726" s="82"/>
      <c r="B726" s="82"/>
      <c r="C726" s="83"/>
      <c r="D726" s="6"/>
      <c r="E726" s="6"/>
      <c r="F726" s="6"/>
      <c r="G726" s="6"/>
      <c r="H726" s="6"/>
      <c r="I726" s="6"/>
      <c r="J726" s="6"/>
      <c r="K726" s="6"/>
      <c r="L726" s="6"/>
      <c r="M726" s="6"/>
      <c r="N726" s="6"/>
      <c r="O726" s="6"/>
      <c r="P726" s="6"/>
    </row>
    <row r="727" spans="1:16">
      <c r="A727" s="82"/>
      <c r="B727" s="82"/>
      <c r="C727" s="83"/>
      <c r="D727" s="6"/>
      <c r="E727" s="6"/>
      <c r="F727" s="6"/>
      <c r="G727" s="6"/>
      <c r="H727" s="6"/>
      <c r="I727" s="6"/>
      <c r="J727" s="6"/>
      <c r="K727" s="6"/>
      <c r="L727" s="6"/>
      <c r="M727" s="6"/>
      <c r="N727" s="6"/>
      <c r="O727" s="6"/>
      <c r="P727" s="6"/>
    </row>
    <row r="728" spans="1:16">
      <c r="A728" s="82"/>
      <c r="B728" s="82"/>
      <c r="C728" s="83"/>
      <c r="D728" s="6"/>
      <c r="E728" s="6"/>
      <c r="F728" s="6"/>
      <c r="G728" s="6"/>
      <c r="H728" s="6"/>
      <c r="I728" s="6"/>
      <c r="J728" s="6"/>
      <c r="K728" s="6"/>
      <c r="L728" s="6"/>
      <c r="M728" s="6"/>
      <c r="N728" s="6"/>
      <c r="O728" s="6"/>
      <c r="P728" s="6"/>
    </row>
    <row r="729" spans="1:16">
      <c r="A729" s="82"/>
      <c r="B729" s="82"/>
      <c r="C729" s="83"/>
      <c r="D729" s="6"/>
      <c r="E729" s="6"/>
      <c r="F729" s="6"/>
      <c r="G729" s="6"/>
      <c r="H729" s="6"/>
      <c r="I729" s="6"/>
      <c r="J729" s="6"/>
      <c r="K729" s="6"/>
      <c r="L729" s="6"/>
      <c r="M729" s="6"/>
      <c r="N729" s="6"/>
      <c r="O729" s="6"/>
      <c r="P729" s="6"/>
    </row>
    <row r="730" spans="1:16">
      <c r="A730" s="82"/>
      <c r="B730" s="82"/>
      <c r="C730" s="83"/>
      <c r="D730" s="6"/>
      <c r="E730" s="6"/>
      <c r="F730" s="6"/>
      <c r="G730" s="6"/>
      <c r="H730" s="6"/>
      <c r="I730" s="6"/>
      <c r="J730" s="6"/>
      <c r="K730" s="6"/>
      <c r="L730" s="6"/>
      <c r="M730" s="6"/>
      <c r="N730" s="6"/>
      <c r="O730" s="6"/>
      <c r="P730" s="6"/>
    </row>
    <row r="731" spans="1:16">
      <c r="A731" s="82"/>
      <c r="B731" s="82"/>
      <c r="C731" s="83"/>
      <c r="D731" s="6"/>
      <c r="E731" s="6"/>
      <c r="F731" s="6"/>
      <c r="G731" s="6"/>
      <c r="H731" s="6"/>
      <c r="I731" s="6"/>
      <c r="J731" s="6"/>
      <c r="K731" s="6"/>
      <c r="L731" s="6"/>
      <c r="M731" s="6"/>
      <c r="N731" s="6"/>
      <c r="O731" s="6"/>
      <c r="P731" s="6"/>
    </row>
    <row r="732" spans="1:16">
      <c r="A732" s="82"/>
      <c r="B732" s="82"/>
      <c r="C732" s="83"/>
      <c r="D732" s="6"/>
      <c r="E732" s="6"/>
      <c r="F732" s="6"/>
      <c r="G732" s="6"/>
      <c r="H732" s="6"/>
      <c r="I732" s="6"/>
      <c r="J732" s="6"/>
      <c r="K732" s="6"/>
      <c r="L732" s="6"/>
      <c r="M732" s="6"/>
      <c r="N732" s="6"/>
      <c r="O732" s="6"/>
      <c r="P732" s="6"/>
    </row>
    <row r="733" spans="1:16">
      <c r="A733" s="82"/>
      <c r="B733" s="82"/>
      <c r="C733" s="83"/>
      <c r="D733" s="6"/>
      <c r="E733" s="6"/>
      <c r="F733" s="6"/>
      <c r="G733" s="6"/>
      <c r="H733" s="6"/>
      <c r="I733" s="6"/>
      <c r="J733" s="6"/>
      <c r="K733" s="6"/>
      <c r="L733" s="6"/>
      <c r="M733" s="6"/>
      <c r="N733" s="6"/>
      <c r="O733" s="6"/>
      <c r="P733" s="6"/>
    </row>
    <row r="734" spans="1:16">
      <c r="A734" s="82"/>
      <c r="B734" s="82"/>
      <c r="C734" s="83"/>
      <c r="D734" s="6"/>
      <c r="E734" s="6"/>
      <c r="F734" s="6"/>
      <c r="G734" s="6"/>
      <c r="H734" s="6"/>
      <c r="I734" s="6"/>
      <c r="J734" s="6"/>
      <c r="K734" s="6"/>
      <c r="L734" s="6"/>
      <c r="M734" s="6"/>
      <c r="N734" s="6"/>
      <c r="O734" s="6"/>
      <c r="P734" s="6"/>
    </row>
    <row r="735" spans="1:16">
      <c r="A735" s="82"/>
      <c r="B735" s="82"/>
      <c r="C735" s="83"/>
      <c r="D735" s="6"/>
      <c r="E735" s="6"/>
      <c r="F735" s="6"/>
      <c r="G735" s="6"/>
      <c r="H735" s="6"/>
      <c r="I735" s="6"/>
      <c r="J735" s="6"/>
      <c r="K735" s="6"/>
      <c r="L735" s="6"/>
      <c r="M735" s="6"/>
      <c r="N735" s="6"/>
      <c r="O735" s="6"/>
      <c r="P735" s="6"/>
    </row>
    <row r="736" spans="1:16">
      <c r="A736" s="82"/>
      <c r="B736" s="82"/>
      <c r="C736" s="83"/>
      <c r="D736" s="6"/>
      <c r="E736" s="6"/>
      <c r="F736" s="6"/>
      <c r="G736" s="6"/>
      <c r="H736" s="6"/>
      <c r="I736" s="6"/>
      <c r="J736" s="6"/>
      <c r="K736" s="6"/>
      <c r="L736" s="6"/>
      <c r="M736" s="6"/>
      <c r="N736" s="6"/>
      <c r="O736" s="6"/>
      <c r="P736" s="6"/>
    </row>
    <row r="737" spans="1:16">
      <c r="A737" s="82"/>
      <c r="B737" s="82"/>
      <c r="C737" s="83"/>
      <c r="D737" s="6"/>
      <c r="E737" s="6"/>
      <c r="F737" s="6"/>
      <c r="G737" s="6"/>
      <c r="H737" s="6"/>
      <c r="I737" s="6"/>
      <c r="J737" s="6"/>
      <c r="K737" s="6"/>
      <c r="L737" s="6"/>
      <c r="M737" s="6"/>
      <c r="N737" s="6"/>
      <c r="O737" s="6"/>
      <c r="P737" s="6"/>
    </row>
    <row r="738" spans="1:16">
      <c r="A738" s="82"/>
      <c r="B738" s="82"/>
      <c r="C738" s="83"/>
      <c r="D738" s="6"/>
      <c r="E738" s="6"/>
      <c r="F738" s="6"/>
      <c r="G738" s="6"/>
      <c r="H738" s="6"/>
      <c r="I738" s="6"/>
      <c r="J738" s="6"/>
      <c r="K738" s="6"/>
      <c r="L738" s="6"/>
      <c r="M738" s="6"/>
      <c r="N738" s="6"/>
      <c r="O738" s="6"/>
      <c r="P738" s="6"/>
    </row>
    <row r="739" spans="1:16">
      <c r="A739" s="82"/>
      <c r="B739" s="82"/>
      <c r="C739" s="83"/>
      <c r="D739" s="6"/>
      <c r="E739" s="6"/>
      <c r="F739" s="6"/>
      <c r="G739" s="6"/>
      <c r="H739" s="6"/>
      <c r="I739" s="6"/>
      <c r="J739" s="6"/>
      <c r="K739" s="6"/>
      <c r="L739" s="6"/>
      <c r="M739" s="6"/>
      <c r="N739" s="6"/>
      <c r="O739" s="6"/>
      <c r="P739" s="6"/>
    </row>
    <row r="740" spans="1:16">
      <c r="A740" s="82"/>
      <c r="B740" s="82"/>
      <c r="C740" s="83"/>
      <c r="D740" s="6"/>
      <c r="E740" s="6"/>
      <c r="F740" s="6"/>
      <c r="G740" s="6"/>
      <c r="H740" s="6"/>
      <c r="I740" s="6"/>
      <c r="J740" s="6"/>
      <c r="K740" s="6"/>
      <c r="L740" s="6"/>
      <c r="M740" s="6"/>
      <c r="N740" s="6"/>
      <c r="O740" s="6"/>
      <c r="P740" s="6"/>
    </row>
    <row r="741" spans="1:16">
      <c r="A741" s="82"/>
      <c r="B741" s="82"/>
      <c r="C741" s="83"/>
      <c r="D741" s="6"/>
      <c r="E741" s="6"/>
      <c r="F741" s="6"/>
      <c r="G741" s="6"/>
      <c r="H741" s="6"/>
      <c r="I741" s="6"/>
      <c r="J741" s="6"/>
      <c r="K741" s="6"/>
      <c r="L741" s="6"/>
      <c r="M741" s="6"/>
      <c r="N741" s="6"/>
      <c r="O741" s="6"/>
      <c r="P741" s="6"/>
    </row>
    <row r="742" spans="1:16">
      <c r="A742" s="82"/>
      <c r="B742" s="82"/>
      <c r="C742" s="83"/>
      <c r="D742" s="6"/>
      <c r="E742" s="6"/>
      <c r="F742" s="6"/>
      <c r="G742" s="6"/>
      <c r="H742" s="6"/>
      <c r="I742" s="6"/>
      <c r="J742" s="6"/>
      <c r="K742" s="6"/>
      <c r="L742" s="6"/>
      <c r="M742" s="6"/>
      <c r="N742" s="6"/>
      <c r="O742" s="6"/>
      <c r="P742" s="6"/>
    </row>
    <row r="743" spans="1:16">
      <c r="A743" s="82"/>
      <c r="B743" s="82"/>
      <c r="C743" s="83"/>
      <c r="D743" s="6"/>
      <c r="E743" s="6"/>
      <c r="F743" s="6"/>
      <c r="G743" s="6"/>
      <c r="H743" s="6"/>
      <c r="I743" s="6"/>
      <c r="J743" s="6"/>
      <c r="K743" s="6"/>
      <c r="L743" s="6"/>
      <c r="M743" s="6"/>
      <c r="N743" s="6"/>
      <c r="O743" s="6"/>
      <c r="P743" s="6"/>
    </row>
    <row r="744" spans="1:16">
      <c r="A744" s="82"/>
      <c r="B744" s="82"/>
      <c r="C744" s="83"/>
      <c r="D744" s="6"/>
      <c r="E744" s="6"/>
      <c r="F744" s="6"/>
      <c r="G744" s="6"/>
      <c r="H744" s="6"/>
      <c r="I744" s="6"/>
      <c r="J744" s="6"/>
      <c r="K744" s="6"/>
      <c r="L744" s="6"/>
      <c r="M744" s="6"/>
      <c r="N744" s="6"/>
      <c r="O744" s="6"/>
      <c r="P744" s="6"/>
    </row>
    <row r="745" spans="1:16">
      <c r="A745" s="82"/>
      <c r="B745" s="82"/>
      <c r="C745" s="83"/>
      <c r="D745" s="6"/>
      <c r="E745" s="6"/>
      <c r="F745" s="6"/>
      <c r="G745" s="6"/>
      <c r="H745" s="6"/>
      <c r="I745" s="6"/>
      <c r="J745" s="6"/>
      <c r="K745" s="6"/>
      <c r="L745" s="6"/>
      <c r="M745" s="6"/>
      <c r="N745" s="6"/>
      <c r="O745" s="6"/>
      <c r="P745" s="6"/>
    </row>
    <row r="746" spans="1:16">
      <c r="A746" s="82"/>
      <c r="B746" s="82"/>
      <c r="C746" s="83"/>
      <c r="D746" s="6"/>
      <c r="E746" s="6"/>
      <c r="F746" s="6"/>
      <c r="G746" s="6"/>
      <c r="H746" s="6"/>
      <c r="I746" s="6"/>
      <c r="J746" s="6"/>
      <c r="K746" s="6"/>
      <c r="L746" s="6"/>
      <c r="M746" s="6"/>
      <c r="N746" s="6"/>
      <c r="O746" s="6"/>
      <c r="P746" s="6"/>
    </row>
    <row r="747" spans="1:16">
      <c r="A747" s="82"/>
      <c r="B747" s="82"/>
      <c r="C747" s="83"/>
      <c r="D747" s="6"/>
      <c r="E747" s="6"/>
      <c r="F747" s="6"/>
      <c r="G747" s="6"/>
      <c r="H747" s="6"/>
      <c r="I747" s="6"/>
      <c r="J747" s="6"/>
      <c r="K747" s="6"/>
      <c r="L747" s="6"/>
      <c r="M747" s="6"/>
      <c r="N747" s="6"/>
      <c r="O747" s="6"/>
      <c r="P747" s="6"/>
    </row>
    <row r="748" spans="1:16">
      <c r="A748" s="82"/>
      <c r="B748" s="82"/>
      <c r="C748" s="83"/>
      <c r="D748" s="6"/>
      <c r="E748" s="6"/>
      <c r="F748" s="6"/>
      <c r="G748" s="6"/>
      <c r="H748" s="6"/>
      <c r="I748" s="6"/>
      <c r="J748" s="6"/>
      <c r="K748" s="6"/>
      <c r="L748" s="6"/>
      <c r="M748" s="6"/>
      <c r="N748" s="6"/>
      <c r="O748" s="6"/>
      <c r="P748" s="6"/>
    </row>
    <row r="749" spans="1:16">
      <c r="A749" s="82"/>
      <c r="B749" s="82"/>
      <c r="C749" s="83"/>
      <c r="D749" s="6"/>
      <c r="E749" s="6"/>
      <c r="F749" s="6"/>
      <c r="G749" s="6"/>
      <c r="H749" s="6"/>
      <c r="I749" s="6"/>
      <c r="J749" s="6"/>
      <c r="K749" s="6"/>
      <c r="L749" s="6"/>
      <c r="M749" s="6"/>
      <c r="N749" s="6"/>
      <c r="O749" s="6"/>
      <c r="P749" s="6"/>
    </row>
    <row r="750" spans="1:16">
      <c r="A750" s="82"/>
      <c r="B750" s="82"/>
      <c r="C750" s="83"/>
      <c r="D750" s="6"/>
      <c r="E750" s="6"/>
      <c r="F750" s="6"/>
      <c r="G750" s="6"/>
      <c r="H750" s="6"/>
      <c r="I750" s="6"/>
      <c r="J750" s="6"/>
      <c r="K750" s="6"/>
      <c r="L750" s="6"/>
      <c r="M750" s="6"/>
      <c r="N750" s="6"/>
      <c r="O750" s="6"/>
      <c r="P750" s="6"/>
    </row>
    <row r="751" spans="1:16">
      <c r="A751" s="82"/>
      <c r="B751" s="82"/>
      <c r="C751" s="83"/>
      <c r="D751" s="6"/>
      <c r="E751" s="6"/>
      <c r="F751" s="6"/>
      <c r="G751" s="6"/>
      <c r="H751" s="6"/>
      <c r="I751" s="6"/>
      <c r="J751" s="6"/>
      <c r="K751" s="6"/>
      <c r="L751" s="6"/>
      <c r="M751" s="6"/>
      <c r="N751" s="6"/>
      <c r="O751" s="6"/>
      <c r="P751" s="6"/>
    </row>
    <row r="752" spans="1:16">
      <c r="A752" s="82"/>
      <c r="B752" s="82"/>
      <c r="C752" s="83"/>
      <c r="D752" s="6"/>
      <c r="E752" s="6"/>
      <c r="F752" s="6"/>
      <c r="G752" s="6"/>
      <c r="H752" s="6"/>
      <c r="I752" s="6"/>
      <c r="J752" s="6"/>
      <c r="K752" s="6"/>
      <c r="L752" s="6"/>
      <c r="M752" s="6"/>
      <c r="N752" s="6"/>
      <c r="O752" s="6"/>
      <c r="P752" s="6"/>
    </row>
    <row r="753" spans="1:16">
      <c r="A753" s="82"/>
      <c r="B753" s="82"/>
      <c r="C753" s="83"/>
      <c r="D753" s="6"/>
      <c r="E753" s="6"/>
      <c r="F753" s="6"/>
      <c r="G753" s="6"/>
      <c r="H753" s="6"/>
      <c r="I753" s="6"/>
      <c r="J753" s="6"/>
      <c r="K753" s="6"/>
      <c r="L753" s="6"/>
      <c r="M753" s="6"/>
      <c r="N753" s="6"/>
      <c r="O753" s="6"/>
      <c r="P753" s="6"/>
    </row>
    <row r="754" spans="1:16">
      <c r="A754" s="82"/>
      <c r="B754" s="82"/>
      <c r="C754" s="83"/>
      <c r="D754" s="6"/>
      <c r="E754" s="6"/>
      <c r="F754" s="6"/>
      <c r="G754" s="6"/>
      <c r="H754" s="6"/>
      <c r="I754" s="6"/>
      <c r="J754" s="6"/>
      <c r="K754" s="6"/>
      <c r="L754" s="6"/>
      <c r="M754" s="6"/>
      <c r="N754" s="6"/>
      <c r="O754" s="6"/>
      <c r="P754" s="6"/>
    </row>
    <row r="755" spans="1:16">
      <c r="A755" s="82"/>
      <c r="B755" s="82"/>
      <c r="C755" s="83"/>
      <c r="D755" s="6"/>
      <c r="E755" s="6"/>
      <c r="F755" s="6"/>
      <c r="G755" s="6"/>
      <c r="H755" s="6"/>
      <c r="I755" s="6"/>
      <c r="J755" s="6"/>
      <c r="K755" s="6"/>
      <c r="L755" s="6"/>
      <c r="M755" s="6"/>
      <c r="N755" s="6"/>
      <c r="O755" s="6"/>
      <c r="P755" s="6"/>
    </row>
    <row r="756" spans="1:16">
      <c r="A756" s="82"/>
      <c r="B756" s="82"/>
      <c r="C756" s="83"/>
      <c r="D756" s="6"/>
      <c r="E756" s="6"/>
      <c r="F756" s="6"/>
      <c r="G756" s="6"/>
      <c r="H756" s="6"/>
      <c r="I756" s="6"/>
      <c r="J756" s="6"/>
      <c r="K756" s="6"/>
      <c r="L756" s="6"/>
      <c r="M756" s="6"/>
      <c r="N756" s="6"/>
      <c r="O756" s="6"/>
      <c r="P756" s="6"/>
    </row>
    <row r="757" spans="1:16">
      <c r="A757" s="82"/>
      <c r="B757" s="82"/>
      <c r="C757" s="83"/>
      <c r="D757" s="6"/>
      <c r="E757" s="6"/>
      <c r="F757" s="6"/>
      <c r="G757" s="6"/>
      <c r="H757" s="6"/>
      <c r="I757" s="6"/>
      <c r="J757" s="6"/>
      <c r="K757" s="6"/>
      <c r="L757" s="6"/>
      <c r="M757" s="6"/>
      <c r="N757" s="6"/>
      <c r="O757" s="6"/>
      <c r="P757" s="6"/>
    </row>
    <row r="758" spans="1:16">
      <c r="A758" s="82"/>
      <c r="B758" s="82"/>
      <c r="C758" s="83"/>
      <c r="D758" s="6"/>
      <c r="E758" s="6"/>
      <c r="F758" s="6"/>
      <c r="G758" s="6"/>
      <c r="H758" s="6"/>
      <c r="I758" s="6"/>
      <c r="J758" s="6"/>
      <c r="K758" s="6"/>
      <c r="L758" s="6"/>
      <c r="M758" s="6"/>
      <c r="N758" s="6"/>
      <c r="O758" s="6"/>
      <c r="P758" s="6"/>
    </row>
    <row r="759" spans="1:16">
      <c r="A759" s="82"/>
      <c r="B759" s="82"/>
      <c r="C759" s="83"/>
      <c r="D759" s="6"/>
      <c r="E759" s="6"/>
      <c r="F759" s="6"/>
      <c r="G759" s="6"/>
      <c r="H759" s="6"/>
      <c r="I759" s="6"/>
      <c r="J759" s="6"/>
      <c r="K759" s="6"/>
      <c r="L759" s="6"/>
      <c r="M759" s="6"/>
      <c r="N759" s="6"/>
      <c r="O759" s="6"/>
      <c r="P759" s="6"/>
    </row>
    <row r="760" spans="1:16">
      <c r="A760" s="82"/>
      <c r="B760" s="82"/>
      <c r="C760" s="83"/>
      <c r="D760" s="6"/>
      <c r="E760" s="6"/>
      <c r="F760" s="6"/>
      <c r="G760" s="6"/>
      <c r="H760" s="6"/>
      <c r="I760" s="6"/>
      <c r="J760" s="6"/>
      <c r="K760" s="6"/>
      <c r="L760" s="6"/>
      <c r="M760" s="6"/>
      <c r="N760" s="6"/>
      <c r="O760" s="6"/>
      <c r="P760" s="6"/>
    </row>
    <row r="761" spans="1:16">
      <c r="A761" s="82"/>
      <c r="B761" s="82"/>
      <c r="C761" s="83"/>
      <c r="D761" s="6"/>
      <c r="E761" s="6"/>
      <c r="F761" s="6"/>
      <c r="G761" s="6"/>
      <c r="H761" s="6"/>
      <c r="I761" s="6"/>
      <c r="J761" s="6"/>
      <c r="K761" s="6"/>
      <c r="L761" s="6"/>
      <c r="M761" s="6"/>
      <c r="N761" s="6"/>
      <c r="O761" s="6"/>
      <c r="P761" s="6"/>
    </row>
    <row r="762" spans="1:16">
      <c r="A762" s="82"/>
      <c r="B762" s="82"/>
      <c r="C762" s="83"/>
      <c r="D762" s="6"/>
      <c r="E762" s="6"/>
      <c r="F762" s="6"/>
      <c r="G762" s="6"/>
      <c r="H762" s="6"/>
      <c r="I762" s="6"/>
      <c r="J762" s="6"/>
      <c r="K762" s="6"/>
      <c r="L762" s="6"/>
      <c r="M762" s="6"/>
      <c r="N762" s="6"/>
      <c r="O762" s="6"/>
      <c r="P762" s="6"/>
    </row>
    <row r="763" spans="1:16">
      <c r="A763" s="82"/>
      <c r="B763" s="82"/>
      <c r="C763" s="83"/>
      <c r="D763" s="6"/>
      <c r="E763" s="6"/>
      <c r="F763" s="6"/>
      <c r="G763" s="6"/>
      <c r="H763" s="6"/>
      <c r="I763" s="6"/>
      <c r="J763" s="6"/>
      <c r="K763" s="6"/>
      <c r="L763" s="6"/>
      <c r="M763" s="6"/>
      <c r="N763" s="6"/>
      <c r="O763" s="6"/>
      <c r="P763" s="6"/>
    </row>
    <row r="764" spans="1:16">
      <c r="A764" s="82"/>
      <c r="B764" s="82"/>
      <c r="C764" s="83"/>
      <c r="D764" s="6"/>
      <c r="E764" s="6"/>
      <c r="F764" s="6"/>
      <c r="G764" s="6"/>
      <c r="H764" s="6"/>
      <c r="I764" s="6"/>
      <c r="J764" s="6"/>
      <c r="K764" s="6"/>
      <c r="L764" s="6"/>
      <c r="M764" s="6"/>
      <c r="N764" s="6"/>
      <c r="O764" s="6"/>
      <c r="P764" s="6"/>
    </row>
    <row r="765" spans="1:16">
      <c r="A765" s="82"/>
      <c r="B765" s="82"/>
      <c r="C765" s="83"/>
      <c r="D765" s="6"/>
      <c r="E765" s="6"/>
      <c r="F765" s="6"/>
      <c r="G765" s="6"/>
      <c r="H765" s="6"/>
      <c r="I765" s="6"/>
      <c r="J765" s="6"/>
      <c r="K765" s="6"/>
      <c r="L765" s="6"/>
      <c r="M765" s="6"/>
      <c r="N765" s="6"/>
      <c r="O765" s="6"/>
      <c r="P765" s="6"/>
    </row>
    <row r="766" spans="1:16">
      <c r="A766" s="82"/>
      <c r="B766" s="82"/>
      <c r="C766" s="83"/>
      <c r="D766" s="6"/>
      <c r="E766" s="6"/>
      <c r="F766" s="6"/>
      <c r="G766" s="6"/>
      <c r="H766" s="6"/>
      <c r="I766" s="6"/>
      <c r="J766" s="6"/>
      <c r="K766" s="6"/>
      <c r="L766" s="6"/>
      <c r="M766" s="6"/>
      <c r="N766" s="6"/>
      <c r="O766" s="6"/>
      <c r="P766" s="6"/>
    </row>
    <row r="767" spans="1:16">
      <c r="A767" s="82"/>
      <c r="B767" s="82"/>
      <c r="C767" s="83"/>
      <c r="D767" s="6"/>
      <c r="E767" s="6"/>
      <c r="F767" s="6"/>
      <c r="G767" s="6"/>
      <c r="H767" s="6"/>
      <c r="I767" s="6"/>
      <c r="J767" s="6"/>
      <c r="K767" s="6"/>
      <c r="L767" s="6"/>
      <c r="M767" s="6"/>
      <c r="N767" s="6"/>
      <c r="O767" s="6"/>
      <c r="P767" s="6"/>
    </row>
    <row r="768" spans="1:16">
      <c r="A768" s="82"/>
      <c r="B768" s="82"/>
      <c r="C768" s="83"/>
      <c r="D768" s="6"/>
      <c r="E768" s="6"/>
      <c r="F768" s="6"/>
      <c r="G768" s="6"/>
      <c r="H768" s="6"/>
      <c r="I768" s="6"/>
      <c r="J768" s="6"/>
      <c r="K768" s="6"/>
      <c r="L768" s="6"/>
      <c r="M768" s="6"/>
      <c r="N768" s="6"/>
      <c r="O768" s="6"/>
      <c r="P768" s="6"/>
    </row>
    <row r="769" spans="1:16">
      <c r="A769" s="82"/>
      <c r="B769" s="82"/>
      <c r="C769" s="83"/>
      <c r="D769" s="6"/>
      <c r="E769" s="6"/>
      <c r="F769" s="6"/>
      <c r="G769" s="6"/>
      <c r="H769" s="6"/>
      <c r="I769" s="6"/>
      <c r="J769" s="6"/>
      <c r="K769" s="6"/>
      <c r="L769" s="6"/>
      <c r="M769" s="6"/>
      <c r="N769" s="6"/>
      <c r="O769" s="6"/>
      <c r="P769" s="6"/>
    </row>
    <row r="770" spans="1:16">
      <c r="A770" s="82"/>
      <c r="B770" s="82"/>
      <c r="C770" s="83"/>
      <c r="D770" s="6"/>
      <c r="E770" s="6"/>
      <c r="F770" s="6"/>
      <c r="G770" s="6"/>
      <c r="H770" s="6"/>
      <c r="I770" s="6"/>
      <c r="J770" s="6"/>
      <c r="K770" s="6"/>
      <c r="L770" s="6"/>
      <c r="M770" s="6"/>
      <c r="N770" s="6"/>
      <c r="O770" s="6"/>
      <c r="P770" s="6"/>
    </row>
    <row r="771" spans="1:16">
      <c r="A771" s="82"/>
      <c r="B771" s="82"/>
      <c r="C771" s="83"/>
      <c r="D771" s="6"/>
      <c r="E771" s="6"/>
      <c r="F771" s="6"/>
      <c r="G771" s="6"/>
      <c r="H771" s="6"/>
      <c r="I771" s="6"/>
      <c r="J771" s="6"/>
      <c r="K771" s="6"/>
      <c r="L771" s="6"/>
      <c r="M771" s="6"/>
      <c r="N771" s="6"/>
      <c r="O771" s="6"/>
      <c r="P771" s="6"/>
    </row>
    <row r="772" spans="1:16">
      <c r="A772" s="82"/>
      <c r="B772" s="82"/>
      <c r="C772" s="83"/>
      <c r="D772" s="6"/>
      <c r="E772" s="6"/>
      <c r="F772" s="6"/>
      <c r="G772" s="6"/>
      <c r="H772" s="6"/>
      <c r="I772" s="6"/>
      <c r="J772" s="6"/>
      <c r="K772" s="6"/>
      <c r="L772" s="6"/>
      <c r="M772" s="6"/>
      <c r="N772" s="6"/>
      <c r="O772" s="6"/>
      <c r="P772" s="6"/>
    </row>
    <row r="773" spans="1:16">
      <c r="A773" s="82"/>
      <c r="B773" s="82"/>
      <c r="C773" s="83"/>
      <c r="D773" s="6"/>
      <c r="E773" s="6"/>
      <c r="F773" s="6"/>
      <c r="G773" s="6"/>
      <c r="H773" s="6"/>
      <c r="I773" s="6"/>
      <c r="J773" s="6"/>
      <c r="K773" s="6"/>
      <c r="L773" s="6"/>
      <c r="M773" s="6"/>
      <c r="N773" s="6"/>
      <c r="O773" s="6"/>
      <c r="P773" s="6"/>
    </row>
    <row r="774" spans="1:16">
      <c r="A774" s="82"/>
      <c r="B774" s="82"/>
      <c r="C774" s="83"/>
      <c r="D774" s="6"/>
      <c r="E774" s="6"/>
      <c r="F774" s="6"/>
      <c r="G774" s="6"/>
      <c r="H774" s="6"/>
      <c r="I774" s="6"/>
      <c r="J774" s="6"/>
      <c r="K774" s="6"/>
      <c r="L774" s="6"/>
      <c r="M774" s="6"/>
      <c r="N774" s="6"/>
      <c r="O774" s="6"/>
      <c r="P774" s="6"/>
    </row>
    <row r="775" spans="1:16">
      <c r="A775" s="82"/>
      <c r="B775" s="82"/>
      <c r="C775" s="83"/>
      <c r="D775" s="6"/>
      <c r="E775" s="6"/>
      <c r="F775" s="6"/>
      <c r="G775" s="6"/>
      <c r="H775" s="6"/>
      <c r="I775" s="6"/>
      <c r="J775" s="6"/>
      <c r="K775" s="6"/>
      <c r="L775" s="6"/>
      <c r="M775" s="6"/>
      <c r="N775" s="6"/>
      <c r="O775" s="6"/>
      <c r="P775" s="6"/>
    </row>
    <row r="776" spans="1:16">
      <c r="A776" s="82"/>
      <c r="B776" s="82"/>
      <c r="C776" s="83"/>
      <c r="D776" s="6"/>
      <c r="E776" s="6"/>
      <c r="F776" s="6"/>
      <c r="G776" s="6"/>
      <c r="H776" s="6"/>
      <c r="I776" s="6"/>
      <c r="J776" s="6"/>
      <c r="K776" s="6"/>
      <c r="L776" s="6"/>
      <c r="M776" s="6"/>
      <c r="N776" s="6"/>
      <c r="O776" s="6"/>
      <c r="P776" s="6"/>
    </row>
    <row r="777" spans="1:16">
      <c r="A777" s="82"/>
      <c r="B777" s="82"/>
      <c r="C777" s="83"/>
      <c r="D777" s="6"/>
      <c r="E777" s="6"/>
      <c r="F777" s="6"/>
      <c r="G777" s="6"/>
      <c r="H777" s="6"/>
      <c r="I777" s="6"/>
      <c r="J777" s="6"/>
      <c r="K777" s="6"/>
      <c r="L777" s="6"/>
      <c r="M777" s="6"/>
      <c r="N777" s="6"/>
      <c r="O777" s="6"/>
      <c r="P777" s="6"/>
    </row>
    <row r="778" spans="1:16">
      <c r="A778" s="82"/>
      <c r="B778" s="82"/>
      <c r="C778" s="83"/>
      <c r="D778" s="6"/>
      <c r="E778" s="6"/>
      <c r="F778" s="6"/>
      <c r="G778" s="6"/>
      <c r="H778" s="6"/>
      <c r="I778" s="6"/>
      <c r="J778" s="6"/>
      <c r="K778" s="6"/>
      <c r="L778" s="6"/>
      <c r="M778" s="6"/>
      <c r="N778" s="6"/>
      <c r="O778" s="6"/>
      <c r="P778" s="6"/>
    </row>
    <row r="779" spans="1:16">
      <c r="A779" s="82"/>
      <c r="B779" s="82"/>
      <c r="C779" s="83"/>
      <c r="D779" s="6"/>
      <c r="E779" s="6"/>
      <c r="F779" s="6"/>
      <c r="G779" s="6"/>
      <c r="H779" s="6"/>
      <c r="I779" s="6"/>
      <c r="J779" s="6"/>
      <c r="K779" s="6"/>
      <c r="L779" s="6"/>
      <c r="M779" s="6"/>
      <c r="N779" s="6"/>
      <c r="O779" s="6"/>
      <c r="P779" s="6"/>
    </row>
    <row r="780" spans="1:16">
      <c r="A780" s="82"/>
      <c r="B780" s="82"/>
      <c r="C780" s="83"/>
      <c r="D780" s="6"/>
      <c r="E780" s="6"/>
      <c r="F780" s="6"/>
      <c r="G780" s="6"/>
      <c r="H780" s="6"/>
      <c r="I780" s="6"/>
      <c r="J780" s="6"/>
      <c r="K780" s="6"/>
      <c r="L780" s="6"/>
      <c r="M780" s="6"/>
      <c r="N780" s="6"/>
      <c r="O780" s="6"/>
      <c r="P780" s="6"/>
    </row>
    <row r="781" spans="1:16">
      <c r="A781" s="82"/>
      <c r="B781" s="82"/>
      <c r="C781" s="83"/>
      <c r="D781" s="6"/>
      <c r="E781" s="6"/>
      <c r="F781" s="6"/>
      <c r="G781" s="6"/>
      <c r="H781" s="6"/>
      <c r="I781" s="6"/>
      <c r="J781" s="6"/>
      <c r="K781" s="6"/>
      <c r="L781" s="6"/>
      <c r="M781" s="6"/>
      <c r="N781" s="6"/>
      <c r="O781" s="6"/>
      <c r="P781" s="6"/>
    </row>
    <row r="782" spans="1:16">
      <c r="A782" s="82"/>
      <c r="B782" s="82"/>
      <c r="C782" s="83"/>
      <c r="D782" s="6"/>
      <c r="E782" s="6"/>
      <c r="F782" s="6"/>
      <c r="G782" s="6"/>
      <c r="H782" s="6"/>
      <c r="I782" s="6"/>
      <c r="J782" s="6"/>
      <c r="K782" s="6"/>
      <c r="L782" s="6"/>
      <c r="M782" s="6"/>
      <c r="N782" s="6"/>
      <c r="O782" s="6"/>
      <c r="P782" s="6"/>
    </row>
    <row r="783" spans="1:16">
      <c r="A783" s="82"/>
      <c r="B783" s="82"/>
      <c r="C783" s="83"/>
      <c r="D783" s="6"/>
      <c r="E783" s="6"/>
      <c r="F783" s="6"/>
      <c r="G783" s="6"/>
      <c r="H783" s="6"/>
      <c r="I783" s="6"/>
      <c r="J783" s="6"/>
      <c r="K783" s="6"/>
      <c r="L783" s="6"/>
      <c r="M783" s="6"/>
      <c r="N783" s="6"/>
      <c r="O783" s="6"/>
      <c r="P783" s="6"/>
    </row>
    <row r="784" spans="1:16">
      <c r="A784" s="82"/>
      <c r="B784" s="82"/>
      <c r="C784" s="83"/>
      <c r="D784" s="6"/>
      <c r="E784" s="6"/>
      <c r="F784" s="6"/>
      <c r="G784" s="6"/>
      <c r="H784" s="6"/>
      <c r="I784" s="6"/>
      <c r="J784" s="6"/>
      <c r="K784" s="6"/>
      <c r="L784" s="6"/>
      <c r="M784" s="6"/>
      <c r="N784" s="6"/>
      <c r="O784" s="6"/>
      <c r="P784" s="6"/>
    </row>
    <row r="785" spans="1:16">
      <c r="A785" s="82"/>
      <c r="B785" s="82"/>
      <c r="C785" s="83"/>
      <c r="D785" s="6"/>
      <c r="E785" s="6"/>
      <c r="F785" s="6"/>
      <c r="G785" s="6"/>
      <c r="H785" s="6"/>
      <c r="I785" s="6"/>
      <c r="J785" s="6"/>
      <c r="K785" s="6"/>
      <c r="L785" s="6"/>
      <c r="M785" s="6"/>
      <c r="N785" s="6"/>
      <c r="O785" s="6"/>
      <c r="P785" s="6"/>
    </row>
    <row r="786" spans="1:16">
      <c r="A786" s="82"/>
      <c r="B786" s="82"/>
      <c r="C786" s="83"/>
      <c r="D786" s="6"/>
      <c r="E786" s="6"/>
      <c r="F786" s="6"/>
      <c r="G786" s="6"/>
      <c r="H786" s="6"/>
      <c r="I786" s="6"/>
      <c r="J786" s="6"/>
      <c r="K786" s="6"/>
      <c r="L786" s="6"/>
      <c r="M786" s="6"/>
      <c r="N786" s="6"/>
      <c r="O786" s="6"/>
      <c r="P786" s="6"/>
    </row>
    <row r="787" spans="1:16">
      <c r="A787" s="82"/>
      <c r="B787" s="82"/>
      <c r="C787" s="83"/>
      <c r="D787" s="6"/>
      <c r="E787" s="6"/>
      <c r="F787" s="6"/>
      <c r="G787" s="6"/>
      <c r="H787" s="6"/>
      <c r="I787" s="6"/>
      <c r="J787" s="6"/>
      <c r="K787" s="6"/>
      <c r="L787" s="6"/>
      <c r="M787" s="6"/>
      <c r="N787" s="6"/>
      <c r="O787" s="6"/>
      <c r="P787" s="6"/>
    </row>
    <row r="788" spans="1:16">
      <c r="A788" s="82"/>
      <c r="B788" s="82"/>
      <c r="C788" s="83"/>
      <c r="D788" s="6"/>
      <c r="E788" s="6"/>
      <c r="F788" s="6"/>
      <c r="G788" s="6"/>
      <c r="H788" s="6"/>
      <c r="I788" s="6"/>
      <c r="J788" s="6"/>
      <c r="K788" s="6"/>
      <c r="L788" s="6"/>
      <c r="M788" s="6"/>
      <c r="N788" s="6"/>
      <c r="O788" s="6"/>
      <c r="P788" s="6"/>
    </row>
    <row r="789" spans="1:16">
      <c r="A789" s="82"/>
      <c r="B789" s="82"/>
      <c r="C789" s="83"/>
      <c r="D789" s="6"/>
      <c r="E789" s="6"/>
      <c r="F789" s="6"/>
      <c r="G789" s="6"/>
      <c r="H789" s="6"/>
      <c r="I789" s="6"/>
      <c r="J789" s="6"/>
      <c r="K789" s="6"/>
      <c r="L789" s="6"/>
      <c r="M789" s="6"/>
      <c r="N789" s="6"/>
      <c r="O789" s="6"/>
      <c r="P789" s="6"/>
    </row>
    <row r="790" spans="1:16">
      <c r="A790" s="82"/>
      <c r="B790" s="82"/>
      <c r="C790" s="83"/>
      <c r="D790" s="6"/>
      <c r="E790" s="6"/>
      <c r="F790" s="6"/>
      <c r="G790" s="6"/>
      <c r="H790" s="6"/>
      <c r="I790" s="6"/>
      <c r="J790" s="6"/>
      <c r="K790" s="6"/>
      <c r="L790" s="6"/>
      <c r="M790" s="6"/>
      <c r="N790" s="6"/>
      <c r="O790" s="6"/>
      <c r="P790" s="6"/>
    </row>
    <row r="791" spans="1:16">
      <c r="A791" s="82"/>
      <c r="B791" s="82"/>
      <c r="C791" s="83"/>
      <c r="D791" s="6"/>
      <c r="E791" s="6"/>
      <c r="F791" s="6"/>
      <c r="G791" s="6"/>
      <c r="H791" s="6"/>
      <c r="I791" s="6"/>
      <c r="J791" s="6"/>
      <c r="K791" s="6"/>
      <c r="L791" s="6"/>
      <c r="M791" s="6"/>
      <c r="N791" s="6"/>
      <c r="O791" s="6"/>
      <c r="P791" s="6"/>
    </row>
    <row r="792" spans="1:16">
      <c r="A792" s="82"/>
      <c r="B792" s="82"/>
      <c r="C792" s="83"/>
      <c r="D792" s="6"/>
      <c r="E792" s="6"/>
      <c r="F792" s="6"/>
      <c r="G792" s="6"/>
      <c r="H792" s="6"/>
      <c r="I792" s="6"/>
      <c r="J792" s="6"/>
      <c r="K792" s="6"/>
      <c r="L792" s="6"/>
      <c r="M792" s="6"/>
      <c r="N792" s="6"/>
      <c r="O792" s="6"/>
      <c r="P792" s="6"/>
    </row>
    <row r="793" spans="1:16">
      <c r="A793" s="82"/>
      <c r="B793" s="82"/>
      <c r="C793" s="83"/>
      <c r="D793" s="6"/>
      <c r="E793" s="6"/>
      <c r="F793" s="6"/>
      <c r="G793" s="6"/>
      <c r="H793" s="6"/>
      <c r="I793" s="6"/>
      <c r="J793" s="6"/>
      <c r="K793" s="6"/>
      <c r="L793" s="6"/>
      <c r="M793" s="6"/>
      <c r="N793" s="6"/>
      <c r="O793" s="6"/>
      <c r="P793" s="6"/>
    </row>
    <row r="794" spans="1:16">
      <c r="A794" s="82"/>
      <c r="B794" s="82"/>
      <c r="C794" s="83"/>
      <c r="D794" s="6"/>
      <c r="E794" s="6"/>
      <c r="F794" s="6"/>
      <c r="G794" s="6"/>
      <c r="H794" s="6"/>
      <c r="I794" s="6"/>
      <c r="J794" s="6"/>
      <c r="K794" s="6"/>
      <c r="L794" s="6"/>
      <c r="M794" s="6"/>
      <c r="N794" s="6"/>
      <c r="O794" s="6"/>
      <c r="P794" s="6"/>
    </row>
    <row r="795" spans="1:16">
      <c r="A795" s="82"/>
      <c r="B795" s="82"/>
      <c r="C795" s="83"/>
      <c r="D795" s="6"/>
      <c r="E795" s="6"/>
      <c r="F795" s="6"/>
      <c r="G795" s="6"/>
      <c r="H795" s="6"/>
      <c r="I795" s="6"/>
      <c r="J795" s="6"/>
      <c r="K795" s="6"/>
      <c r="L795" s="6"/>
      <c r="M795" s="6"/>
      <c r="N795" s="6"/>
      <c r="O795" s="6"/>
      <c r="P795" s="6"/>
    </row>
    <row r="796" spans="1:16">
      <c r="A796" s="82"/>
      <c r="B796" s="82"/>
      <c r="C796" s="83"/>
      <c r="D796" s="6"/>
      <c r="E796" s="6"/>
      <c r="F796" s="6"/>
      <c r="G796" s="6"/>
      <c r="H796" s="6"/>
      <c r="I796" s="6"/>
      <c r="J796" s="6"/>
      <c r="K796" s="6"/>
      <c r="L796" s="6"/>
      <c r="M796" s="6"/>
      <c r="N796" s="6"/>
      <c r="O796" s="6"/>
      <c r="P796" s="6"/>
    </row>
    <row r="797" spans="1:16">
      <c r="A797" s="82"/>
      <c r="B797" s="82"/>
      <c r="C797" s="83"/>
      <c r="D797" s="6"/>
      <c r="E797" s="6"/>
      <c r="F797" s="6"/>
      <c r="G797" s="6"/>
      <c r="H797" s="6"/>
      <c r="I797" s="6"/>
      <c r="J797" s="6"/>
      <c r="K797" s="6"/>
      <c r="L797" s="6"/>
      <c r="M797" s="6"/>
      <c r="N797" s="6"/>
      <c r="O797" s="6"/>
      <c r="P797" s="6"/>
    </row>
    <row r="798" spans="1:16">
      <c r="A798" s="82"/>
      <c r="B798" s="82"/>
      <c r="C798" s="83"/>
      <c r="D798" s="6"/>
      <c r="E798" s="6"/>
      <c r="F798" s="6"/>
      <c r="G798" s="6"/>
      <c r="H798" s="6"/>
      <c r="I798" s="6"/>
      <c r="J798" s="6"/>
      <c r="K798" s="6"/>
      <c r="L798" s="6"/>
      <c r="M798" s="6"/>
      <c r="N798" s="6"/>
      <c r="O798" s="6"/>
      <c r="P798" s="6"/>
    </row>
    <row r="799" spans="1:16">
      <c r="A799" s="82"/>
      <c r="B799" s="82"/>
      <c r="C799" s="83"/>
      <c r="D799" s="6"/>
      <c r="E799" s="6"/>
      <c r="F799" s="6"/>
      <c r="G799" s="6"/>
      <c r="H799" s="6"/>
      <c r="I799" s="6"/>
      <c r="J799" s="6"/>
      <c r="K799" s="6"/>
      <c r="L799" s="6"/>
      <c r="M799" s="6"/>
      <c r="N799" s="6"/>
      <c r="O799" s="6"/>
      <c r="P799" s="6"/>
    </row>
    <row r="800" spans="1:16">
      <c r="A800" s="82"/>
      <c r="B800" s="82"/>
      <c r="C800" s="83"/>
      <c r="D800" s="6"/>
      <c r="E800" s="6"/>
      <c r="F800" s="6"/>
      <c r="G800" s="6"/>
      <c r="H800" s="6"/>
      <c r="I800" s="6"/>
      <c r="J800" s="6"/>
      <c r="K800" s="6"/>
      <c r="L800" s="6"/>
      <c r="M800" s="6"/>
      <c r="N800" s="6"/>
      <c r="O800" s="6"/>
      <c r="P800" s="6"/>
    </row>
    <row r="801" spans="1:16">
      <c r="A801" s="82"/>
      <c r="B801" s="82"/>
      <c r="C801" s="83"/>
      <c r="D801" s="6"/>
      <c r="E801" s="6"/>
      <c r="F801" s="6"/>
      <c r="G801" s="6"/>
      <c r="H801" s="6"/>
      <c r="I801" s="6"/>
      <c r="J801" s="6"/>
      <c r="K801" s="6"/>
      <c r="L801" s="6"/>
      <c r="M801" s="6"/>
      <c r="N801" s="6"/>
      <c r="O801" s="6"/>
      <c r="P801" s="6"/>
    </row>
    <row r="802" spans="1:16">
      <c r="A802" s="82"/>
      <c r="B802" s="82"/>
      <c r="C802" s="83"/>
      <c r="D802" s="6"/>
      <c r="E802" s="6"/>
      <c r="F802" s="6"/>
      <c r="G802" s="6"/>
      <c r="H802" s="6"/>
      <c r="I802" s="6"/>
      <c r="J802" s="6"/>
      <c r="K802" s="6"/>
      <c r="L802" s="6"/>
      <c r="M802" s="6"/>
      <c r="N802" s="6"/>
      <c r="O802" s="6"/>
      <c r="P802" s="6"/>
    </row>
    <row r="803" spans="1:16">
      <c r="A803" s="82"/>
      <c r="B803" s="82"/>
      <c r="C803" s="83"/>
      <c r="D803" s="6"/>
      <c r="E803" s="6"/>
      <c r="F803" s="6"/>
      <c r="G803" s="6"/>
      <c r="H803" s="6"/>
      <c r="I803" s="6"/>
      <c r="J803" s="6"/>
      <c r="K803" s="6"/>
      <c r="L803" s="6"/>
      <c r="M803" s="6"/>
      <c r="N803" s="6"/>
      <c r="O803" s="6"/>
      <c r="P803" s="6"/>
    </row>
    <row r="804" spans="1:16">
      <c r="A804" s="82"/>
      <c r="B804" s="82"/>
      <c r="C804" s="83"/>
      <c r="D804" s="6"/>
      <c r="E804" s="6"/>
      <c r="F804" s="6"/>
      <c r="G804" s="6"/>
      <c r="H804" s="6"/>
      <c r="I804" s="6"/>
      <c r="J804" s="6"/>
      <c r="K804" s="6"/>
      <c r="L804" s="6"/>
      <c r="M804" s="6"/>
      <c r="N804" s="6"/>
      <c r="O804" s="6"/>
      <c r="P804" s="6"/>
    </row>
    <row r="805" spans="1:16">
      <c r="A805" s="82"/>
      <c r="B805" s="82"/>
      <c r="C805" s="83"/>
      <c r="D805" s="6"/>
      <c r="E805" s="6"/>
      <c r="F805" s="6"/>
      <c r="G805" s="6"/>
      <c r="H805" s="6"/>
      <c r="I805" s="6"/>
      <c r="J805" s="6"/>
      <c r="K805" s="6"/>
      <c r="L805" s="6"/>
      <c r="M805" s="6"/>
      <c r="N805" s="6"/>
      <c r="O805" s="6"/>
      <c r="P805" s="6"/>
    </row>
    <row r="806" spans="1:16">
      <c r="A806" s="82"/>
      <c r="B806" s="82"/>
      <c r="C806" s="83"/>
      <c r="D806" s="6"/>
      <c r="E806" s="6"/>
      <c r="F806" s="6"/>
      <c r="G806" s="6"/>
      <c r="H806" s="6"/>
      <c r="I806" s="6"/>
      <c r="J806" s="6"/>
      <c r="K806" s="6"/>
      <c r="L806" s="6"/>
      <c r="M806" s="6"/>
      <c r="N806" s="6"/>
      <c r="O806" s="6"/>
      <c r="P806" s="6"/>
    </row>
    <row r="807" spans="1:16">
      <c r="A807" s="82"/>
      <c r="B807" s="82"/>
      <c r="C807" s="83"/>
      <c r="D807" s="6"/>
      <c r="E807" s="6"/>
      <c r="F807" s="6"/>
      <c r="G807" s="6"/>
      <c r="H807" s="6"/>
      <c r="I807" s="6"/>
      <c r="J807" s="6"/>
      <c r="K807" s="6"/>
      <c r="L807" s="6"/>
      <c r="M807" s="6"/>
      <c r="N807" s="6"/>
      <c r="O807" s="6"/>
      <c r="P807" s="6"/>
    </row>
    <row r="808" spans="1:16">
      <c r="A808" s="82"/>
      <c r="B808" s="82"/>
      <c r="C808" s="83"/>
      <c r="D808" s="6"/>
      <c r="E808" s="6"/>
      <c r="F808" s="6"/>
      <c r="G808" s="6"/>
      <c r="H808" s="6"/>
      <c r="I808" s="6"/>
      <c r="J808" s="6"/>
      <c r="K808" s="6"/>
      <c r="L808" s="6"/>
      <c r="M808" s="6"/>
      <c r="N808" s="6"/>
      <c r="O808" s="6"/>
      <c r="P808" s="6"/>
    </row>
    <row r="809" spans="1:16">
      <c r="A809" s="82"/>
      <c r="B809" s="82"/>
      <c r="C809" s="83"/>
      <c r="D809" s="6"/>
      <c r="E809" s="6"/>
      <c r="F809" s="6"/>
      <c r="G809" s="6"/>
      <c r="H809" s="6"/>
      <c r="I809" s="6"/>
      <c r="J809" s="6"/>
      <c r="K809" s="6"/>
      <c r="L809" s="6"/>
      <c r="M809" s="6"/>
      <c r="N809" s="6"/>
      <c r="O809" s="6"/>
      <c r="P809" s="6"/>
    </row>
    <row r="810" spans="1:16">
      <c r="A810" s="82"/>
      <c r="B810" s="82"/>
      <c r="C810" s="83"/>
      <c r="D810" s="6"/>
      <c r="E810" s="6"/>
      <c r="F810" s="6"/>
      <c r="G810" s="6"/>
      <c r="H810" s="6"/>
      <c r="I810" s="6"/>
      <c r="J810" s="6"/>
      <c r="K810" s="6"/>
      <c r="L810" s="6"/>
      <c r="M810" s="6"/>
      <c r="N810" s="6"/>
      <c r="O810" s="6"/>
      <c r="P810" s="6"/>
    </row>
    <row r="811" spans="1:16">
      <c r="A811" s="82"/>
      <c r="B811" s="82"/>
      <c r="C811" s="83"/>
      <c r="D811" s="6"/>
      <c r="E811" s="6"/>
      <c r="F811" s="6"/>
      <c r="G811" s="6"/>
      <c r="H811" s="6"/>
      <c r="I811" s="6"/>
      <c r="J811" s="6"/>
      <c r="K811" s="6"/>
      <c r="L811" s="6"/>
      <c r="M811" s="6"/>
      <c r="N811" s="6"/>
      <c r="O811" s="6"/>
      <c r="P811" s="6"/>
    </row>
    <row r="812" spans="1:16">
      <c r="A812" s="82"/>
      <c r="B812" s="82"/>
      <c r="C812" s="83"/>
      <c r="D812" s="6"/>
      <c r="E812" s="6"/>
      <c r="F812" s="6"/>
      <c r="G812" s="6"/>
      <c r="H812" s="6"/>
      <c r="I812" s="6"/>
      <c r="J812" s="6"/>
      <c r="K812" s="6"/>
      <c r="L812" s="6"/>
      <c r="M812" s="6"/>
      <c r="N812" s="6"/>
      <c r="O812" s="6"/>
      <c r="P812" s="6"/>
    </row>
    <row r="813" spans="1:16">
      <c r="A813" s="82"/>
      <c r="B813" s="82"/>
      <c r="C813" s="83"/>
      <c r="D813" s="6"/>
      <c r="E813" s="6"/>
      <c r="F813" s="6"/>
      <c r="G813" s="6"/>
      <c r="H813" s="6"/>
      <c r="I813" s="6"/>
      <c r="J813" s="6"/>
      <c r="K813" s="6"/>
      <c r="L813" s="6"/>
      <c r="M813" s="6"/>
      <c r="N813" s="6"/>
      <c r="O813" s="6"/>
      <c r="P813" s="6"/>
    </row>
    <row r="814" spans="1:16">
      <c r="A814" s="82"/>
      <c r="B814" s="82"/>
      <c r="C814" s="83"/>
      <c r="D814" s="6"/>
      <c r="E814" s="6"/>
      <c r="F814" s="6"/>
      <c r="G814" s="6"/>
      <c r="H814" s="6"/>
      <c r="I814" s="6"/>
      <c r="J814" s="6"/>
      <c r="K814" s="6"/>
      <c r="L814" s="6"/>
      <c r="M814" s="6"/>
      <c r="N814" s="6"/>
      <c r="O814" s="6"/>
      <c r="P814" s="6"/>
    </row>
    <row r="815" spans="1:16">
      <c r="A815" s="82"/>
      <c r="B815" s="82"/>
      <c r="C815" s="83"/>
      <c r="D815" s="6"/>
      <c r="E815" s="6"/>
      <c r="F815" s="6"/>
      <c r="G815" s="6"/>
      <c r="H815" s="6"/>
      <c r="I815" s="6"/>
      <c r="J815" s="6"/>
      <c r="K815" s="6"/>
      <c r="L815" s="6"/>
      <c r="M815" s="6"/>
      <c r="N815" s="6"/>
      <c r="O815" s="6"/>
      <c r="P815" s="6"/>
    </row>
    <row r="816" spans="1:16">
      <c r="A816" s="82"/>
      <c r="B816" s="82"/>
      <c r="C816" s="83"/>
      <c r="D816" s="6"/>
      <c r="E816" s="6"/>
      <c r="F816" s="6"/>
      <c r="G816" s="6"/>
      <c r="H816" s="6"/>
      <c r="I816" s="6"/>
      <c r="J816" s="6"/>
      <c r="K816" s="6"/>
      <c r="L816" s="6"/>
      <c r="M816" s="6"/>
      <c r="N816" s="6"/>
      <c r="O816" s="6"/>
      <c r="P816" s="6"/>
    </row>
    <row r="817" spans="1:16">
      <c r="A817" s="82"/>
      <c r="B817" s="82"/>
      <c r="C817" s="83"/>
      <c r="D817" s="6"/>
      <c r="E817" s="6"/>
      <c r="F817" s="6"/>
      <c r="G817" s="6"/>
      <c r="H817" s="6"/>
      <c r="I817" s="6"/>
      <c r="J817" s="6"/>
      <c r="K817" s="6"/>
      <c r="L817" s="6"/>
      <c r="M817" s="6"/>
      <c r="N817" s="6"/>
      <c r="O817" s="6"/>
      <c r="P817" s="6"/>
    </row>
    <row r="818" spans="1:16">
      <c r="A818" s="82"/>
      <c r="B818" s="82"/>
      <c r="C818" s="83"/>
      <c r="D818" s="6"/>
      <c r="E818" s="6"/>
      <c r="F818" s="6"/>
      <c r="G818" s="6"/>
      <c r="H818" s="6"/>
      <c r="I818" s="6"/>
      <c r="J818" s="6"/>
      <c r="K818" s="6"/>
      <c r="L818" s="6"/>
      <c r="M818" s="6"/>
      <c r="N818" s="6"/>
      <c r="O818" s="6"/>
      <c r="P818" s="6"/>
    </row>
    <row r="819" spans="1:16">
      <c r="A819" s="82"/>
      <c r="B819" s="82"/>
      <c r="C819" s="83"/>
      <c r="D819" s="6"/>
      <c r="E819" s="6"/>
      <c r="F819" s="6"/>
      <c r="G819" s="6"/>
      <c r="H819" s="6"/>
      <c r="I819" s="6"/>
      <c r="J819" s="6"/>
      <c r="K819" s="6"/>
      <c r="L819" s="6"/>
      <c r="M819" s="6"/>
      <c r="N819" s="6"/>
      <c r="O819" s="6"/>
      <c r="P819" s="6"/>
    </row>
    <row r="820" spans="1:16">
      <c r="A820" s="82"/>
      <c r="B820" s="82"/>
      <c r="C820" s="83"/>
      <c r="D820" s="6"/>
      <c r="E820" s="6"/>
      <c r="F820" s="6"/>
      <c r="G820" s="6"/>
      <c r="H820" s="6"/>
      <c r="I820" s="6"/>
      <c r="J820" s="6"/>
      <c r="K820" s="6"/>
      <c r="L820" s="6"/>
      <c r="M820" s="6"/>
      <c r="N820" s="6"/>
      <c r="O820" s="6"/>
      <c r="P820" s="6"/>
    </row>
    <row r="821" spans="1:16">
      <c r="A821" s="82"/>
      <c r="B821" s="82"/>
      <c r="C821" s="83"/>
      <c r="D821" s="6"/>
      <c r="E821" s="6"/>
      <c r="F821" s="6"/>
      <c r="G821" s="6"/>
      <c r="H821" s="6"/>
      <c r="I821" s="6"/>
      <c r="J821" s="6"/>
      <c r="K821" s="6"/>
      <c r="L821" s="6"/>
      <c r="M821" s="6"/>
      <c r="N821" s="6"/>
      <c r="O821" s="6"/>
      <c r="P821" s="6"/>
    </row>
    <row r="822" spans="1:16">
      <c r="A822" s="82"/>
      <c r="B822" s="82"/>
      <c r="C822" s="83"/>
      <c r="D822" s="6"/>
      <c r="E822" s="6"/>
      <c r="F822" s="6"/>
      <c r="G822" s="6"/>
      <c r="H822" s="6"/>
      <c r="I822" s="6"/>
      <c r="J822" s="6"/>
      <c r="K822" s="6"/>
      <c r="L822" s="6"/>
      <c r="M822" s="6"/>
      <c r="N822" s="6"/>
      <c r="O822" s="6"/>
      <c r="P822" s="6"/>
    </row>
    <row r="823" spans="1:16">
      <c r="A823" s="82"/>
      <c r="B823" s="82"/>
      <c r="C823" s="83"/>
      <c r="D823" s="6"/>
      <c r="E823" s="6"/>
      <c r="F823" s="6"/>
      <c r="G823" s="6"/>
      <c r="H823" s="6"/>
      <c r="I823" s="6"/>
      <c r="J823" s="6"/>
      <c r="K823" s="6"/>
      <c r="L823" s="6"/>
      <c r="M823" s="6"/>
      <c r="N823" s="6"/>
      <c r="O823" s="6"/>
      <c r="P823" s="6"/>
    </row>
    <row r="824" spans="1:16">
      <c r="A824" s="82"/>
      <c r="B824" s="82"/>
      <c r="C824" s="83"/>
      <c r="D824" s="6"/>
      <c r="E824" s="6"/>
      <c r="F824" s="6"/>
      <c r="G824" s="6"/>
      <c r="H824" s="6"/>
      <c r="I824" s="6"/>
      <c r="J824" s="6"/>
      <c r="K824" s="6"/>
      <c r="L824" s="6"/>
      <c r="M824" s="6"/>
      <c r="N824" s="6"/>
      <c r="O824" s="6"/>
      <c r="P824" s="6"/>
    </row>
    <row r="825" spans="1:16">
      <c r="A825" s="82"/>
      <c r="B825" s="82"/>
      <c r="C825" s="83"/>
      <c r="D825" s="6"/>
      <c r="E825" s="6"/>
      <c r="F825" s="6"/>
      <c r="G825" s="6"/>
      <c r="H825" s="6"/>
      <c r="I825" s="6"/>
      <c r="J825" s="6"/>
      <c r="K825" s="6"/>
      <c r="L825" s="6"/>
      <c r="M825" s="6"/>
      <c r="N825" s="6"/>
      <c r="O825" s="6"/>
      <c r="P825" s="6"/>
    </row>
    <row r="826" spans="1:16">
      <c r="A826" s="82"/>
      <c r="B826" s="82"/>
      <c r="C826" s="83"/>
      <c r="D826" s="6"/>
      <c r="E826" s="6"/>
      <c r="F826" s="6"/>
      <c r="G826" s="6"/>
      <c r="H826" s="6"/>
      <c r="I826" s="6"/>
      <c r="J826" s="6"/>
      <c r="K826" s="6"/>
      <c r="L826" s="6"/>
      <c r="M826" s="6"/>
      <c r="N826" s="6"/>
      <c r="O826" s="6"/>
      <c r="P826" s="6"/>
    </row>
    <row r="827" spans="1:16">
      <c r="A827" s="82"/>
      <c r="B827" s="82"/>
      <c r="C827" s="83"/>
      <c r="D827" s="6"/>
      <c r="E827" s="6"/>
      <c r="F827" s="6"/>
      <c r="G827" s="6"/>
      <c r="H827" s="6"/>
      <c r="I827" s="6"/>
      <c r="J827" s="6"/>
      <c r="K827" s="6"/>
      <c r="L827" s="6"/>
      <c r="M827" s="6"/>
      <c r="N827" s="6"/>
      <c r="O827" s="6"/>
      <c r="P827" s="6"/>
    </row>
    <row r="828" spans="1:16">
      <c r="A828" s="82"/>
      <c r="B828" s="82"/>
      <c r="C828" s="83"/>
      <c r="D828" s="6"/>
      <c r="E828" s="6"/>
      <c r="F828" s="6"/>
      <c r="G828" s="6"/>
      <c r="H828" s="6"/>
      <c r="I828" s="6"/>
      <c r="J828" s="6"/>
      <c r="K828" s="6"/>
      <c r="L828" s="6"/>
      <c r="M828" s="6"/>
      <c r="N828" s="6"/>
      <c r="O828" s="6"/>
      <c r="P828" s="6"/>
    </row>
    <row r="829" spans="1:16">
      <c r="A829" s="82"/>
      <c r="B829" s="82"/>
      <c r="C829" s="83"/>
      <c r="D829" s="6"/>
      <c r="E829" s="6"/>
      <c r="F829" s="6"/>
      <c r="G829" s="6"/>
      <c r="H829" s="6"/>
      <c r="I829" s="6"/>
      <c r="J829" s="6"/>
      <c r="K829" s="6"/>
      <c r="L829" s="6"/>
      <c r="M829" s="6"/>
      <c r="N829" s="6"/>
      <c r="O829" s="6"/>
      <c r="P829" s="6"/>
    </row>
    <row r="830" spans="1:16">
      <c r="A830" s="82"/>
      <c r="B830" s="82"/>
      <c r="C830" s="83"/>
      <c r="D830" s="6"/>
      <c r="E830" s="6"/>
      <c r="F830" s="6"/>
      <c r="G830" s="6"/>
      <c r="H830" s="6"/>
      <c r="I830" s="6"/>
      <c r="J830" s="6"/>
      <c r="K830" s="6"/>
      <c r="L830" s="6"/>
      <c r="M830" s="6"/>
      <c r="N830" s="6"/>
      <c r="O830" s="6"/>
      <c r="P830" s="6"/>
    </row>
    <row r="831" spans="1:16">
      <c r="A831" s="82"/>
      <c r="B831" s="82"/>
      <c r="C831" s="83"/>
      <c r="D831" s="6"/>
      <c r="E831" s="6"/>
      <c r="F831" s="6"/>
      <c r="G831" s="6"/>
      <c r="H831" s="6"/>
      <c r="I831" s="6"/>
      <c r="J831" s="6"/>
      <c r="K831" s="6"/>
      <c r="L831" s="6"/>
      <c r="M831" s="6"/>
      <c r="N831" s="6"/>
      <c r="O831" s="6"/>
      <c r="P831" s="6"/>
    </row>
    <row r="832" spans="1:16">
      <c r="A832" s="82"/>
      <c r="B832" s="82"/>
      <c r="C832" s="83"/>
      <c r="D832" s="6"/>
      <c r="E832" s="6"/>
      <c r="F832" s="6"/>
      <c r="G832" s="6"/>
      <c r="H832" s="6"/>
      <c r="I832" s="6"/>
      <c r="J832" s="6"/>
      <c r="K832" s="6"/>
      <c r="L832" s="6"/>
      <c r="M832" s="6"/>
      <c r="N832" s="6"/>
      <c r="O832" s="6"/>
      <c r="P832" s="6"/>
    </row>
    <row r="833" spans="1:16">
      <c r="A833" s="82"/>
      <c r="B833" s="82"/>
      <c r="C833" s="83"/>
      <c r="D833" s="6"/>
      <c r="E833" s="6"/>
      <c r="F833" s="6"/>
      <c r="G833" s="6"/>
      <c r="H833" s="6"/>
      <c r="I833" s="6"/>
      <c r="J833" s="6"/>
      <c r="K833" s="6"/>
      <c r="L833" s="6"/>
      <c r="M833" s="6"/>
      <c r="N833" s="6"/>
      <c r="O833" s="6"/>
      <c r="P833" s="6"/>
    </row>
    <row r="834" spans="1:16">
      <c r="A834" s="82"/>
      <c r="B834" s="82"/>
      <c r="C834" s="83"/>
      <c r="D834" s="6"/>
      <c r="E834" s="6"/>
      <c r="F834" s="6"/>
      <c r="G834" s="6"/>
      <c r="H834" s="6"/>
      <c r="I834" s="6"/>
      <c r="J834" s="6"/>
      <c r="K834" s="6"/>
      <c r="L834" s="6"/>
      <c r="M834" s="6"/>
      <c r="N834" s="6"/>
      <c r="O834" s="6"/>
      <c r="P834" s="6"/>
    </row>
    <row r="835" spans="1:16">
      <c r="A835" s="82"/>
      <c r="B835" s="82"/>
      <c r="C835" s="83"/>
      <c r="D835" s="6"/>
      <c r="E835" s="6"/>
      <c r="F835" s="6"/>
      <c r="G835" s="6"/>
      <c r="H835" s="6"/>
      <c r="I835" s="6"/>
      <c r="J835" s="6"/>
      <c r="K835" s="6"/>
      <c r="L835" s="6"/>
      <c r="M835" s="6"/>
      <c r="N835" s="6"/>
      <c r="O835" s="6"/>
      <c r="P835" s="6"/>
    </row>
    <row r="836" spans="1:16">
      <c r="A836" s="82"/>
      <c r="B836" s="82"/>
      <c r="C836" s="83"/>
      <c r="D836" s="6"/>
      <c r="E836" s="6"/>
      <c r="F836" s="6"/>
      <c r="G836" s="6"/>
      <c r="H836" s="6"/>
      <c r="I836" s="6"/>
      <c r="J836" s="6"/>
      <c r="K836" s="6"/>
      <c r="L836" s="6"/>
      <c r="M836" s="6"/>
      <c r="N836" s="6"/>
      <c r="O836" s="6"/>
      <c r="P836" s="6"/>
    </row>
    <row r="837" spans="1:16">
      <c r="A837" s="82"/>
      <c r="B837" s="82"/>
      <c r="C837" s="83"/>
      <c r="D837" s="6"/>
      <c r="E837" s="6"/>
      <c r="F837" s="6"/>
      <c r="G837" s="6"/>
      <c r="H837" s="6"/>
      <c r="I837" s="6"/>
      <c r="J837" s="6"/>
      <c r="K837" s="6"/>
      <c r="L837" s="6"/>
      <c r="M837" s="6"/>
      <c r="N837" s="6"/>
      <c r="O837" s="6"/>
      <c r="P837" s="6"/>
    </row>
    <row r="838" spans="1:16">
      <c r="A838" s="82"/>
      <c r="B838" s="82"/>
      <c r="C838" s="83"/>
      <c r="D838" s="6"/>
      <c r="E838" s="6"/>
      <c r="F838" s="6"/>
      <c r="G838" s="6"/>
      <c r="H838" s="6"/>
      <c r="I838" s="6"/>
      <c r="J838" s="6"/>
      <c r="K838" s="6"/>
      <c r="L838" s="6"/>
      <c r="M838" s="6"/>
      <c r="N838" s="6"/>
      <c r="O838" s="6"/>
      <c r="P838" s="6"/>
    </row>
    <row r="839" spans="1:16">
      <c r="A839" s="82"/>
      <c r="B839" s="82"/>
      <c r="C839" s="83"/>
      <c r="D839" s="6"/>
      <c r="E839" s="6"/>
      <c r="F839" s="6"/>
      <c r="G839" s="6"/>
      <c r="H839" s="6"/>
      <c r="I839" s="6"/>
      <c r="J839" s="6"/>
      <c r="K839" s="6"/>
      <c r="L839" s="6"/>
      <c r="M839" s="6"/>
      <c r="N839" s="6"/>
      <c r="O839" s="6"/>
      <c r="P839" s="6"/>
    </row>
    <row r="840" spans="1:16">
      <c r="A840" s="82"/>
      <c r="B840" s="82"/>
      <c r="C840" s="83"/>
      <c r="D840" s="6"/>
      <c r="E840" s="6"/>
      <c r="F840" s="6"/>
      <c r="G840" s="6"/>
      <c r="H840" s="6"/>
      <c r="I840" s="6"/>
      <c r="J840" s="6"/>
      <c r="K840" s="6"/>
      <c r="L840" s="6"/>
      <c r="M840" s="6"/>
      <c r="N840" s="6"/>
      <c r="O840" s="6"/>
      <c r="P840" s="6"/>
    </row>
    <row r="841" spans="1:16">
      <c r="A841" s="82"/>
      <c r="B841" s="82"/>
      <c r="C841" s="83"/>
      <c r="D841" s="6"/>
      <c r="E841" s="6"/>
      <c r="F841" s="6"/>
      <c r="G841" s="6"/>
      <c r="H841" s="6"/>
      <c r="I841" s="6"/>
      <c r="J841" s="6"/>
      <c r="K841" s="6"/>
      <c r="L841" s="6"/>
      <c r="M841" s="6"/>
      <c r="N841" s="6"/>
      <c r="O841" s="6"/>
      <c r="P841" s="6"/>
    </row>
    <row r="842" spans="1:16">
      <c r="A842" s="82"/>
      <c r="B842" s="82"/>
      <c r="C842" s="83"/>
      <c r="D842" s="6"/>
      <c r="E842" s="6"/>
      <c r="F842" s="6"/>
      <c r="G842" s="6"/>
      <c r="H842" s="6"/>
      <c r="I842" s="6"/>
      <c r="J842" s="6"/>
      <c r="K842" s="6"/>
      <c r="L842" s="6"/>
      <c r="M842" s="6"/>
      <c r="N842" s="6"/>
      <c r="O842" s="6"/>
      <c r="P842" s="6"/>
    </row>
    <row r="843" spans="1:16">
      <c r="A843" s="82"/>
      <c r="B843" s="82"/>
      <c r="C843" s="83"/>
      <c r="D843" s="6"/>
      <c r="E843" s="6"/>
      <c r="F843" s="6"/>
      <c r="G843" s="6"/>
      <c r="H843" s="6"/>
      <c r="I843" s="6"/>
      <c r="J843" s="6"/>
      <c r="K843" s="6"/>
      <c r="L843" s="6"/>
      <c r="M843" s="6"/>
      <c r="N843" s="6"/>
      <c r="O843" s="6"/>
      <c r="P843" s="6"/>
    </row>
    <row r="844" spans="1:16">
      <c r="A844" s="82"/>
      <c r="B844" s="82"/>
      <c r="C844" s="83"/>
      <c r="D844" s="6"/>
      <c r="E844" s="6"/>
      <c r="F844" s="6"/>
      <c r="G844" s="6"/>
      <c r="H844" s="6"/>
      <c r="I844" s="6"/>
      <c r="J844" s="6"/>
      <c r="K844" s="6"/>
      <c r="L844" s="6"/>
      <c r="M844" s="6"/>
      <c r="N844" s="6"/>
      <c r="O844" s="6"/>
      <c r="P844" s="6"/>
    </row>
    <row r="845" spans="1:16">
      <c r="A845" s="82"/>
      <c r="B845" s="82"/>
      <c r="C845" s="83"/>
      <c r="D845" s="6"/>
      <c r="E845" s="6"/>
      <c r="F845" s="6"/>
      <c r="G845" s="6"/>
      <c r="H845" s="6"/>
      <c r="I845" s="6"/>
      <c r="J845" s="6"/>
      <c r="K845" s="6"/>
      <c r="L845" s="6"/>
      <c r="M845" s="6"/>
      <c r="N845" s="6"/>
      <c r="O845" s="6"/>
      <c r="P845" s="6"/>
    </row>
    <row r="846" spans="1:16">
      <c r="A846" s="82"/>
      <c r="B846" s="82"/>
      <c r="C846" s="83"/>
      <c r="D846" s="6"/>
      <c r="E846" s="6"/>
      <c r="F846" s="6"/>
      <c r="G846" s="6"/>
      <c r="H846" s="6"/>
      <c r="I846" s="6"/>
      <c r="J846" s="6"/>
      <c r="K846" s="6"/>
      <c r="L846" s="6"/>
      <c r="M846" s="6"/>
      <c r="N846" s="6"/>
      <c r="O846" s="6"/>
      <c r="P846" s="6"/>
    </row>
    <row r="847" spans="1:16">
      <c r="A847" s="82"/>
      <c r="B847" s="82"/>
      <c r="C847" s="83"/>
      <c r="D847" s="6"/>
      <c r="E847" s="6"/>
      <c r="F847" s="6"/>
      <c r="G847" s="6"/>
      <c r="H847" s="6"/>
      <c r="I847" s="6"/>
      <c r="J847" s="6"/>
      <c r="K847" s="6"/>
      <c r="L847" s="6"/>
      <c r="M847" s="6"/>
      <c r="N847" s="6"/>
      <c r="O847" s="6"/>
      <c r="P847" s="6"/>
    </row>
    <row r="848" spans="1:16">
      <c r="A848" s="82"/>
      <c r="B848" s="82"/>
      <c r="C848" s="83"/>
      <c r="D848" s="6"/>
      <c r="E848" s="6"/>
      <c r="F848" s="6"/>
      <c r="G848" s="6"/>
      <c r="H848" s="6"/>
      <c r="I848" s="6"/>
      <c r="J848" s="6"/>
      <c r="K848" s="6"/>
      <c r="L848" s="6"/>
      <c r="M848" s="6"/>
      <c r="N848" s="6"/>
      <c r="O848" s="6"/>
      <c r="P848" s="6"/>
    </row>
    <row r="849" spans="1:16">
      <c r="A849" s="82"/>
      <c r="B849" s="82"/>
      <c r="C849" s="83"/>
      <c r="D849" s="6"/>
      <c r="E849" s="6"/>
      <c r="F849" s="6"/>
      <c r="G849" s="6"/>
      <c r="H849" s="6"/>
      <c r="I849" s="6"/>
      <c r="J849" s="6"/>
      <c r="K849" s="6"/>
      <c r="L849" s="6"/>
      <c r="M849" s="6"/>
      <c r="N849" s="6"/>
      <c r="O849" s="6"/>
      <c r="P849" s="6"/>
    </row>
    <row r="850" spans="1:16">
      <c r="A850" s="82"/>
      <c r="B850" s="82"/>
      <c r="C850" s="83"/>
      <c r="D850" s="6"/>
      <c r="E850" s="6"/>
      <c r="F850" s="6"/>
      <c r="G850" s="6"/>
      <c r="H850" s="6"/>
      <c r="I850" s="6"/>
      <c r="J850" s="6"/>
      <c r="K850" s="6"/>
      <c r="L850" s="6"/>
      <c r="M850" s="6"/>
      <c r="N850" s="6"/>
      <c r="O850" s="6"/>
      <c r="P850" s="6"/>
    </row>
    <row r="851" spans="1:16">
      <c r="A851" s="82"/>
      <c r="B851" s="82"/>
      <c r="C851" s="83"/>
      <c r="D851" s="6"/>
      <c r="E851" s="6"/>
      <c r="F851" s="6"/>
      <c r="G851" s="6"/>
      <c r="H851" s="6"/>
      <c r="I851" s="6"/>
      <c r="J851" s="6"/>
      <c r="K851" s="6"/>
      <c r="L851" s="6"/>
      <c r="M851" s="6"/>
      <c r="N851" s="6"/>
      <c r="O851" s="6"/>
      <c r="P851" s="6"/>
    </row>
    <row r="852" spans="1:16">
      <c r="A852" s="82"/>
      <c r="B852" s="82"/>
      <c r="C852" s="83"/>
      <c r="D852" s="6"/>
      <c r="E852" s="6"/>
      <c r="F852" s="6"/>
      <c r="G852" s="6"/>
      <c r="H852" s="6"/>
      <c r="I852" s="6"/>
      <c r="J852" s="6"/>
      <c r="K852" s="6"/>
      <c r="L852" s="6"/>
      <c r="M852" s="6"/>
      <c r="N852" s="6"/>
      <c r="O852" s="6"/>
      <c r="P852" s="6"/>
    </row>
    <row r="853" spans="1:16">
      <c r="A853" s="82"/>
      <c r="B853" s="82"/>
      <c r="C853" s="83"/>
      <c r="D853" s="6"/>
      <c r="E853" s="6"/>
      <c r="F853" s="6"/>
      <c r="G853" s="6"/>
      <c r="H853" s="6"/>
      <c r="I853" s="6"/>
      <c r="J853" s="6"/>
      <c r="K853" s="6"/>
      <c r="L853" s="6"/>
      <c r="M853" s="6"/>
      <c r="N853" s="6"/>
      <c r="O853" s="6"/>
      <c r="P853" s="6"/>
    </row>
    <row r="854" spans="1:16">
      <c r="A854" s="82"/>
      <c r="B854" s="82"/>
      <c r="C854" s="83"/>
      <c r="D854" s="6"/>
      <c r="E854" s="6"/>
      <c r="F854" s="6"/>
      <c r="G854" s="6"/>
      <c r="H854" s="6"/>
      <c r="I854" s="6"/>
      <c r="J854" s="6"/>
      <c r="K854" s="6"/>
      <c r="L854" s="6"/>
      <c r="M854" s="6"/>
      <c r="N854" s="6"/>
      <c r="O854" s="6"/>
      <c r="P854" s="6"/>
    </row>
    <row r="855" spans="1:16">
      <c r="A855" s="82"/>
      <c r="B855" s="82"/>
      <c r="C855" s="83"/>
      <c r="D855" s="6"/>
      <c r="E855" s="6"/>
      <c r="F855" s="6"/>
      <c r="G855" s="6"/>
      <c r="H855" s="6"/>
      <c r="I855" s="6"/>
      <c r="J855" s="6"/>
      <c r="K855" s="6"/>
      <c r="L855" s="6"/>
      <c r="M855" s="6"/>
      <c r="N855" s="6"/>
      <c r="O855" s="6"/>
      <c r="P855" s="6"/>
    </row>
    <row r="856" spans="1:16">
      <c r="A856" s="82"/>
      <c r="B856" s="82"/>
      <c r="C856" s="83"/>
      <c r="D856" s="6"/>
      <c r="E856" s="6"/>
      <c r="F856" s="6"/>
      <c r="G856" s="6"/>
      <c r="H856" s="6"/>
      <c r="I856" s="6"/>
      <c r="J856" s="6"/>
      <c r="K856" s="6"/>
      <c r="L856" s="6"/>
      <c r="M856" s="6"/>
      <c r="N856" s="6"/>
      <c r="O856" s="6"/>
      <c r="P856" s="6"/>
    </row>
    <row r="857" spans="1:16">
      <c r="A857" s="82"/>
      <c r="B857" s="82"/>
      <c r="C857" s="83"/>
      <c r="D857" s="6"/>
      <c r="E857" s="6"/>
      <c r="F857" s="6"/>
      <c r="G857" s="6"/>
      <c r="H857" s="6"/>
      <c r="I857" s="6"/>
      <c r="J857" s="6"/>
      <c r="K857" s="6"/>
      <c r="L857" s="6"/>
      <c r="M857" s="6"/>
      <c r="N857" s="6"/>
      <c r="O857" s="6"/>
      <c r="P857" s="6"/>
    </row>
    <row r="858" spans="1:16">
      <c r="A858" s="82"/>
      <c r="B858" s="82"/>
      <c r="C858" s="83"/>
      <c r="D858" s="6"/>
      <c r="E858" s="6"/>
      <c r="F858" s="6"/>
      <c r="G858" s="6"/>
      <c r="H858" s="6"/>
      <c r="I858" s="6"/>
      <c r="J858" s="6"/>
      <c r="K858" s="6"/>
      <c r="L858" s="6"/>
      <c r="M858" s="6"/>
      <c r="N858" s="6"/>
      <c r="O858" s="6"/>
      <c r="P858" s="6"/>
    </row>
    <row r="859" spans="1:16">
      <c r="A859" s="82"/>
      <c r="B859" s="82"/>
      <c r="C859" s="83"/>
      <c r="D859" s="6"/>
      <c r="E859" s="6"/>
      <c r="F859" s="6"/>
      <c r="G859" s="6"/>
      <c r="H859" s="6"/>
      <c r="I859" s="6"/>
      <c r="J859" s="6"/>
      <c r="K859" s="6"/>
      <c r="L859" s="6"/>
      <c r="M859" s="6"/>
      <c r="N859" s="6"/>
      <c r="O859" s="6"/>
      <c r="P859" s="6"/>
    </row>
    <row r="860" spans="1:16">
      <c r="A860" s="82"/>
      <c r="B860" s="82"/>
      <c r="C860" s="83"/>
      <c r="D860" s="6"/>
      <c r="E860" s="6"/>
      <c r="F860" s="6"/>
      <c r="G860" s="6"/>
      <c r="H860" s="6"/>
      <c r="I860" s="6"/>
      <c r="J860" s="6"/>
      <c r="K860" s="6"/>
      <c r="L860" s="6"/>
      <c r="M860" s="6"/>
      <c r="N860" s="6"/>
      <c r="O860" s="6"/>
      <c r="P860" s="6"/>
    </row>
    <row r="861" spans="1:16">
      <c r="A861" s="82"/>
      <c r="B861" s="82"/>
      <c r="C861" s="83"/>
      <c r="D861" s="6"/>
      <c r="E861" s="6"/>
      <c r="F861" s="6"/>
      <c r="G861" s="6"/>
      <c r="H861" s="6"/>
      <c r="I861" s="6"/>
      <c r="J861" s="6"/>
      <c r="K861" s="6"/>
      <c r="L861" s="6"/>
      <c r="M861" s="6"/>
      <c r="N861" s="6"/>
      <c r="O861" s="6"/>
      <c r="P861" s="6"/>
    </row>
    <row r="862" spans="1:16">
      <c r="A862" s="82"/>
      <c r="B862" s="82"/>
      <c r="C862" s="83"/>
      <c r="D862" s="6"/>
      <c r="E862" s="6"/>
      <c r="F862" s="6"/>
      <c r="G862" s="6"/>
      <c r="H862" s="6"/>
      <c r="I862" s="6"/>
      <c r="J862" s="6"/>
      <c r="K862" s="6"/>
      <c r="L862" s="6"/>
      <c r="M862" s="6"/>
      <c r="N862" s="6"/>
      <c r="O862" s="6"/>
      <c r="P862" s="6"/>
    </row>
    <row r="863" spans="1:16">
      <c r="A863" s="82"/>
      <c r="B863" s="82"/>
      <c r="C863" s="83"/>
      <c r="D863" s="6"/>
      <c r="E863" s="6"/>
      <c r="F863" s="6"/>
      <c r="G863" s="6"/>
      <c r="H863" s="6"/>
      <c r="I863" s="6"/>
      <c r="J863" s="6"/>
      <c r="K863" s="6"/>
      <c r="L863" s="6"/>
      <c r="M863" s="6"/>
      <c r="N863" s="6"/>
      <c r="O863" s="6"/>
      <c r="P863" s="6"/>
    </row>
    <row r="864" spans="1:16">
      <c r="A864" s="82"/>
      <c r="B864" s="82"/>
      <c r="C864" s="83"/>
      <c r="D864" s="6"/>
      <c r="E864" s="6"/>
      <c r="F864" s="6"/>
      <c r="G864" s="6"/>
      <c r="H864" s="6"/>
      <c r="I864" s="6"/>
      <c r="J864" s="6"/>
      <c r="K864" s="6"/>
      <c r="L864" s="6"/>
      <c r="M864" s="6"/>
      <c r="N864" s="6"/>
      <c r="O864" s="6"/>
      <c r="P864" s="6"/>
    </row>
    <row r="865" spans="1:16">
      <c r="A865" s="82"/>
      <c r="B865" s="82"/>
      <c r="C865" s="83"/>
      <c r="D865" s="6"/>
      <c r="E865" s="6"/>
      <c r="F865" s="6"/>
      <c r="G865" s="6"/>
      <c r="H865" s="6"/>
      <c r="I865" s="6"/>
      <c r="J865" s="6"/>
      <c r="K865" s="6"/>
      <c r="L865" s="6"/>
      <c r="M865" s="6"/>
      <c r="N865" s="6"/>
      <c r="O865" s="6"/>
      <c r="P865" s="6"/>
    </row>
    <row r="866" spans="1:16">
      <c r="A866" s="82"/>
      <c r="B866" s="82"/>
      <c r="C866" s="83"/>
      <c r="D866" s="6"/>
      <c r="E866" s="6"/>
      <c r="F866" s="6"/>
      <c r="G866" s="6"/>
      <c r="H866" s="6"/>
      <c r="I866" s="6"/>
      <c r="J866" s="6"/>
      <c r="K866" s="6"/>
      <c r="L866" s="6"/>
      <c r="M866" s="6"/>
      <c r="N866" s="6"/>
      <c r="O866" s="6"/>
      <c r="P866" s="6"/>
    </row>
    <row r="867" spans="1:16">
      <c r="A867" s="82"/>
      <c r="B867" s="82"/>
      <c r="C867" s="83"/>
      <c r="D867" s="6"/>
      <c r="E867" s="6"/>
      <c r="F867" s="6"/>
      <c r="G867" s="6"/>
      <c r="H867" s="6"/>
      <c r="I867" s="6"/>
      <c r="J867" s="6"/>
      <c r="K867" s="6"/>
      <c r="L867" s="6"/>
      <c r="M867" s="6"/>
      <c r="N867" s="6"/>
      <c r="O867" s="6"/>
      <c r="P867" s="6"/>
    </row>
    <row r="868" spans="1:16">
      <c r="A868" s="82"/>
      <c r="B868" s="82"/>
      <c r="C868" s="83"/>
      <c r="D868" s="6"/>
      <c r="E868" s="6"/>
      <c r="F868" s="6"/>
      <c r="G868" s="6"/>
      <c r="H868" s="6"/>
      <c r="I868" s="6"/>
      <c r="J868" s="6"/>
      <c r="K868" s="6"/>
      <c r="L868" s="6"/>
      <c r="M868" s="6"/>
      <c r="N868" s="6"/>
      <c r="O868" s="6"/>
      <c r="P868" s="6"/>
    </row>
    <row r="869" spans="1:16">
      <c r="A869" s="82"/>
      <c r="B869" s="82"/>
      <c r="C869" s="83"/>
      <c r="D869" s="6"/>
      <c r="E869" s="6"/>
      <c r="F869" s="6"/>
      <c r="G869" s="6"/>
      <c r="H869" s="6"/>
      <c r="I869" s="6"/>
      <c r="J869" s="6"/>
      <c r="K869" s="6"/>
      <c r="L869" s="6"/>
      <c r="M869" s="6"/>
      <c r="N869" s="6"/>
      <c r="O869" s="6"/>
      <c r="P869" s="6"/>
    </row>
    <row r="870" spans="1:16">
      <c r="A870" s="82"/>
      <c r="B870" s="82"/>
      <c r="C870" s="83"/>
      <c r="D870" s="6"/>
      <c r="E870" s="6"/>
      <c r="F870" s="6"/>
      <c r="G870" s="6"/>
      <c r="H870" s="6"/>
      <c r="I870" s="6"/>
      <c r="J870" s="6"/>
      <c r="K870" s="6"/>
      <c r="L870" s="6"/>
      <c r="M870" s="6"/>
      <c r="N870" s="6"/>
      <c r="O870" s="6"/>
      <c r="P870" s="6"/>
    </row>
    <row r="871" spans="1:16">
      <c r="A871" s="82"/>
      <c r="B871" s="82"/>
      <c r="C871" s="83"/>
      <c r="D871" s="6"/>
      <c r="E871" s="6"/>
      <c r="F871" s="6"/>
      <c r="G871" s="6"/>
      <c r="H871" s="6"/>
      <c r="I871" s="6"/>
      <c r="J871" s="6"/>
      <c r="K871" s="6"/>
      <c r="L871" s="6"/>
      <c r="M871" s="6"/>
      <c r="N871" s="6"/>
      <c r="O871" s="6"/>
      <c r="P871" s="6"/>
    </row>
    <row r="872" spans="1:16">
      <c r="A872" s="82"/>
      <c r="B872" s="82"/>
      <c r="C872" s="83"/>
      <c r="D872" s="6"/>
      <c r="E872" s="6"/>
      <c r="F872" s="6"/>
      <c r="G872" s="6"/>
      <c r="H872" s="6"/>
      <c r="I872" s="6"/>
      <c r="J872" s="6"/>
      <c r="K872" s="6"/>
      <c r="L872" s="6"/>
      <c r="M872" s="6"/>
      <c r="N872" s="6"/>
      <c r="O872" s="6"/>
      <c r="P872" s="6"/>
    </row>
    <row r="873" spans="1:16">
      <c r="A873" s="82"/>
      <c r="B873" s="82"/>
      <c r="C873" s="83"/>
      <c r="D873" s="6"/>
      <c r="E873" s="6"/>
      <c r="F873" s="6"/>
      <c r="G873" s="6"/>
      <c r="H873" s="6"/>
      <c r="I873" s="6"/>
      <c r="J873" s="6"/>
      <c r="K873" s="6"/>
      <c r="L873" s="6"/>
      <c r="M873" s="6"/>
      <c r="N873" s="6"/>
      <c r="O873" s="6"/>
      <c r="P873" s="6"/>
    </row>
    <row r="874" spans="1:16">
      <c r="A874" s="82"/>
      <c r="B874" s="82"/>
      <c r="C874" s="83"/>
      <c r="D874" s="6"/>
      <c r="E874" s="6"/>
      <c r="F874" s="6"/>
      <c r="G874" s="6"/>
      <c r="H874" s="6"/>
      <c r="I874" s="6"/>
      <c r="J874" s="6"/>
      <c r="K874" s="6"/>
      <c r="L874" s="6"/>
      <c r="M874" s="6"/>
      <c r="N874" s="6"/>
      <c r="O874" s="6"/>
      <c r="P874" s="6"/>
    </row>
    <row r="875" spans="1:16">
      <c r="A875" s="82"/>
      <c r="B875" s="82"/>
      <c r="C875" s="83"/>
      <c r="D875" s="6"/>
      <c r="E875" s="6"/>
      <c r="F875" s="6"/>
      <c r="G875" s="6"/>
      <c r="H875" s="6"/>
      <c r="I875" s="6"/>
      <c r="J875" s="6"/>
      <c r="K875" s="6"/>
      <c r="L875" s="6"/>
      <c r="M875" s="6"/>
      <c r="N875" s="6"/>
      <c r="O875" s="6"/>
      <c r="P875" s="6"/>
    </row>
    <row r="876" spans="1:16">
      <c r="A876" s="82"/>
      <c r="B876" s="82"/>
      <c r="C876" s="83"/>
      <c r="D876" s="6"/>
      <c r="E876" s="6"/>
      <c r="F876" s="6"/>
      <c r="G876" s="6"/>
      <c r="H876" s="6"/>
      <c r="I876" s="6"/>
      <c r="J876" s="6"/>
      <c r="K876" s="6"/>
      <c r="L876" s="6"/>
      <c r="M876" s="6"/>
      <c r="N876" s="6"/>
      <c r="O876" s="6"/>
      <c r="P876" s="6"/>
    </row>
    <row r="877" spans="1:16">
      <c r="A877" s="82"/>
      <c r="B877" s="82"/>
      <c r="C877" s="83"/>
      <c r="D877" s="6"/>
      <c r="E877" s="6"/>
      <c r="F877" s="6"/>
      <c r="G877" s="6"/>
      <c r="H877" s="6"/>
      <c r="I877" s="6"/>
      <c r="J877" s="6"/>
      <c r="K877" s="6"/>
      <c r="L877" s="6"/>
      <c r="M877" s="6"/>
      <c r="N877" s="6"/>
      <c r="O877" s="6"/>
      <c r="P877" s="6"/>
    </row>
    <row r="878" spans="1:16">
      <c r="A878" s="82"/>
      <c r="B878" s="82"/>
      <c r="C878" s="83"/>
      <c r="D878" s="6"/>
      <c r="E878" s="6"/>
      <c r="F878" s="6"/>
      <c r="G878" s="6"/>
      <c r="H878" s="6"/>
      <c r="I878" s="6"/>
      <c r="J878" s="6"/>
      <c r="K878" s="6"/>
      <c r="L878" s="6"/>
      <c r="M878" s="6"/>
      <c r="N878" s="6"/>
      <c r="O878" s="6"/>
      <c r="P878" s="6"/>
    </row>
    <row r="879" spans="1:16">
      <c r="A879" s="82"/>
      <c r="B879" s="82"/>
      <c r="C879" s="83"/>
      <c r="D879" s="6"/>
      <c r="E879" s="6"/>
      <c r="F879" s="6"/>
      <c r="G879" s="6"/>
      <c r="H879" s="6"/>
      <c r="I879" s="6"/>
      <c r="J879" s="6"/>
      <c r="K879" s="6"/>
      <c r="L879" s="6"/>
      <c r="M879" s="6"/>
      <c r="N879" s="6"/>
      <c r="O879" s="6"/>
      <c r="P879" s="6"/>
    </row>
    <row r="880" spans="1:16">
      <c r="A880" s="82"/>
      <c r="B880" s="82"/>
      <c r="C880" s="83"/>
      <c r="D880" s="6"/>
      <c r="E880" s="6"/>
      <c r="F880" s="6"/>
      <c r="G880" s="6"/>
      <c r="H880" s="6"/>
      <c r="I880" s="6"/>
      <c r="J880" s="6"/>
      <c r="K880" s="6"/>
      <c r="L880" s="6"/>
      <c r="M880" s="6"/>
      <c r="N880" s="6"/>
      <c r="O880" s="6"/>
      <c r="P880" s="6"/>
    </row>
    <row r="881" spans="1:16">
      <c r="A881" s="82"/>
      <c r="B881" s="82"/>
      <c r="C881" s="83"/>
      <c r="D881" s="6"/>
      <c r="E881" s="6"/>
      <c r="F881" s="6"/>
      <c r="G881" s="6"/>
      <c r="H881" s="6"/>
      <c r="I881" s="6"/>
      <c r="J881" s="6"/>
      <c r="K881" s="6"/>
      <c r="L881" s="6"/>
      <c r="M881" s="6"/>
      <c r="N881" s="6"/>
      <c r="O881" s="6"/>
      <c r="P881" s="6"/>
    </row>
    <row r="882" spans="1:16">
      <c r="A882" s="82"/>
      <c r="B882" s="82"/>
      <c r="C882" s="83"/>
      <c r="D882" s="6"/>
      <c r="E882" s="6"/>
      <c r="F882" s="6"/>
      <c r="G882" s="6"/>
      <c r="H882" s="6"/>
      <c r="I882" s="6"/>
      <c r="J882" s="6"/>
      <c r="K882" s="6"/>
      <c r="L882" s="6"/>
      <c r="M882" s="6"/>
      <c r="N882" s="6"/>
      <c r="O882" s="6"/>
      <c r="P882" s="6"/>
    </row>
    <row r="883" spans="1:16">
      <c r="A883" s="82"/>
      <c r="B883" s="82"/>
      <c r="C883" s="83"/>
      <c r="D883" s="6"/>
      <c r="E883" s="6"/>
      <c r="F883" s="6"/>
      <c r="G883" s="6"/>
      <c r="H883" s="6"/>
      <c r="I883" s="6"/>
      <c r="J883" s="6"/>
      <c r="K883" s="6"/>
      <c r="L883" s="6"/>
      <c r="M883" s="6"/>
      <c r="N883" s="6"/>
      <c r="O883" s="6"/>
      <c r="P883" s="6"/>
    </row>
    <row r="884" spans="1:16">
      <c r="A884" s="82"/>
      <c r="B884" s="82"/>
      <c r="C884" s="83"/>
      <c r="D884" s="6"/>
      <c r="E884" s="6"/>
      <c r="F884" s="6"/>
      <c r="G884" s="6"/>
      <c r="H884" s="6"/>
      <c r="I884" s="6"/>
      <c r="J884" s="6"/>
      <c r="K884" s="6"/>
      <c r="L884" s="6"/>
      <c r="M884" s="6"/>
      <c r="N884" s="6"/>
      <c r="O884" s="6"/>
      <c r="P884" s="6"/>
    </row>
    <row r="885" spans="1:16">
      <c r="A885" s="82"/>
      <c r="B885" s="82"/>
      <c r="C885" s="83"/>
      <c r="D885" s="6"/>
      <c r="E885" s="6"/>
      <c r="F885" s="6"/>
      <c r="G885" s="6"/>
      <c r="H885" s="6"/>
      <c r="I885" s="6"/>
      <c r="J885" s="6"/>
      <c r="K885" s="6"/>
      <c r="L885" s="6"/>
      <c r="M885" s="6"/>
      <c r="N885" s="6"/>
      <c r="O885" s="6"/>
      <c r="P885" s="6"/>
    </row>
    <row r="886" spans="1:16">
      <c r="A886" s="82"/>
      <c r="B886" s="82"/>
      <c r="C886" s="83"/>
      <c r="D886" s="6"/>
      <c r="E886" s="6"/>
      <c r="F886" s="6"/>
      <c r="G886" s="6"/>
      <c r="H886" s="6"/>
      <c r="I886" s="6"/>
      <c r="J886" s="6"/>
      <c r="K886" s="6"/>
      <c r="L886" s="6"/>
      <c r="M886" s="6"/>
      <c r="N886" s="6"/>
      <c r="O886" s="6"/>
      <c r="P886" s="6"/>
    </row>
    <row r="887" spans="1:16">
      <c r="A887" s="82"/>
      <c r="B887" s="82"/>
      <c r="C887" s="83"/>
      <c r="D887" s="6"/>
      <c r="E887" s="6"/>
      <c r="F887" s="6"/>
      <c r="G887" s="6"/>
      <c r="H887" s="6"/>
      <c r="I887" s="6"/>
      <c r="J887" s="6"/>
      <c r="K887" s="6"/>
      <c r="L887" s="6"/>
      <c r="M887" s="6"/>
      <c r="N887" s="6"/>
      <c r="O887" s="6"/>
      <c r="P887" s="6"/>
    </row>
    <row r="888" spans="1:16">
      <c r="A888" s="82"/>
      <c r="B888" s="82"/>
      <c r="C888" s="83"/>
      <c r="D888" s="6"/>
      <c r="E888" s="6"/>
      <c r="F888" s="6"/>
      <c r="G888" s="6"/>
      <c r="H888" s="6"/>
      <c r="I888" s="6"/>
      <c r="J888" s="6"/>
      <c r="K888" s="6"/>
      <c r="L888" s="6"/>
      <c r="M888" s="6"/>
      <c r="N888" s="6"/>
      <c r="O888" s="6"/>
      <c r="P888" s="6"/>
    </row>
    <row r="889" spans="1:16">
      <c r="A889" s="82"/>
      <c r="B889" s="82"/>
      <c r="C889" s="83"/>
      <c r="D889" s="6"/>
      <c r="E889" s="6"/>
      <c r="F889" s="6"/>
      <c r="G889" s="6"/>
      <c r="H889" s="6"/>
      <c r="I889" s="6"/>
      <c r="J889" s="6"/>
      <c r="K889" s="6"/>
      <c r="L889" s="6"/>
      <c r="M889" s="6"/>
      <c r="N889" s="6"/>
      <c r="O889" s="6"/>
      <c r="P889" s="6"/>
    </row>
    <row r="890" spans="1:16">
      <c r="A890" s="82"/>
      <c r="B890" s="82"/>
      <c r="C890" s="83"/>
      <c r="D890" s="6"/>
      <c r="E890" s="6"/>
      <c r="F890" s="6"/>
      <c r="G890" s="6"/>
      <c r="H890" s="6"/>
      <c r="I890" s="6"/>
      <c r="J890" s="6"/>
      <c r="K890" s="6"/>
      <c r="L890" s="6"/>
      <c r="M890" s="6"/>
      <c r="N890" s="6"/>
      <c r="O890" s="6"/>
      <c r="P890" s="6"/>
    </row>
    <row r="891" spans="1:16">
      <c r="A891" s="82"/>
      <c r="B891" s="82"/>
      <c r="C891" s="83"/>
      <c r="D891" s="6"/>
      <c r="E891" s="6"/>
      <c r="F891" s="6"/>
      <c r="G891" s="6"/>
      <c r="H891" s="6"/>
      <c r="I891" s="6"/>
      <c r="J891" s="6"/>
      <c r="K891" s="6"/>
      <c r="L891" s="6"/>
      <c r="M891" s="6"/>
      <c r="N891" s="6"/>
      <c r="O891" s="6"/>
      <c r="P891" s="6"/>
    </row>
    <row r="892" spans="1:16">
      <c r="A892" s="82"/>
      <c r="B892" s="82"/>
      <c r="C892" s="83"/>
      <c r="D892" s="6"/>
      <c r="E892" s="6"/>
      <c r="F892" s="6"/>
      <c r="G892" s="6"/>
      <c r="H892" s="6"/>
      <c r="I892" s="6"/>
      <c r="J892" s="6"/>
      <c r="K892" s="6"/>
      <c r="L892" s="6"/>
      <c r="M892" s="6"/>
      <c r="N892" s="6"/>
      <c r="O892" s="6"/>
      <c r="P892" s="6"/>
    </row>
    <row r="893" spans="1:16">
      <c r="A893" s="82"/>
      <c r="B893" s="82"/>
      <c r="C893" s="83"/>
      <c r="D893" s="6"/>
      <c r="E893" s="6"/>
      <c r="F893" s="6"/>
      <c r="G893" s="6"/>
      <c r="H893" s="6"/>
      <c r="I893" s="6"/>
      <c r="J893" s="6"/>
      <c r="K893" s="6"/>
      <c r="L893" s="6"/>
      <c r="M893" s="6"/>
      <c r="N893" s="6"/>
      <c r="O893" s="6"/>
      <c r="P893" s="6"/>
    </row>
    <row r="894" spans="1:16">
      <c r="A894" s="82"/>
      <c r="B894" s="82"/>
      <c r="C894" s="83"/>
      <c r="D894" s="6"/>
      <c r="E894" s="6"/>
      <c r="F894" s="6"/>
      <c r="G894" s="6"/>
      <c r="H894" s="6"/>
      <c r="I894" s="6"/>
      <c r="J894" s="6"/>
      <c r="K894" s="6"/>
      <c r="L894" s="6"/>
      <c r="M894" s="6"/>
      <c r="N894" s="6"/>
      <c r="O894" s="6"/>
      <c r="P894" s="6"/>
    </row>
    <row r="895" spans="1:16">
      <c r="A895" s="82"/>
      <c r="B895" s="82"/>
      <c r="C895" s="83"/>
      <c r="D895" s="6"/>
      <c r="E895" s="6"/>
      <c r="F895" s="6"/>
      <c r="G895" s="6"/>
      <c r="H895" s="6"/>
      <c r="I895" s="6"/>
      <c r="J895" s="6"/>
      <c r="K895" s="6"/>
      <c r="L895" s="6"/>
      <c r="M895" s="6"/>
      <c r="N895" s="6"/>
      <c r="O895" s="6"/>
      <c r="P895" s="6"/>
    </row>
    <row r="896" spans="1:16">
      <c r="A896" s="82"/>
      <c r="B896" s="82"/>
      <c r="C896" s="83"/>
      <c r="D896" s="6"/>
      <c r="E896" s="6"/>
      <c r="F896" s="6"/>
      <c r="G896" s="6"/>
      <c r="H896" s="6"/>
      <c r="I896" s="6"/>
      <c r="J896" s="6"/>
      <c r="K896" s="6"/>
      <c r="L896" s="6"/>
      <c r="M896" s="6"/>
      <c r="N896" s="6"/>
      <c r="O896" s="6"/>
      <c r="P896" s="6"/>
    </row>
    <row r="897" spans="1:16">
      <c r="A897" s="82"/>
      <c r="B897" s="82"/>
      <c r="C897" s="83"/>
      <c r="D897" s="6"/>
      <c r="E897" s="6"/>
      <c r="F897" s="6"/>
      <c r="G897" s="6"/>
      <c r="H897" s="6"/>
      <c r="I897" s="6"/>
      <c r="J897" s="6"/>
      <c r="K897" s="6"/>
      <c r="L897" s="6"/>
      <c r="M897" s="6"/>
      <c r="N897" s="6"/>
      <c r="O897" s="6"/>
      <c r="P897" s="6"/>
    </row>
    <row r="898" spans="1:16">
      <c r="A898" s="82"/>
      <c r="B898" s="82"/>
      <c r="C898" s="83"/>
      <c r="D898" s="6"/>
      <c r="E898" s="6"/>
      <c r="F898" s="6"/>
      <c r="G898" s="6"/>
      <c r="H898" s="6"/>
      <c r="I898" s="6"/>
      <c r="J898" s="6"/>
      <c r="K898" s="6"/>
      <c r="L898" s="6"/>
      <c r="M898" s="6"/>
      <c r="N898" s="6"/>
      <c r="O898" s="6"/>
      <c r="P898" s="6"/>
    </row>
    <row r="899" spans="1:16">
      <c r="A899" s="82"/>
      <c r="B899" s="82"/>
      <c r="C899" s="83"/>
      <c r="D899" s="6"/>
      <c r="E899" s="6"/>
      <c r="F899" s="6"/>
      <c r="G899" s="6"/>
      <c r="H899" s="6"/>
      <c r="I899" s="6"/>
      <c r="J899" s="6"/>
      <c r="K899" s="6"/>
      <c r="L899" s="6"/>
      <c r="M899" s="6"/>
      <c r="N899" s="6"/>
      <c r="O899" s="6"/>
      <c r="P899" s="6"/>
    </row>
    <row r="900" spans="1:16">
      <c r="A900" s="82"/>
      <c r="B900" s="82"/>
      <c r="C900" s="83"/>
      <c r="D900" s="6"/>
      <c r="E900" s="6"/>
      <c r="F900" s="6"/>
      <c r="G900" s="6"/>
      <c r="H900" s="6"/>
      <c r="I900" s="6"/>
      <c r="J900" s="6"/>
      <c r="K900" s="6"/>
      <c r="L900" s="6"/>
      <c r="M900" s="6"/>
      <c r="N900" s="6"/>
      <c r="O900" s="6"/>
      <c r="P900" s="6"/>
    </row>
    <row r="901" spans="1:16">
      <c r="A901" s="82"/>
      <c r="B901" s="82"/>
      <c r="C901" s="83"/>
      <c r="D901" s="6"/>
      <c r="E901" s="6"/>
      <c r="F901" s="6"/>
      <c r="G901" s="6"/>
      <c r="H901" s="6"/>
      <c r="I901" s="6"/>
      <c r="J901" s="6"/>
      <c r="K901" s="6"/>
      <c r="L901" s="6"/>
      <c r="M901" s="6"/>
      <c r="N901" s="6"/>
      <c r="O901" s="6"/>
      <c r="P901" s="6"/>
    </row>
    <row r="902" spans="1:16">
      <c r="A902" s="82"/>
      <c r="B902" s="82"/>
      <c r="C902" s="83"/>
      <c r="D902" s="6"/>
      <c r="E902" s="6"/>
      <c r="F902" s="6"/>
      <c r="G902" s="6"/>
      <c r="H902" s="6"/>
      <c r="I902" s="6"/>
      <c r="J902" s="6"/>
      <c r="K902" s="6"/>
      <c r="L902" s="6"/>
      <c r="M902" s="6"/>
      <c r="N902" s="6"/>
      <c r="O902" s="6"/>
      <c r="P902" s="6"/>
    </row>
    <row r="903" spans="1:16">
      <c r="A903" s="82"/>
      <c r="B903" s="82"/>
      <c r="C903" s="83"/>
      <c r="D903" s="6"/>
      <c r="E903" s="6"/>
      <c r="F903" s="6"/>
      <c r="G903" s="6"/>
      <c r="H903" s="6"/>
      <c r="I903" s="6"/>
      <c r="J903" s="6"/>
      <c r="K903" s="6"/>
      <c r="L903" s="6"/>
      <c r="M903" s="6"/>
      <c r="N903" s="6"/>
      <c r="O903" s="6"/>
      <c r="P903" s="6"/>
    </row>
    <row r="904" spans="1:16">
      <c r="A904" s="82"/>
      <c r="B904" s="82"/>
      <c r="C904" s="83"/>
      <c r="D904" s="6"/>
      <c r="E904" s="6"/>
      <c r="F904" s="6"/>
      <c r="G904" s="6"/>
      <c r="H904" s="6"/>
      <c r="I904" s="6"/>
      <c r="J904" s="6"/>
      <c r="K904" s="6"/>
      <c r="L904" s="6"/>
      <c r="M904" s="6"/>
      <c r="N904" s="6"/>
      <c r="O904" s="6"/>
      <c r="P904" s="6"/>
    </row>
    <row r="905" spans="1:16">
      <c r="A905" s="82"/>
      <c r="B905" s="82"/>
      <c r="C905" s="83"/>
      <c r="D905" s="6"/>
      <c r="E905" s="6"/>
      <c r="F905" s="6"/>
      <c r="G905" s="6"/>
      <c r="H905" s="6"/>
      <c r="I905" s="6"/>
      <c r="J905" s="6"/>
      <c r="K905" s="6"/>
      <c r="L905" s="6"/>
      <c r="M905" s="6"/>
      <c r="N905" s="6"/>
      <c r="O905" s="6"/>
      <c r="P905" s="6"/>
    </row>
    <row r="906" spans="1:16">
      <c r="A906" s="82"/>
      <c r="B906" s="82"/>
      <c r="C906" s="83"/>
      <c r="D906" s="6"/>
      <c r="E906" s="6"/>
      <c r="F906" s="6"/>
      <c r="G906" s="6"/>
      <c r="H906" s="6"/>
      <c r="I906" s="6"/>
      <c r="J906" s="6"/>
      <c r="K906" s="6"/>
      <c r="L906" s="6"/>
      <c r="M906" s="6"/>
      <c r="N906" s="6"/>
      <c r="O906" s="6"/>
      <c r="P906" s="6"/>
    </row>
    <row r="907" spans="1:16">
      <c r="A907" s="82"/>
      <c r="B907" s="82"/>
      <c r="C907" s="83"/>
      <c r="D907" s="6"/>
      <c r="E907" s="6"/>
      <c r="F907" s="6"/>
      <c r="G907" s="6"/>
      <c r="H907" s="6"/>
      <c r="I907" s="6"/>
      <c r="J907" s="6"/>
      <c r="K907" s="6"/>
      <c r="L907" s="6"/>
      <c r="M907" s="6"/>
      <c r="N907" s="6"/>
      <c r="O907" s="6"/>
      <c r="P907" s="6"/>
    </row>
    <row r="908" spans="1:16">
      <c r="A908" s="82"/>
      <c r="B908" s="82"/>
      <c r="C908" s="83"/>
      <c r="D908" s="6"/>
      <c r="E908" s="6"/>
      <c r="F908" s="6"/>
      <c r="G908" s="6"/>
      <c r="H908" s="6"/>
      <c r="I908" s="6"/>
      <c r="J908" s="6"/>
      <c r="K908" s="6"/>
      <c r="L908" s="6"/>
      <c r="M908" s="6"/>
      <c r="N908" s="6"/>
      <c r="O908" s="6"/>
      <c r="P908" s="6"/>
    </row>
    <row r="909" spans="1:16">
      <c r="A909" s="82"/>
      <c r="B909" s="82"/>
      <c r="C909" s="83"/>
      <c r="D909" s="6"/>
      <c r="E909" s="6"/>
      <c r="F909" s="6"/>
      <c r="G909" s="6"/>
      <c r="H909" s="6"/>
      <c r="I909" s="6"/>
      <c r="J909" s="6"/>
      <c r="K909" s="6"/>
      <c r="L909" s="6"/>
      <c r="M909" s="6"/>
      <c r="N909" s="6"/>
      <c r="O909" s="6"/>
      <c r="P909" s="6"/>
    </row>
    <row r="910" spans="1:16">
      <c r="A910" s="82"/>
      <c r="B910" s="82"/>
      <c r="C910" s="83"/>
      <c r="D910" s="6"/>
      <c r="E910" s="6"/>
      <c r="F910" s="6"/>
      <c r="G910" s="6"/>
      <c r="H910" s="6"/>
      <c r="I910" s="6"/>
      <c r="J910" s="6"/>
      <c r="K910" s="6"/>
      <c r="L910" s="6"/>
      <c r="M910" s="6"/>
      <c r="N910" s="6"/>
      <c r="O910" s="6"/>
      <c r="P910" s="6"/>
    </row>
    <row r="911" spans="1:16">
      <c r="A911" s="82"/>
      <c r="B911" s="82"/>
      <c r="C911" s="83"/>
      <c r="D911" s="6"/>
      <c r="E911" s="6"/>
      <c r="F911" s="6"/>
      <c r="G911" s="6"/>
      <c r="H911" s="6"/>
      <c r="I911" s="6"/>
      <c r="J911" s="6"/>
      <c r="K911" s="6"/>
      <c r="L911" s="6"/>
      <c r="M911" s="6"/>
      <c r="N911" s="6"/>
      <c r="O911" s="6"/>
      <c r="P911" s="6"/>
    </row>
    <row r="912" spans="1:16">
      <c r="A912" s="82"/>
      <c r="B912" s="82"/>
      <c r="C912" s="83"/>
      <c r="D912" s="6"/>
      <c r="E912" s="6"/>
      <c r="F912" s="6"/>
      <c r="G912" s="6"/>
      <c r="H912" s="6"/>
      <c r="I912" s="6"/>
      <c r="J912" s="6"/>
      <c r="K912" s="6"/>
      <c r="L912" s="6"/>
      <c r="M912" s="6"/>
      <c r="N912" s="6"/>
      <c r="O912" s="6"/>
      <c r="P912" s="6"/>
    </row>
    <row r="913" spans="1:16">
      <c r="A913" s="82"/>
      <c r="B913" s="82"/>
      <c r="C913" s="83"/>
      <c r="D913" s="6"/>
      <c r="E913" s="6"/>
      <c r="F913" s="6"/>
      <c r="G913" s="6"/>
      <c r="H913" s="6"/>
      <c r="I913" s="6"/>
      <c r="J913" s="6"/>
      <c r="K913" s="6"/>
      <c r="L913" s="6"/>
      <c r="M913" s="6"/>
      <c r="N913" s="6"/>
      <c r="O913" s="6"/>
      <c r="P913" s="6"/>
    </row>
    <row r="914" spans="1:16">
      <c r="A914" s="82"/>
      <c r="B914" s="82"/>
      <c r="C914" s="83"/>
      <c r="D914" s="6"/>
      <c r="E914" s="6"/>
      <c r="F914" s="6"/>
      <c r="G914" s="6"/>
      <c r="H914" s="6"/>
      <c r="I914" s="6"/>
      <c r="J914" s="6"/>
      <c r="K914" s="6"/>
      <c r="L914" s="6"/>
      <c r="M914" s="6"/>
      <c r="N914" s="6"/>
      <c r="O914" s="6"/>
      <c r="P914" s="6"/>
    </row>
    <row r="915" spans="1:16">
      <c r="A915" s="82"/>
      <c r="B915" s="82"/>
      <c r="C915" s="83"/>
      <c r="D915" s="6"/>
      <c r="E915" s="6"/>
      <c r="F915" s="6"/>
      <c r="G915" s="6"/>
      <c r="H915" s="6"/>
      <c r="I915" s="6"/>
      <c r="J915" s="6"/>
      <c r="K915" s="6"/>
      <c r="L915" s="6"/>
      <c r="M915" s="6"/>
      <c r="N915" s="6"/>
      <c r="O915" s="6"/>
      <c r="P915" s="6"/>
    </row>
    <row r="916" spans="1:16">
      <c r="A916" s="82"/>
      <c r="B916" s="82"/>
      <c r="C916" s="83"/>
      <c r="D916" s="6"/>
      <c r="E916" s="6"/>
      <c r="F916" s="6"/>
      <c r="G916" s="6"/>
      <c r="H916" s="6"/>
      <c r="I916" s="6"/>
      <c r="J916" s="6"/>
      <c r="K916" s="6"/>
      <c r="L916" s="6"/>
      <c r="M916" s="6"/>
      <c r="N916" s="6"/>
      <c r="O916" s="6"/>
      <c r="P916" s="6"/>
    </row>
    <row r="917" spans="1:16">
      <c r="A917" s="82"/>
      <c r="B917" s="82"/>
      <c r="C917" s="83"/>
      <c r="D917" s="6"/>
      <c r="E917" s="6"/>
      <c r="F917" s="6"/>
      <c r="G917" s="6"/>
      <c r="H917" s="6"/>
      <c r="I917" s="6"/>
      <c r="J917" s="6"/>
      <c r="K917" s="6"/>
      <c r="L917" s="6"/>
      <c r="M917" s="6"/>
      <c r="N917" s="6"/>
      <c r="O917" s="6"/>
      <c r="P917" s="6"/>
    </row>
    <row r="918" spans="1:16">
      <c r="A918" s="82"/>
      <c r="B918" s="82"/>
      <c r="C918" s="83"/>
      <c r="D918" s="6"/>
      <c r="E918" s="6"/>
      <c r="F918" s="6"/>
      <c r="G918" s="6"/>
      <c r="H918" s="6"/>
      <c r="I918" s="6"/>
      <c r="J918" s="6"/>
      <c r="K918" s="6"/>
      <c r="L918" s="6"/>
      <c r="M918" s="6"/>
      <c r="N918" s="6"/>
      <c r="O918" s="6"/>
      <c r="P918" s="6"/>
    </row>
    <row r="919" spans="1:16">
      <c r="A919" s="82"/>
      <c r="B919" s="82"/>
      <c r="C919" s="83"/>
      <c r="D919" s="6"/>
      <c r="E919" s="6"/>
      <c r="F919" s="6"/>
      <c r="G919" s="6"/>
      <c r="H919" s="6"/>
      <c r="I919" s="6"/>
      <c r="J919" s="6"/>
      <c r="K919" s="6"/>
      <c r="L919" s="6"/>
      <c r="M919" s="6"/>
      <c r="N919" s="6"/>
      <c r="O919" s="6"/>
      <c r="P919" s="6"/>
    </row>
    <row r="920" spans="1:16">
      <c r="A920" s="82"/>
      <c r="B920" s="82"/>
      <c r="C920" s="83"/>
      <c r="D920" s="6"/>
      <c r="E920" s="6"/>
      <c r="F920" s="6"/>
      <c r="G920" s="6"/>
      <c r="H920" s="6"/>
      <c r="I920" s="6"/>
      <c r="J920" s="6"/>
      <c r="K920" s="6"/>
      <c r="L920" s="6"/>
      <c r="M920" s="6"/>
      <c r="N920" s="6"/>
      <c r="O920" s="6"/>
      <c r="P920" s="6"/>
    </row>
    <row r="921" spans="1:16">
      <c r="A921" s="82"/>
      <c r="B921" s="82"/>
      <c r="C921" s="83"/>
      <c r="D921" s="6"/>
      <c r="E921" s="6"/>
      <c r="F921" s="6"/>
      <c r="G921" s="6"/>
      <c r="H921" s="6"/>
      <c r="I921" s="6"/>
      <c r="J921" s="6"/>
      <c r="K921" s="6"/>
      <c r="L921" s="6"/>
      <c r="M921" s="6"/>
      <c r="N921" s="6"/>
      <c r="O921" s="6"/>
      <c r="P921" s="6"/>
    </row>
    <row r="922" spans="1:16">
      <c r="A922" s="82"/>
      <c r="B922" s="82"/>
      <c r="C922" s="83"/>
      <c r="D922" s="6"/>
      <c r="E922" s="6"/>
      <c r="F922" s="6"/>
      <c r="G922" s="6"/>
      <c r="H922" s="6"/>
      <c r="I922" s="6"/>
      <c r="J922" s="6"/>
      <c r="K922" s="6"/>
      <c r="L922" s="6"/>
      <c r="M922" s="6"/>
      <c r="N922" s="6"/>
      <c r="O922" s="6"/>
      <c r="P922" s="6"/>
    </row>
    <row r="923" spans="1:16">
      <c r="A923" s="82"/>
      <c r="B923" s="82"/>
      <c r="C923" s="83"/>
      <c r="D923" s="6"/>
      <c r="E923" s="6"/>
      <c r="F923" s="6"/>
      <c r="G923" s="6"/>
      <c r="H923" s="6"/>
      <c r="I923" s="6"/>
      <c r="J923" s="6"/>
      <c r="K923" s="6"/>
      <c r="L923" s="6"/>
      <c r="M923" s="6"/>
      <c r="N923" s="6"/>
      <c r="O923" s="6"/>
      <c r="P923" s="6"/>
    </row>
    <row r="924" spans="1:16">
      <c r="A924" s="82"/>
      <c r="B924" s="82"/>
      <c r="C924" s="83"/>
      <c r="D924" s="6"/>
      <c r="E924" s="6"/>
      <c r="F924" s="6"/>
      <c r="G924" s="6"/>
      <c r="H924" s="6"/>
      <c r="I924" s="6"/>
      <c r="J924" s="6"/>
      <c r="K924" s="6"/>
      <c r="L924" s="6"/>
      <c r="M924" s="6"/>
      <c r="N924" s="6"/>
      <c r="O924" s="6"/>
      <c r="P924" s="6"/>
    </row>
    <row r="925" spans="1:16">
      <c r="A925" s="82"/>
      <c r="B925" s="82"/>
      <c r="C925" s="83"/>
      <c r="D925" s="6"/>
      <c r="E925" s="6"/>
      <c r="F925" s="6"/>
      <c r="G925" s="6"/>
      <c r="H925" s="6"/>
      <c r="I925" s="6"/>
      <c r="J925" s="6"/>
      <c r="K925" s="6"/>
      <c r="L925" s="6"/>
      <c r="M925" s="6"/>
      <c r="N925" s="6"/>
      <c r="O925" s="6"/>
      <c r="P925" s="6"/>
    </row>
    <row r="926" spans="1:16">
      <c r="A926" s="82"/>
      <c r="B926" s="82"/>
      <c r="C926" s="83"/>
      <c r="D926" s="6"/>
      <c r="E926" s="6"/>
      <c r="F926" s="6"/>
      <c r="G926" s="6"/>
      <c r="H926" s="6"/>
      <c r="I926" s="6"/>
      <c r="J926" s="6"/>
      <c r="K926" s="6"/>
      <c r="L926" s="6"/>
      <c r="M926" s="6"/>
      <c r="N926" s="6"/>
      <c r="O926" s="6"/>
      <c r="P926" s="6"/>
    </row>
    <row r="927" spans="1:16">
      <c r="A927" s="82"/>
      <c r="B927" s="82"/>
      <c r="C927" s="83"/>
      <c r="D927" s="6"/>
      <c r="E927" s="6"/>
      <c r="F927" s="6"/>
      <c r="G927" s="6"/>
      <c r="H927" s="6"/>
      <c r="I927" s="6"/>
      <c r="J927" s="6"/>
      <c r="K927" s="6"/>
      <c r="L927" s="6"/>
      <c r="M927" s="6"/>
      <c r="N927" s="6"/>
      <c r="O927" s="6"/>
      <c r="P927" s="6"/>
    </row>
    <row r="928" spans="1:16">
      <c r="A928" s="82"/>
      <c r="B928" s="82"/>
      <c r="C928" s="83"/>
      <c r="D928" s="6"/>
      <c r="E928" s="6"/>
      <c r="F928" s="6"/>
      <c r="G928" s="6"/>
      <c r="H928" s="6"/>
      <c r="I928" s="6"/>
      <c r="J928" s="6"/>
      <c r="K928" s="6"/>
      <c r="L928" s="6"/>
      <c r="M928" s="6"/>
      <c r="N928" s="6"/>
      <c r="O928" s="6"/>
      <c r="P928" s="6"/>
    </row>
    <row r="929" spans="1:16">
      <c r="A929" s="82"/>
      <c r="B929" s="82"/>
      <c r="C929" s="83"/>
      <c r="D929" s="6"/>
      <c r="E929" s="6"/>
      <c r="F929" s="6"/>
      <c r="G929" s="6"/>
      <c r="H929" s="6"/>
      <c r="I929" s="6"/>
      <c r="J929" s="6"/>
      <c r="K929" s="6"/>
      <c r="L929" s="6"/>
      <c r="M929" s="6"/>
      <c r="N929" s="6"/>
      <c r="O929" s="6"/>
      <c r="P929" s="6"/>
    </row>
    <row r="930" spans="1:16">
      <c r="A930" s="82"/>
      <c r="B930" s="82"/>
      <c r="C930" s="83"/>
      <c r="D930" s="6"/>
      <c r="E930" s="6"/>
      <c r="F930" s="6"/>
      <c r="G930" s="6"/>
      <c r="H930" s="6"/>
      <c r="I930" s="6"/>
      <c r="J930" s="6"/>
      <c r="K930" s="6"/>
      <c r="L930" s="6"/>
      <c r="M930" s="6"/>
      <c r="N930" s="6"/>
      <c r="O930" s="6"/>
      <c r="P930" s="6"/>
    </row>
    <row r="931" spans="1:16">
      <c r="A931" s="82"/>
      <c r="B931" s="82"/>
      <c r="C931" s="83"/>
      <c r="D931" s="6"/>
      <c r="E931" s="6"/>
      <c r="F931" s="6"/>
      <c r="G931" s="6"/>
      <c r="H931" s="6"/>
      <c r="I931" s="6"/>
      <c r="J931" s="6"/>
      <c r="K931" s="6"/>
      <c r="L931" s="6"/>
      <c r="M931" s="6"/>
      <c r="N931" s="6"/>
      <c r="O931" s="6"/>
      <c r="P931" s="6"/>
    </row>
    <row r="932" spans="1:16">
      <c r="A932" s="82"/>
      <c r="B932" s="82"/>
      <c r="C932" s="83"/>
      <c r="D932" s="6"/>
      <c r="E932" s="6"/>
      <c r="F932" s="6"/>
      <c r="G932" s="6"/>
      <c r="H932" s="6"/>
      <c r="I932" s="6"/>
      <c r="J932" s="6"/>
      <c r="K932" s="6"/>
      <c r="L932" s="6"/>
      <c r="M932" s="6"/>
      <c r="N932" s="6"/>
      <c r="O932" s="6"/>
      <c r="P932" s="6"/>
    </row>
    <row r="933" spans="1:16">
      <c r="A933" s="82"/>
      <c r="B933" s="82"/>
      <c r="C933" s="83"/>
      <c r="D933" s="6"/>
      <c r="E933" s="6"/>
      <c r="F933" s="6"/>
      <c r="G933" s="6"/>
      <c r="H933" s="6"/>
      <c r="I933" s="6"/>
      <c r="J933" s="6"/>
      <c r="K933" s="6"/>
      <c r="L933" s="6"/>
      <c r="M933" s="6"/>
      <c r="N933" s="6"/>
      <c r="O933" s="6"/>
      <c r="P933" s="6"/>
    </row>
    <row r="934" spans="1:16">
      <c r="A934" s="82"/>
      <c r="B934" s="82"/>
      <c r="C934" s="83"/>
      <c r="D934" s="6"/>
      <c r="E934" s="6"/>
      <c r="F934" s="6"/>
      <c r="G934" s="6"/>
      <c r="H934" s="6"/>
      <c r="I934" s="6"/>
      <c r="J934" s="6"/>
      <c r="K934" s="6"/>
      <c r="L934" s="6"/>
      <c r="M934" s="6"/>
      <c r="N934" s="6"/>
      <c r="O934" s="6"/>
      <c r="P934" s="6"/>
    </row>
    <row r="935" spans="1:16">
      <c r="A935" s="82"/>
      <c r="B935" s="82"/>
      <c r="C935" s="83"/>
      <c r="D935" s="6"/>
      <c r="E935" s="6"/>
      <c r="F935" s="6"/>
      <c r="G935" s="6"/>
      <c r="H935" s="6"/>
      <c r="I935" s="6"/>
      <c r="J935" s="6"/>
      <c r="K935" s="6"/>
      <c r="L935" s="6"/>
      <c r="M935" s="6"/>
      <c r="N935" s="6"/>
      <c r="O935" s="6"/>
      <c r="P935" s="6"/>
    </row>
    <row r="936" spans="1:16">
      <c r="A936" s="82"/>
      <c r="B936" s="82"/>
      <c r="C936" s="83"/>
      <c r="D936" s="6"/>
      <c r="E936" s="6"/>
      <c r="F936" s="6"/>
      <c r="G936" s="6"/>
      <c r="H936" s="6"/>
      <c r="I936" s="6"/>
      <c r="J936" s="6"/>
      <c r="K936" s="6"/>
      <c r="L936" s="6"/>
      <c r="M936" s="6"/>
      <c r="N936" s="6"/>
      <c r="O936" s="6"/>
      <c r="P936" s="6"/>
    </row>
    <row r="937" spans="1:16">
      <c r="A937" s="82"/>
      <c r="B937" s="82"/>
      <c r="C937" s="83"/>
      <c r="D937" s="6"/>
      <c r="E937" s="6"/>
      <c r="F937" s="6"/>
      <c r="G937" s="6"/>
      <c r="H937" s="6"/>
      <c r="I937" s="6"/>
      <c r="J937" s="6"/>
      <c r="K937" s="6"/>
      <c r="L937" s="6"/>
      <c r="M937" s="6"/>
      <c r="N937" s="6"/>
      <c r="O937" s="6"/>
      <c r="P937" s="6"/>
    </row>
    <row r="938" spans="1:16">
      <c r="A938" s="82"/>
      <c r="B938" s="82"/>
      <c r="C938" s="83"/>
      <c r="D938" s="6"/>
      <c r="E938" s="6"/>
      <c r="F938" s="6"/>
      <c r="G938" s="6"/>
      <c r="H938" s="6"/>
      <c r="I938" s="6"/>
      <c r="J938" s="6"/>
      <c r="K938" s="6"/>
      <c r="L938" s="6"/>
      <c r="M938" s="6"/>
      <c r="N938" s="6"/>
      <c r="O938" s="6"/>
      <c r="P938" s="6"/>
    </row>
    <row r="939" spans="1:16">
      <c r="A939" s="82"/>
      <c r="B939" s="82"/>
      <c r="C939" s="83"/>
      <c r="D939" s="6"/>
      <c r="E939" s="6"/>
      <c r="F939" s="6"/>
      <c r="G939" s="6"/>
      <c r="H939" s="6"/>
      <c r="I939" s="6"/>
      <c r="J939" s="6"/>
      <c r="K939" s="6"/>
      <c r="L939" s="6"/>
      <c r="M939" s="6"/>
      <c r="N939" s="6"/>
      <c r="O939" s="6"/>
      <c r="P939" s="6"/>
    </row>
    <row r="940" spans="1:16">
      <c r="A940" s="82"/>
      <c r="B940" s="82"/>
      <c r="C940" s="83"/>
      <c r="D940" s="6"/>
      <c r="E940" s="6"/>
      <c r="F940" s="6"/>
      <c r="G940" s="6"/>
      <c r="H940" s="6"/>
      <c r="I940" s="6"/>
      <c r="J940" s="6"/>
      <c r="K940" s="6"/>
      <c r="L940" s="6"/>
      <c r="M940" s="6"/>
      <c r="N940" s="6"/>
      <c r="O940" s="6"/>
      <c r="P940" s="6"/>
    </row>
    <row r="941" spans="1:16">
      <c r="A941" s="82"/>
      <c r="B941" s="82"/>
      <c r="C941" s="83"/>
      <c r="D941" s="6"/>
      <c r="E941" s="6"/>
      <c r="F941" s="6"/>
      <c r="G941" s="6"/>
      <c r="H941" s="6"/>
      <c r="I941" s="6"/>
      <c r="J941" s="6"/>
      <c r="K941" s="6"/>
      <c r="L941" s="6"/>
      <c r="M941" s="6"/>
      <c r="N941" s="6"/>
      <c r="O941" s="6"/>
      <c r="P941" s="6"/>
    </row>
    <row r="942" spans="1:16">
      <c r="A942" s="82"/>
      <c r="B942" s="82"/>
      <c r="C942" s="83"/>
      <c r="D942" s="6"/>
      <c r="E942" s="6"/>
      <c r="F942" s="6"/>
      <c r="G942" s="6"/>
      <c r="H942" s="6"/>
      <c r="I942" s="6"/>
      <c r="J942" s="6"/>
      <c r="K942" s="6"/>
      <c r="L942" s="6"/>
      <c r="M942" s="6"/>
      <c r="N942" s="6"/>
      <c r="O942" s="6"/>
      <c r="P942" s="6"/>
    </row>
    <row r="943" spans="1:16">
      <c r="A943" s="82"/>
      <c r="B943" s="82"/>
      <c r="C943" s="83"/>
      <c r="D943" s="6"/>
      <c r="E943" s="6"/>
      <c r="F943" s="6"/>
      <c r="G943" s="6"/>
      <c r="H943" s="6"/>
      <c r="I943" s="6"/>
      <c r="J943" s="6"/>
      <c r="K943" s="6"/>
      <c r="L943" s="6"/>
      <c r="M943" s="6"/>
      <c r="N943" s="6"/>
      <c r="O943" s="6"/>
      <c r="P943" s="6"/>
    </row>
    <row r="944" spans="1:16">
      <c r="A944" s="82"/>
      <c r="B944" s="82"/>
      <c r="C944" s="83"/>
      <c r="D944" s="6"/>
      <c r="E944" s="6"/>
      <c r="F944" s="6"/>
      <c r="G944" s="6"/>
      <c r="H944" s="6"/>
      <c r="I944" s="6"/>
      <c r="J944" s="6"/>
      <c r="K944" s="6"/>
      <c r="L944" s="6"/>
      <c r="M944" s="6"/>
      <c r="N944" s="6"/>
      <c r="O944" s="6"/>
      <c r="P944" s="6"/>
    </row>
    <row r="945" spans="1:16">
      <c r="A945" s="82"/>
      <c r="B945" s="82"/>
      <c r="C945" s="83"/>
      <c r="D945" s="6"/>
      <c r="E945" s="6"/>
      <c r="F945" s="6"/>
      <c r="G945" s="6"/>
      <c r="H945" s="6"/>
      <c r="I945" s="6"/>
      <c r="J945" s="6"/>
      <c r="K945" s="6"/>
      <c r="L945" s="6"/>
      <c r="M945" s="6"/>
      <c r="N945" s="6"/>
      <c r="O945" s="6"/>
      <c r="P945" s="6"/>
    </row>
    <row r="946" spans="1:16">
      <c r="A946" s="82"/>
      <c r="B946" s="82"/>
      <c r="C946" s="83"/>
      <c r="D946" s="6"/>
      <c r="E946" s="6"/>
      <c r="F946" s="6"/>
      <c r="G946" s="6"/>
      <c r="H946" s="6"/>
      <c r="I946" s="6"/>
      <c r="J946" s="6"/>
      <c r="K946" s="6"/>
      <c r="L946" s="6"/>
      <c r="M946" s="6"/>
      <c r="N946" s="6"/>
      <c r="O946" s="6"/>
      <c r="P946" s="6"/>
    </row>
    <row r="947" spans="1:16">
      <c r="A947" s="82"/>
      <c r="B947" s="82"/>
      <c r="C947" s="83"/>
      <c r="D947" s="6"/>
      <c r="E947" s="6"/>
      <c r="F947" s="6"/>
      <c r="G947" s="6"/>
      <c r="H947" s="6"/>
      <c r="I947" s="6"/>
      <c r="J947" s="6"/>
      <c r="K947" s="6"/>
      <c r="L947" s="6"/>
      <c r="M947" s="6"/>
      <c r="N947" s="6"/>
      <c r="O947" s="6"/>
      <c r="P947" s="6"/>
    </row>
    <row r="948" spans="1:16">
      <c r="A948" s="82"/>
      <c r="B948" s="82"/>
      <c r="C948" s="83"/>
      <c r="D948" s="6"/>
      <c r="E948" s="6"/>
      <c r="F948" s="6"/>
      <c r="G948" s="6"/>
      <c r="H948" s="6"/>
      <c r="I948" s="6"/>
      <c r="J948" s="6"/>
      <c r="K948" s="6"/>
      <c r="L948" s="6"/>
      <c r="M948" s="6"/>
      <c r="N948" s="6"/>
      <c r="O948" s="6"/>
      <c r="P948" s="6"/>
    </row>
    <row r="949" spans="1:16">
      <c r="A949" s="82"/>
      <c r="B949" s="82"/>
      <c r="C949" s="83"/>
      <c r="D949" s="6"/>
      <c r="E949" s="6"/>
      <c r="F949" s="6"/>
      <c r="G949" s="6"/>
      <c r="H949" s="6"/>
      <c r="I949" s="6"/>
      <c r="J949" s="6"/>
      <c r="K949" s="6"/>
      <c r="L949" s="6"/>
      <c r="M949" s="6"/>
      <c r="N949" s="6"/>
      <c r="O949" s="6"/>
      <c r="P949" s="6"/>
    </row>
    <row r="950" spans="1:16">
      <c r="A950" s="82"/>
      <c r="B950" s="82"/>
      <c r="C950" s="83"/>
      <c r="D950" s="6"/>
      <c r="E950" s="6"/>
      <c r="F950" s="6"/>
      <c r="G950" s="6"/>
      <c r="H950" s="6"/>
      <c r="I950" s="6"/>
      <c r="J950" s="6"/>
      <c r="K950" s="6"/>
      <c r="L950" s="6"/>
      <c r="M950" s="6"/>
      <c r="N950" s="6"/>
      <c r="O950" s="6"/>
      <c r="P950" s="6"/>
    </row>
    <row r="951" spans="1:16">
      <c r="A951" s="82"/>
      <c r="B951" s="82"/>
      <c r="C951" s="83"/>
      <c r="D951" s="6"/>
      <c r="E951" s="6"/>
      <c r="F951" s="6"/>
      <c r="G951" s="6"/>
      <c r="H951" s="6"/>
      <c r="I951" s="6"/>
      <c r="J951" s="6"/>
      <c r="K951" s="6"/>
      <c r="L951" s="6"/>
      <c r="M951" s="6"/>
      <c r="N951" s="6"/>
      <c r="O951" s="6"/>
      <c r="P951" s="6"/>
    </row>
    <row r="952" spans="1:16">
      <c r="A952" s="82"/>
      <c r="B952" s="82"/>
      <c r="C952" s="83"/>
      <c r="D952" s="6"/>
      <c r="E952" s="6"/>
      <c r="F952" s="6"/>
      <c r="G952" s="6"/>
      <c r="H952" s="6"/>
      <c r="I952" s="6"/>
      <c r="J952" s="6"/>
      <c r="K952" s="6"/>
      <c r="L952" s="6"/>
      <c r="M952" s="6"/>
      <c r="N952" s="6"/>
      <c r="O952" s="6"/>
      <c r="P952" s="6"/>
    </row>
    <row r="953" spans="1:16">
      <c r="A953" s="82"/>
      <c r="B953" s="82"/>
      <c r="C953" s="83"/>
      <c r="D953" s="6"/>
      <c r="E953" s="6"/>
      <c r="F953" s="6"/>
      <c r="G953" s="6"/>
      <c r="H953" s="6"/>
      <c r="I953" s="6"/>
      <c r="J953" s="6"/>
      <c r="K953" s="6"/>
      <c r="L953" s="6"/>
      <c r="M953" s="6"/>
      <c r="N953" s="6"/>
      <c r="O953" s="6"/>
      <c r="P953" s="6"/>
    </row>
    <row r="954" spans="1:16">
      <c r="A954" s="82"/>
      <c r="B954" s="82"/>
      <c r="C954" s="83"/>
      <c r="D954" s="6"/>
      <c r="E954" s="6"/>
      <c r="F954" s="6"/>
      <c r="G954" s="6"/>
      <c r="H954" s="6"/>
      <c r="I954" s="6"/>
      <c r="J954" s="6"/>
      <c r="K954" s="6"/>
      <c r="L954" s="6"/>
      <c r="M954" s="6"/>
      <c r="N954" s="6"/>
      <c r="O954" s="6"/>
      <c r="P954" s="6"/>
    </row>
    <row r="955" spans="1:16">
      <c r="A955" s="82"/>
      <c r="B955" s="82"/>
      <c r="C955" s="83"/>
      <c r="D955" s="6"/>
      <c r="E955" s="6"/>
      <c r="F955" s="6"/>
      <c r="G955" s="6"/>
      <c r="H955" s="6"/>
      <c r="I955" s="6"/>
      <c r="J955" s="6"/>
      <c r="K955" s="6"/>
      <c r="L955" s="6"/>
      <c r="M955" s="6"/>
      <c r="N955" s="6"/>
      <c r="O955" s="6"/>
      <c r="P955" s="6"/>
    </row>
    <row r="956" spans="1:16">
      <c r="A956" s="82"/>
      <c r="B956" s="82"/>
      <c r="C956" s="83"/>
      <c r="D956" s="6"/>
      <c r="E956" s="6"/>
      <c r="F956" s="6"/>
      <c r="G956" s="6"/>
      <c r="H956" s="6"/>
      <c r="I956" s="6"/>
      <c r="J956" s="6"/>
      <c r="K956" s="6"/>
      <c r="L956" s="6"/>
      <c r="M956" s="6"/>
      <c r="N956" s="6"/>
      <c r="O956" s="6"/>
      <c r="P956" s="6"/>
    </row>
    <row r="957" spans="1:16">
      <c r="A957" s="82"/>
      <c r="B957" s="82"/>
      <c r="C957" s="83"/>
      <c r="D957" s="6"/>
      <c r="E957" s="6"/>
      <c r="F957" s="6"/>
      <c r="G957" s="6"/>
      <c r="H957" s="6"/>
      <c r="I957" s="6"/>
      <c r="J957" s="6"/>
      <c r="K957" s="6"/>
      <c r="L957" s="6"/>
      <c r="M957" s="6"/>
      <c r="N957" s="6"/>
      <c r="O957" s="6"/>
      <c r="P957" s="6"/>
    </row>
    <row r="958" spans="1:16">
      <c r="A958" s="82"/>
      <c r="B958" s="82"/>
      <c r="C958" s="83"/>
      <c r="D958" s="6"/>
      <c r="E958" s="6"/>
      <c r="F958" s="6"/>
      <c r="G958" s="6"/>
      <c r="H958" s="6"/>
      <c r="I958" s="6"/>
      <c r="J958" s="6"/>
      <c r="K958" s="6"/>
      <c r="L958" s="6"/>
      <c r="M958" s="6"/>
      <c r="N958" s="6"/>
      <c r="O958" s="6"/>
      <c r="P958" s="6"/>
    </row>
    <row r="959" spans="1:16">
      <c r="A959" s="82"/>
      <c r="B959" s="82"/>
      <c r="C959" s="83"/>
      <c r="D959" s="6"/>
      <c r="E959" s="6"/>
      <c r="F959" s="6"/>
      <c r="G959" s="6"/>
      <c r="H959" s="6"/>
      <c r="I959" s="6"/>
      <c r="J959" s="6"/>
      <c r="K959" s="6"/>
      <c r="L959" s="6"/>
      <c r="M959" s="6"/>
      <c r="N959" s="6"/>
      <c r="O959" s="6"/>
      <c r="P959" s="6"/>
    </row>
    <row r="960" spans="1:16">
      <c r="A960" s="82"/>
      <c r="B960" s="82"/>
      <c r="C960" s="83"/>
      <c r="D960" s="6"/>
      <c r="E960" s="6"/>
      <c r="F960" s="6"/>
      <c r="G960" s="6"/>
      <c r="H960" s="6"/>
      <c r="I960" s="6"/>
      <c r="J960" s="6"/>
      <c r="K960" s="6"/>
      <c r="L960" s="6"/>
      <c r="M960" s="6"/>
      <c r="N960" s="6"/>
      <c r="O960" s="6"/>
      <c r="P960" s="6"/>
    </row>
    <row r="961" spans="1:16">
      <c r="A961" s="82"/>
      <c r="B961" s="82"/>
      <c r="C961" s="83"/>
      <c r="D961" s="6"/>
      <c r="E961" s="6"/>
      <c r="F961" s="6"/>
      <c r="G961" s="6"/>
      <c r="H961" s="6"/>
      <c r="I961" s="6"/>
      <c r="J961" s="6"/>
      <c r="K961" s="6"/>
      <c r="L961" s="6"/>
      <c r="M961" s="6"/>
      <c r="N961" s="6"/>
      <c r="O961" s="6"/>
      <c r="P961" s="6"/>
    </row>
    <row r="962" spans="1:16">
      <c r="A962" s="82"/>
      <c r="B962" s="82"/>
      <c r="C962" s="83"/>
      <c r="D962" s="6"/>
      <c r="E962" s="6"/>
      <c r="F962" s="6"/>
      <c r="G962" s="6"/>
      <c r="H962" s="6"/>
      <c r="I962" s="6"/>
      <c r="J962" s="6"/>
      <c r="K962" s="6"/>
      <c r="L962" s="6"/>
      <c r="M962" s="6"/>
      <c r="N962" s="6"/>
      <c r="O962" s="6"/>
      <c r="P962" s="6"/>
    </row>
    <row r="963" spans="1:16">
      <c r="A963" s="82"/>
      <c r="B963" s="82"/>
      <c r="C963" s="83"/>
      <c r="D963" s="6"/>
      <c r="E963" s="6"/>
      <c r="F963" s="6"/>
      <c r="G963" s="6"/>
      <c r="H963" s="6"/>
      <c r="I963" s="6"/>
      <c r="J963" s="6"/>
      <c r="K963" s="6"/>
      <c r="L963" s="6"/>
      <c r="M963" s="6"/>
      <c r="N963" s="6"/>
      <c r="O963" s="6"/>
      <c r="P963" s="6"/>
    </row>
    <row r="964" spans="1:16">
      <c r="A964" s="82"/>
      <c r="B964" s="82"/>
      <c r="C964" s="83"/>
      <c r="D964" s="6"/>
      <c r="E964" s="6"/>
      <c r="F964" s="6"/>
      <c r="G964" s="6"/>
      <c r="H964" s="6"/>
      <c r="I964" s="6"/>
      <c r="J964" s="6"/>
      <c r="K964" s="6"/>
      <c r="L964" s="6"/>
      <c r="M964" s="6"/>
      <c r="N964" s="6"/>
      <c r="O964" s="6"/>
      <c r="P964" s="6"/>
    </row>
    <row r="965" spans="1:16">
      <c r="A965" s="82"/>
      <c r="B965" s="82"/>
      <c r="C965" s="83"/>
      <c r="D965" s="6"/>
      <c r="E965" s="6"/>
      <c r="F965" s="6"/>
      <c r="G965" s="6"/>
      <c r="H965" s="6"/>
      <c r="I965" s="6"/>
      <c r="J965" s="6"/>
      <c r="K965" s="6"/>
      <c r="L965" s="6"/>
      <c r="M965" s="6"/>
      <c r="N965" s="6"/>
      <c r="O965" s="6"/>
      <c r="P965" s="6"/>
    </row>
    <row r="966" spans="1:16">
      <c r="A966" s="82"/>
      <c r="B966" s="82"/>
      <c r="C966" s="83"/>
      <c r="D966" s="6"/>
      <c r="E966" s="6"/>
      <c r="F966" s="6"/>
      <c r="G966" s="6"/>
      <c r="H966" s="6"/>
      <c r="I966" s="6"/>
      <c r="J966" s="6"/>
      <c r="K966" s="6"/>
      <c r="L966" s="6"/>
      <c r="M966" s="6"/>
      <c r="N966" s="6"/>
      <c r="O966" s="6"/>
      <c r="P966" s="6"/>
    </row>
    <row r="967" spans="1:16">
      <c r="A967" s="82"/>
      <c r="B967" s="82"/>
      <c r="C967" s="83"/>
      <c r="D967" s="6"/>
      <c r="E967" s="6"/>
      <c r="F967" s="6"/>
      <c r="G967" s="6"/>
      <c r="H967" s="6"/>
      <c r="I967" s="6"/>
      <c r="J967" s="6"/>
      <c r="K967" s="6"/>
      <c r="L967" s="6"/>
      <c r="M967" s="6"/>
      <c r="N967" s="6"/>
      <c r="O967" s="6"/>
      <c r="P967" s="6"/>
    </row>
    <row r="968" spans="1:16">
      <c r="A968" s="82"/>
      <c r="B968" s="82"/>
      <c r="C968" s="83"/>
      <c r="D968" s="6"/>
      <c r="E968" s="6"/>
      <c r="F968" s="6"/>
      <c r="G968" s="6"/>
      <c r="H968" s="6"/>
      <c r="I968" s="6"/>
      <c r="J968" s="6"/>
      <c r="K968" s="6"/>
      <c r="L968" s="6"/>
      <c r="M968" s="6"/>
      <c r="N968" s="6"/>
      <c r="O968" s="6"/>
      <c r="P968" s="6"/>
    </row>
    <row r="969" spans="1:16">
      <c r="A969" s="82"/>
      <c r="B969" s="82"/>
      <c r="C969" s="83"/>
      <c r="D969" s="6"/>
      <c r="E969" s="6"/>
      <c r="F969" s="6"/>
      <c r="G969" s="6"/>
      <c r="H969" s="6"/>
      <c r="I969" s="6"/>
      <c r="J969" s="6"/>
      <c r="K969" s="6"/>
      <c r="L969" s="6"/>
      <c r="M969" s="6"/>
      <c r="N969" s="6"/>
      <c r="O969" s="6"/>
      <c r="P969" s="6"/>
    </row>
    <row r="970" spans="1:16">
      <c r="A970" s="82"/>
      <c r="B970" s="82"/>
      <c r="C970" s="83"/>
      <c r="D970" s="6"/>
      <c r="E970" s="6"/>
      <c r="F970" s="6"/>
      <c r="G970" s="6"/>
      <c r="H970" s="6"/>
      <c r="I970" s="6"/>
      <c r="J970" s="6"/>
      <c r="K970" s="6"/>
      <c r="L970" s="6"/>
      <c r="M970" s="6"/>
      <c r="N970" s="6"/>
      <c r="O970" s="6"/>
      <c r="P970" s="6"/>
    </row>
    <row r="971" spans="1:16">
      <c r="A971" s="82"/>
      <c r="B971" s="82"/>
      <c r="C971" s="83"/>
      <c r="D971" s="6"/>
      <c r="E971" s="6"/>
      <c r="F971" s="6"/>
      <c r="G971" s="6"/>
      <c r="H971" s="6"/>
      <c r="I971" s="6"/>
      <c r="J971" s="6"/>
      <c r="K971" s="6"/>
      <c r="L971" s="6"/>
      <c r="M971" s="6"/>
      <c r="N971" s="6"/>
      <c r="O971" s="6"/>
      <c r="P971" s="6"/>
    </row>
    <row r="972" spans="1:16">
      <c r="A972" s="82"/>
      <c r="B972" s="82"/>
      <c r="C972" s="83"/>
      <c r="D972" s="6"/>
      <c r="E972" s="6"/>
      <c r="F972" s="6"/>
      <c r="G972" s="6"/>
      <c r="H972" s="6"/>
      <c r="I972" s="6"/>
      <c r="J972" s="6"/>
      <c r="K972" s="6"/>
      <c r="L972" s="6"/>
      <c r="M972" s="6"/>
      <c r="N972" s="6"/>
      <c r="O972" s="6"/>
      <c r="P972" s="6"/>
    </row>
    <row r="973" spans="1:16">
      <c r="A973" s="82"/>
      <c r="B973" s="82"/>
      <c r="C973" s="83"/>
      <c r="D973" s="6"/>
      <c r="E973" s="6"/>
      <c r="F973" s="6"/>
      <c r="G973" s="6"/>
      <c r="H973" s="6"/>
      <c r="I973" s="6"/>
      <c r="J973" s="6"/>
      <c r="K973" s="6"/>
      <c r="L973" s="6"/>
      <c r="M973" s="6"/>
      <c r="N973" s="6"/>
      <c r="O973" s="6"/>
      <c r="P973" s="6"/>
    </row>
    <row r="974" spans="1:16">
      <c r="A974" s="82"/>
      <c r="B974" s="82"/>
      <c r="C974" s="83"/>
      <c r="D974" s="6"/>
      <c r="E974" s="6"/>
      <c r="F974" s="6"/>
      <c r="G974" s="6"/>
      <c r="H974" s="6"/>
      <c r="I974" s="6"/>
      <c r="J974" s="6"/>
      <c r="K974" s="6"/>
      <c r="L974" s="6"/>
      <c r="M974" s="6"/>
      <c r="N974" s="6"/>
      <c r="O974" s="6"/>
      <c r="P974" s="6"/>
    </row>
    <row r="975" spans="1:16">
      <c r="A975" s="82"/>
      <c r="B975" s="82"/>
      <c r="C975" s="83"/>
      <c r="D975" s="6"/>
      <c r="E975" s="6"/>
      <c r="F975" s="6"/>
      <c r="G975" s="6"/>
      <c r="H975" s="6"/>
      <c r="I975" s="6"/>
      <c r="J975" s="6"/>
      <c r="K975" s="6"/>
      <c r="L975" s="6"/>
      <c r="M975" s="6"/>
      <c r="N975" s="6"/>
      <c r="O975" s="6"/>
      <c r="P975" s="6"/>
    </row>
    <row r="976" spans="1:16">
      <c r="A976" s="82"/>
      <c r="B976" s="82"/>
      <c r="C976" s="83"/>
      <c r="D976" s="6"/>
      <c r="E976" s="6"/>
      <c r="F976" s="6"/>
      <c r="G976" s="6"/>
      <c r="H976" s="6"/>
      <c r="I976" s="6"/>
      <c r="J976" s="6"/>
      <c r="K976" s="6"/>
      <c r="L976" s="6"/>
      <c r="M976" s="6"/>
      <c r="N976" s="6"/>
      <c r="O976" s="6"/>
      <c r="P976" s="6"/>
    </row>
    <row r="977" spans="1:16">
      <c r="A977" s="82"/>
      <c r="B977" s="82"/>
      <c r="C977" s="83"/>
      <c r="D977" s="6"/>
      <c r="E977" s="6"/>
      <c r="F977" s="6"/>
      <c r="G977" s="6"/>
      <c r="H977" s="6"/>
      <c r="I977" s="6"/>
      <c r="J977" s="6"/>
      <c r="K977" s="6"/>
      <c r="L977" s="6"/>
      <c r="M977" s="6"/>
      <c r="N977" s="6"/>
      <c r="O977" s="6"/>
      <c r="P977" s="6"/>
    </row>
    <row r="978" spans="1:16">
      <c r="A978" s="82"/>
      <c r="B978" s="82"/>
      <c r="C978" s="83"/>
      <c r="D978" s="6"/>
      <c r="E978" s="6"/>
      <c r="F978" s="6"/>
      <c r="G978" s="6"/>
      <c r="H978" s="6"/>
      <c r="I978" s="6"/>
      <c r="J978" s="6"/>
      <c r="K978" s="6"/>
      <c r="L978" s="6"/>
      <c r="M978" s="6"/>
      <c r="N978" s="6"/>
      <c r="O978" s="6"/>
      <c r="P978" s="6"/>
    </row>
    <row r="979" spans="1:16">
      <c r="A979" s="82"/>
      <c r="B979" s="82"/>
      <c r="C979" s="83"/>
      <c r="D979" s="6"/>
      <c r="E979" s="6"/>
      <c r="F979" s="6"/>
      <c r="G979" s="6"/>
      <c r="H979" s="6"/>
      <c r="I979" s="6"/>
      <c r="J979" s="6"/>
      <c r="K979" s="6"/>
      <c r="L979" s="6"/>
      <c r="M979" s="6"/>
      <c r="N979" s="6"/>
      <c r="O979" s="6"/>
      <c r="P979" s="6"/>
    </row>
    <row r="980" spans="1:16">
      <c r="A980" s="82"/>
      <c r="B980" s="82"/>
      <c r="C980" s="83"/>
      <c r="D980" s="6"/>
      <c r="E980" s="6"/>
      <c r="F980" s="6"/>
      <c r="G980" s="6"/>
      <c r="H980" s="6"/>
      <c r="I980" s="6"/>
      <c r="J980" s="6"/>
      <c r="K980" s="6"/>
      <c r="L980" s="6"/>
      <c r="M980" s="6"/>
      <c r="N980" s="6"/>
      <c r="O980" s="6"/>
      <c r="P980" s="6"/>
    </row>
    <row r="981" spans="1:16">
      <c r="A981" s="82"/>
      <c r="B981" s="82"/>
      <c r="C981" s="83"/>
      <c r="D981" s="6"/>
      <c r="E981" s="6"/>
      <c r="F981" s="6"/>
      <c r="G981" s="6"/>
      <c r="H981" s="6"/>
      <c r="I981" s="6"/>
      <c r="J981" s="6"/>
      <c r="K981" s="6"/>
      <c r="L981" s="6"/>
      <c r="M981" s="6"/>
      <c r="N981" s="6"/>
      <c r="O981" s="6"/>
      <c r="P981" s="6"/>
    </row>
    <row r="982" spans="1:16">
      <c r="A982" s="82"/>
      <c r="B982" s="82"/>
      <c r="C982" s="83"/>
      <c r="D982" s="6"/>
      <c r="E982" s="6"/>
      <c r="F982" s="6"/>
      <c r="G982" s="6"/>
      <c r="H982" s="6"/>
      <c r="I982" s="6"/>
      <c r="J982" s="6"/>
      <c r="K982" s="6"/>
      <c r="L982" s="6"/>
      <c r="M982" s="6"/>
      <c r="N982" s="6"/>
      <c r="O982" s="6"/>
      <c r="P982" s="6"/>
    </row>
    <row r="983" spans="1:16">
      <c r="A983" s="82"/>
      <c r="B983" s="82"/>
      <c r="C983" s="83"/>
      <c r="D983" s="6"/>
      <c r="E983" s="6"/>
      <c r="F983" s="6"/>
      <c r="G983" s="6"/>
      <c r="H983" s="6"/>
      <c r="I983" s="6"/>
      <c r="J983" s="6"/>
      <c r="K983" s="6"/>
      <c r="L983" s="6"/>
      <c r="M983" s="6"/>
      <c r="N983" s="6"/>
      <c r="O983" s="6"/>
      <c r="P983" s="6"/>
    </row>
    <row r="984" spans="1:16">
      <c r="A984" s="82"/>
      <c r="B984" s="82"/>
      <c r="C984" s="83"/>
      <c r="D984" s="6"/>
      <c r="E984" s="6"/>
      <c r="F984" s="6"/>
      <c r="G984" s="6"/>
      <c r="H984" s="6"/>
      <c r="I984" s="6"/>
      <c r="J984" s="6"/>
      <c r="K984" s="6"/>
      <c r="L984" s="6"/>
      <c r="M984" s="6"/>
      <c r="N984" s="6"/>
      <c r="O984" s="6"/>
      <c r="P984" s="6"/>
    </row>
    <row r="985" spans="1:16">
      <c r="A985" s="82"/>
      <c r="B985" s="82"/>
      <c r="C985" s="83"/>
      <c r="D985" s="6"/>
      <c r="E985" s="6"/>
      <c r="F985" s="6"/>
      <c r="G985" s="6"/>
      <c r="H985" s="6"/>
      <c r="I985" s="6"/>
      <c r="J985" s="6"/>
      <c r="K985" s="6"/>
      <c r="L985" s="6"/>
      <c r="M985" s="6"/>
      <c r="N985" s="6"/>
      <c r="O985" s="6"/>
      <c r="P985" s="6"/>
    </row>
    <row r="986" spans="1:16">
      <c r="A986" s="82"/>
      <c r="B986" s="82"/>
      <c r="C986" s="83"/>
      <c r="D986" s="6"/>
      <c r="E986" s="6"/>
      <c r="F986" s="6"/>
      <c r="G986" s="6"/>
      <c r="H986" s="6"/>
      <c r="I986" s="6"/>
      <c r="J986" s="6"/>
      <c r="K986" s="6"/>
      <c r="L986" s="6"/>
      <c r="M986" s="6"/>
      <c r="N986" s="6"/>
      <c r="O986" s="6"/>
      <c r="P986" s="6"/>
    </row>
    <row r="987" spans="1:16">
      <c r="A987" s="82"/>
      <c r="B987" s="82"/>
      <c r="C987" s="83"/>
      <c r="D987" s="6"/>
      <c r="E987" s="6"/>
      <c r="F987" s="6"/>
      <c r="G987" s="6"/>
      <c r="H987" s="6"/>
      <c r="I987" s="6"/>
      <c r="J987" s="6"/>
      <c r="K987" s="6"/>
      <c r="L987" s="6"/>
      <c r="M987" s="6"/>
      <c r="N987" s="6"/>
      <c r="O987" s="6"/>
      <c r="P987" s="6"/>
    </row>
    <row r="988" spans="1:16">
      <c r="A988" s="82"/>
      <c r="B988" s="82"/>
      <c r="C988" s="83"/>
      <c r="D988" s="6"/>
      <c r="E988" s="6"/>
      <c r="F988" s="6"/>
      <c r="G988" s="6"/>
      <c r="H988" s="6"/>
      <c r="I988" s="6"/>
      <c r="J988" s="6"/>
      <c r="K988" s="6"/>
      <c r="L988" s="6"/>
      <c r="M988" s="6"/>
      <c r="N988" s="6"/>
      <c r="O988" s="6"/>
      <c r="P988" s="6"/>
    </row>
    <row r="989" spans="1:16">
      <c r="A989" s="82"/>
      <c r="B989" s="82"/>
      <c r="C989" s="83"/>
      <c r="D989" s="6"/>
      <c r="E989" s="6"/>
      <c r="F989" s="6"/>
      <c r="G989" s="6"/>
      <c r="H989" s="6"/>
      <c r="I989" s="6"/>
      <c r="J989" s="6"/>
      <c r="K989" s="6"/>
      <c r="L989" s="6"/>
      <c r="M989" s="6"/>
      <c r="N989" s="6"/>
      <c r="O989" s="6"/>
      <c r="P989" s="6"/>
    </row>
    <row r="990" spans="1:16">
      <c r="A990" s="82"/>
      <c r="B990" s="82"/>
      <c r="C990" s="83"/>
      <c r="D990" s="6"/>
      <c r="E990" s="6"/>
      <c r="F990" s="6"/>
      <c r="G990" s="6"/>
      <c r="H990" s="6"/>
      <c r="I990" s="6"/>
      <c r="J990" s="6"/>
      <c r="K990" s="6"/>
      <c r="L990" s="6"/>
      <c r="M990" s="6"/>
      <c r="N990" s="6"/>
      <c r="O990" s="6"/>
      <c r="P990" s="6"/>
    </row>
    <row r="991" spans="1:16">
      <c r="A991" s="82"/>
      <c r="B991" s="82"/>
      <c r="C991" s="83"/>
      <c r="D991" s="6"/>
      <c r="E991" s="6"/>
      <c r="F991" s="6"/>
      <c r="G991" s="6"/>
      <c r="H991" s="6"/>
      <c r="I991" s="6"/>
      <c r="J991" s="6"/>
      <c r="K991" s="6"/>
      <c r="L991" s="6"/>
      <c r="M991" s="6"/>
      <c r="N991" s="6"/>
      <c r="O991" s="6"/>
      <c r="P991" s="6"/>
    </row>
    <row r="992" spans="1:16">
      <c r="A992" s="82"/>
      <c r="B992" s="82"/>
      <c r="C992" s="83"/>
      <c r="D992" s="6"/>
      <c r="E992" s="6"/>
      <c r="F992" s="6"/>
      <c r="G992" s="6"/>
      <c r="H992" s="6"/>
      <c r="I992" s="6"/>
      <c r="J992" s="6"/>
      <c r="K992" s="6"/>
      <c r="L992" s="6"/>
      <c r="M992" s="6"/>
      <c r="N992" s="6"/>
      <c r="O992" s="6"/>
      <c r="P992" s="6"/>
    </row>
    <row r="993" spans="1:16">
      <c r="A993" s="82"/>
      <c r="B993" s="82"/>
      <c r="C993" s="83"/>
      <c r="D993" s="6"/>
      <c r="E993" s="6"/>
      <c r="F993" s="6"/>
      <c r="G993" s="6"/>
      <c r="H993" s="6"/>
      <c r="I993" s="6"/>
      <c r="J993" s="6"/>
      <c r="K993" s="6"/>
      <c r="L993" s="6"/>
      <c r="M993" s="6"/>
      <c r="N993" s="6"/>
      <c r="O993" s="6"/>
      <c r="P993" s="6"/>
    </row>
    <row r="994" spans="1:16">
      <c r="A994" s="82"/>
      <c r="B994" s="82"/>
      <c r="C994" s="83"/>
      <c r="D994" s="6"/>
      <c r="E994" s="6"/>
      <c r="F994" s="6"/>
      <c r="G994" s="6"/>
      <c r="H994" s="6"/>
      <c r="I994" s="6"/>
      <c r="J994" s="6"/>
      <c r="K994" s="6"/>
      <c r="L994" s="6"/>
      <c r="M994" s="6"/>
      <c r="N994" s="6"/>
      <c r="O994" s="6"/>
      <c r="P994" s="6"/>
    </row>
    <row r="995" spans="1:16">
      <c r="A995" s="82"/>
      <c r="B995" s="82"/>
      <c r="C995" s="83"/>
      <c r="D995" s="6"/>
      <c r="E995" s="6"/>
      <c r="F995" s="6"/>
      <c r="G995" s="6"/>
      <c r="H995" s="6"/>
      <c r="I995" s="6"/>
      <c r="J995" s="6"/>
      <c r="K995" s="6"/>
      <c r="L995" s="6"/>
      <c r="M995" s="6"/>
      <c r="N995" s="6"/>
      <c r="O995" s="6"/>
      <c r="P995" s="6"/>
    </row>
    <row r="996" spans="1:16">
      <c r="A996" s="82"/>
      <c r="B996" s="82"/>
      <c r="C996" s="83"/>
      <c r="D996" s="6"/>
      <c r="E996" s="6"/>
      <c r="F996" s="6"/>
      <c r="G996" s="6"/>
      <c r="H996" s="6"/>
      <c r="I996" s="6"/>
      <c r="J996" s="6"/>
      <c r="K996" s="6"/>
      <c r="L996" s="6"/>
      <c r="M996" s="6"/>
      <c r="N996" s="6"/>
      <c r="O996" s="6"/>
      <c r="P996" s="6"/>
    </row>
    <row r="997" spans="1:16">
      <c r="A997" s="82"/>
      <c r="B997" s="82"/>
      <c r="C997" s="83"/>
      <c r="D997" s="6"/>
      <c r="E997" s="6"/>
      <c r="F997" s="6"/>
      <c r="G997" s="6"/>
      <c r="H997" s="6"/>
      <c r="I997" s="6"/>
      <c r="J997" s="6"/>
      <c r="K997" s="6"/>
      <c r="L997" s="6"/>
      <c r="M997" s="6"/>
      <c r="N997" s="6"/>
      <c r="O997" s="6"/>
      <c r="P997" s="6"/>
    </row>
    <row r="998" spans="1:16">
      <c r="A998" s="82"/>
      <c r="B998" s="82"/>
      <c r="C998" s="83"/>
      <c r="D998" s="6"/>
      <c r="E998" s="6"/>
      <c r="F998" s="6"/>
      <c r="G998" s="6"/>
      <c r="H998" s="6"/>
      <c r="I998" s="6"/>
      <c r="J998" s="6"/>
      <c r="K998" s="6"/>
      <c r="L998" s="6"/>
      <c r="M998" s="6"/>
      <c r="N998" s="6"/>
      <c r="O998" s="6"/>
      <c r="P998" s="6"/>
    </row>
    <row r="999" spans="1:16">
      <c r="A999" s="82"/>
      <c r="B999" s="82"/>
      <c r="C999" s="83"/>
      <c r="D999" s="6"/>
      <c r="E999" s="6"/>
      <c r="F999" s="6"/>
      <c r="G999" s="6"/>
      <c r="H999" s="6"/>
      <c r="I999" s="6"/>
      <c r="J999" s="6"/>
      <c r="K999" s="6"/>
      <c r="L999" s="6"/>
      <c r="M999" s="6"/>
      <c r="N999" s="6"/>
      <c r="O999" s="6"/>
      <c r="P999" s="6"/>
    </row>
    <row r="1000" spans="1:16">
      <c r="A1000" s="82"/>
      <c r="B1000" s="82"/>
      <c r="C1000" s="83"/>
      <c r="D1000" s="6"/>
      <c r="E1000" s="6"/>
      <c r="F1000" s="6"/>
      <c r="G1000" s="6"/>
      <c r="H1000" s="6"/>
      <c r="I1000" s="6"/>
      <c r="J1000" s="6"/>
      <c r="K1000" s="6"/>
      <c r="L1000" s="6"/>
      <c r="M1000" s="6"/>
      <c r="N1000" s="6"/>
      <c r="O1000" s="6"/>
      <c r="P1000" s="6"/>
    </row>
  </sheetData>
  <mergeCells count="1">
    <mergeCell ref="A39:C39"/>
  </mergeCells>
  <conditionalFormatting sqref="C2:C38">
    <cfRule type="containsBlanks" dxfId="38" priority="1">
      <formula>LEN(TRIM(C2))=0</formula>
    </cfRule>
  </conditionalFormatting>
  <hyperlinks>
    <hyperlink ref="A39" r:id="rId1" xr:uid="{00000000-0004-0000-0100-000000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EA9999"/>
  </sheetPr>
  <dimension ref="A1:S1009"/>
  <sheetViews>
    <sheetView workbookViewId="0">
      <pane ySplit="2" topLeftCell="A3" activePane="bottomLeft" state="frozen"/>
      <selection pane="bottomLeft" activeCell="A50" sqref="A50"/>
    </sheetView>
  </sheetViews>
  <sheetFormatPr baseColWidth="10" defaultColWidth="14.5" defaultRowHeight="15" customHeight="1"/>
  <cols>
    <col min="1" max="1" width="70.33203125" customWidth="1"/>
    <col min="2" max="2" width="23.5" customWidth="1"/>
    <col min="3" max="3" width="14.83203125" customWidth="1"/>
    <col min="4" max="4" width="17" customWidth="1"/>
    <col min="5" max="5" width="16" customWidth="1"/>
    <col min="6" max="6" width="17.5" customWidth="1"/>
    <col min="7" max="7" width="14.5" customWidth="1"/>
    <col min="8" max="8" width="13.33203125" customWidth="1"/>
    <col min="9" max="19" width="8.6640625" customWidth="1"/>
  </cols>
  <sheetData>
    <row r="1" spans="1:19">
      <c r="A1" s="107" t="s">
        <v>218</v>
      </c>
      <c r="B1" s="294" t="s">
        <v>219</v>
      </c>
      <c r="C1" s="296" t="s">
        <v>220</v>
      </c>
      <c r="D1" s="296" t="s">
        <v>221</v>
      </c>
      <c r="E1" s="294" t="s">
        <v>222</v>
      </c>
      <c r="F1" s="294" t="s">
        <v>223</v>
      </c>
      <c r="G1" s="294" t="s">
        <v>224</v>
      </c>
      <c r="H1" s="296" t="s">
        <v>3</v>
      </c>
      <c r="I1" s="6"/>
      <c r="J1" s="6"/>
      <c r="K1" s="6"/>
      <c r="L1" s="6"/>
      <c r="M1" s="6"/>
      <c r="N1" s="6"/>
      <c r="O1" s="6"/>
      <c r="P1" s="6"/>
      <c r="Q1" s="6"/>
      <c r="R1" s="6"/>
      <c r="S1" s="6"/>
    </row>
    <row r="2" spans="1:19">
      <c r="A2" s="8" t="s">
        <v>10</v>
      </c>
      <c r="B2" s="295"/>
      <c r="C2" s="295"/>
      <c r="D2" s="295"/>
      <c r="E2" s="295"/>
      <c r="F2" s="295"/>
      <c r="G2" s="295"/>
      <c r="H2" s="295"/>
      <c r="I2" s="6"/>
      <c r="J2" s="6"/>
      <c r="K2" s="6"/>
      <c r="L2" s="6"/>
      <c r="M2" s="6"/>
      <c r="N2" s="6"/>
      <c r="O2" s="6"/>
      <c r="P2" s="6"/>
      <c r="Q2" s="6"/>
      <c r="R2" s="6"/>
      <c r="S2" s="6"/>
    </row>
    <row r="3" spans="1:19">
      <c r="A3" s="108" t="s">
        <v>225</v>
      </c>
      <c r="B3" s="109" t="s">
        <v>21</v>
      </c>
      <c r="C3" s="110" t="str">
        <f>IF(COUNTIFS('MSCS Review Responses'!$B$2:$B$609,$A3,'MSCS Review Responses'!A$2:A$609,"&lt;&gt;")&gt;0, COUNTIFS('MSCS Review Responses'!$B$2:$B$609,$A3,'MSCS Review Responses'!A$2:A$609,"&lt;&gt;")&amp;" reviews", "NA")</f>
        <v>22 reviews</v>
      </c>
      <c r="D3" s="111">
        <f>IFERROR(AVERAGEIF('MSCS Review Responses'!$B$2:$B$609,A3,'MSCS Review Responses'!$C$2:$C$609),"NA")</f>
        <v>4.8181818181818183</v>
      </c>
      <c r="E3" s="111">
        <f>IFERROR(AVERAGEIF('MSCS Review Responses'!$B$2:$B$609,$A3,'MSCS Review Responses'!$D$2:$D$609),"NA")</f>
        <v>3.7727272727272729</v>
      </c>
      <c r="F3" s="111">
        <f>IFERROR(AVERAGEIF('MSCS Review Responses'!$B$2:$B$609,$A3,'MSCS Review Responses'!$E$2:$E$609),"NA")</f>
        <v>4.7727272727272725</v>
      </c>
      <c r="G3" s="111">
        <f>IFERROR(AVERAGEIF('MSCS Review Responses'!$B$2:$B$609,$A3,'MSCS Review Responses'!$F$2:$F$609),"NA")</f>
        <v>42.909090909090907</v>
      </c>
      <c r="H3" s="112">
        <v>37</v>
      </c>
      <c r="I3" s="87"/>
      <c r="J3" s="6"/>
      <c r="K3" s="6"/>
      <c r="L3" s="6"/>
      <c r="M3" s="6"/>
      <c r="N3" s="6"/>
      <c r="O3" s="6"/>
      <c r="P3" s="6"/>
      <c r="Q3" s="6"/>
      <c r="R3" s="6"/>
      <c r="S3" s="6"/>
    </row>
    <row r="4" spans="1:19">
      <c r="A4" s="113" t="s">
        <v>226</v>
      </c>
      <c r="B4" s="114" t="s">
        <v>21</v>
      </c>
      <c r="C4" s="115" t="str">
        <f>IF(COUNTIFS('MSCS Review Responses'!$B$2:$B$609,$A4,'MSCS Review Responses'!A$2:A$609,"&lt;&gt;")&gt;0, COUNTIFS('MSCS Review Responses'!$B$2:$B$609,$A4,'MSCS Review Responses'!A$2:A$609,"&lt;&gt;")&amp;" reviews", "NA")</f>
        <v>19 reviews</v>
      </c>
      <c r="D4" s="116">
        <f>IFERROR(AVERAGEIF('MSCS Review Responses'!$B$2:$B$609,A4,'MSCS Review Responses'!$C$2:$C$609),"NA")</f>
        <v>4.2631578947368425</v>
      </c>
      <c r="E4" s="116">
        <f>IFERROR(AVERAGEIF('MSCS Review Responses'!$B$2:$B$609,$A4,'MSCS Review Responses'!$D$2:$D$609),"NA")</f>
        <v>3.9473684210526314</v>
      </c>
      <c r="F4" s="116">
        <f>IFERROR(AVERAGEIF('MSCS Review Responses'!$B$2:$B$609,$A4,'MSCS Review Responses'!$E$2:$E$609),"NA")</f>
        <v>4.3157894736842106</v>
      </c>
      <c r="G4" s="116">
        <f>IFERROR(AVERAGEIF('MSCS Review Responses'!$B$2:$B$609,$A4,'MSCS Review Responses'!$F$2:$F$609),"NA")</f>
        <v>37.315789473684212</v>
      </c>
      <c r="H4" s="117">
        <v>48</v>
      </c>
      <c r="I4" s="87"/>
      <c r="J4" s="6"/>
      <c r="K4" s="6"/>
      <c r="L4" s="6"/>
      <c r="M4" s="6"/>
      <c r="N4" s="6"/>
      <c r="O4" s="6"/>
      <c r="P4" s="6"/>
      <c r="Q4" s="6"/>
      <c r="R4" s="6"/>
      <c r="S4" s="6"/>
    </row>
    <row r="5" spans="1:19">
      <c r="A5" s="118" t="s">
        <v>227</v>
      </c>
      <c r="B5" s="119" t="s">
        <v>21</v>
      </c>
      <c r="C5" s="120" t="str">
        <f>IF(COUNTIFS('MSCS Review Responses'!$B$2:$B$609,$A5,'MSCS Review Responses'!A$2:A$609,"&lt;&gt;")&gt;0, COUNTIFS('MSCS Review Responses'!$B$2:$B$609,$A5,'MSCS Review Responses'!A$2:A$609,"&lt;&gt;")&amp;" reviews", "NA")</f>
        <v>13 reviews</v>
      </c>
      <c r="D5" s="121">
        <f>IFERROR(AVERAGEIF('MSCS Review Responses'!$B$2:$B$609,A5,'MSCS Review Responses'!$C$2:$C$609),"NA")</f>
        <v>4.1538461538461542</v>
      </c>
      <c r="E5" s="121">
        <f>IFERROR(AVERAGEIF('MSCS Review Responses'!$B$2:$B$609,$A5,'MSCS Review Responses'!$D$2:$D$609),"NA")</f>
        <v>4.6923076923076925</v>
      </c>
      <c r="F5" s="121">
        <f>IFERROR(AVERAGEIF('MSCS Review Responses'!$B$2:$B$609,$A5,'MSCS Review Responses'!$E$2:$E$609),"NA")</f>
        <v>4.3076923076923075</v>
      </c>
      <c r="G5" s="121">
        <f>IFERROR(AVERAGEIF('MSCS Review Responses'!$B$2:$B$609,$A5,'MSCS Review Responses'!$F$2:$F$609),"NA")</f>
        <v>45.53846153846154</v>
      </c>
      <c r="H5" s="122" t="s">
        <v>45</v>
      </c>
      <c r="I5" s="87"/>
      <c r="J5" s="6"/>
      <c r="K5" s="6"/>
      <c r="L5" s="6"/>
      <c r="M5" s="6"/>
      <c r="N5" s="6"/>
      <c r="O5" s="6"/>
      <c r="P5" s="6"/>
      <c r="Q5" s="6"/>
      <c r="R5" s="6"/>
      <c r="S5" s="6"/>
    </row>
    <row r="6" spans="1:19">
      <c r="A6" s="123" t="s">
        <v>228</v>
      </c>
      <c r="B6" s="124" t="s">
        <v>34</v>
      </c>
      <c r="C6" s="110" t="str">
        <f>IF(COUNTIFS('MSCS Review Responses'!$B$2:$B$609,$A6,'MSCS Review Responses'!A$2:A$609,"&lt;&gt;")&gt;0, COUNTIFS('MSCS Review Responses'!$B$2:$B$609,$A6,'MSCS Review Responses'!A$2:A$609,"&lt;&gt;")&amp;" reviews", "NA")</f>
        <v>12 reviews</v>
      </c>
      <c r="D6" s="111">
        <f>IFERROR(AVERAGEIF('MSCS Review Responses'!$B$2:$B$609,A6,'MSCS Review Responses'!$C$2:$C$609),"NA")</f>
        <v>4.25</v>
      </c>
      <c r="E6" s="111">
        <f>IFERROR(AVERAGEIF('MSCS Review Responses'!$B$2:$B$609,$A6,'MSCS Review Responses'!$D$2:$D$609),"NA")</f>
        <v>2.5</v>
      </c>
      <c r="F6" s="111">
        <f>IFERROR(AVERAGEIF('MSCS Review Responses'!$B$2:$B$609,$A6,'MSCS Review Responses'!$E$2:$E$609),"NA")</f>
        <v>4</v>
      </c>
      <c r="G6" s="111">
        <f>IFERROR(AVERAGEIF('MSCS Review Responses'!$B$2:$B$609,$A6,'MSCS Review Responses'!$F$2:$F$609),"NA")</f>
        <v>22.25</v>
      </c>
      <c r="H6" s="112">
        <v>19</v>
      </c>
      <c r="I6" s="87"/>
      <c r="J6" s="6"/>
      <c r="K6" s="6"/>
      <c r="L6" s="6"/>
      <c r="M6" s="6"/>
      <c r="N6" s="6"/>
      <c r="O6" s="6"/>
      <c r="P6" s="6"/>
      <c r="Q6" s="6"/>
      <c r="R6" s="6"/>
      <c r="S6" s="6"/>
    </row>
    <row r="7" spans="1:19">
      <c r="A7" s="123" t="s">
        <v>229</v>
      </c>
      <c r="B7" s="124" t="s">
        <v>34</v>
      </c>
      <c r="C7" s="115" t="str">
        <f>IF(COUNTIFS('MSCS Review Responses'!$B$2:$B$609,$A7,'MSCS Review Responses'!A$2:A$609,"&lt;&gt;")&gt;0, COUNTIFS('MSCS Review Responses'!$B$2:$B$609,$A7,'MSCS Review Responses'!A$2:A$609,"&lt;&gt;")&amp;" reviews", "NA")</f>
        <v>7 reviews</v>
      </c>
      <c r="D7" s="116">
        <f>IFERROR(AVERAGEIF('MSCS Review Responses'!$B$2:$B$609,A7,'MSCS Review Responses'!$C$2:$C$609),"NA")</f>
        <v>4.5714285714285712</v>
      </c>
      <c r="E7" s="116">
        <f>IFERROR(AVERAGEIF('MSCS Review Responses'!$B$2:$B$609,$A7,'MSCS Review Responses'!$D$2:$D$609),"NA")</f>
        <v>3.1428571428571428</v>
      </c>
      <c r="F7" s="116">
        <f>IFERROR(AVERAGEIF('MSCS Review Responses'!$B$2:$B$609,$A7,'MSCS Review Responses'!$E$2:$E$609),"NA")</f>
        <v>4.1428571428571432</v>
      </c>
      <c r="G7" s="116">
        <f>IFERROR(AVERAGEIF('MSCS Review Responses'!$B$2:$B$609,$A7,'MSCS Review Responses'!$F$2:$F$609),"NA")</f>
        <v>26.714285714285715</v>
      </c>
      <c r="H7" s="117">
        <v>17</v>
      </c>
      <c r="I7" s="87"/>
      <c r="J7" s="6"/>
      <c r="K7" s="6"/>
      <c r="L7" s="6"/>
      <c r="M7" s="6"/>
      <c r="N7" s="6"/>
      <c r="O7" s="6"/>
      <c r="P7" s="6"/>
      <c r="Q7" s="6"/>
      <c r="R7" s="6"/>
      <c r="S7" s="6"/>
    </row>
    <row r="8" spans="1:19">
      <c r="A8" s="123" t="s">
        <v>230</v>
      </c>
      <c r="B8" s="124" t="s">
        <v>34</v>
      </c>
      <c r="C8" s="120" t="str">
        <f>IF(COUNTIFS('MSCS Review Responses'!$B$2:$B$609,$A8,'MSCS Review Responses'!A$2:A$609,"&lt;&gt;")&gt;0, COUNTIFS('MSCS Review Responses'!$B$2:$B$609,$A8,'MSCS Review Responses'!A$2:A$609,"&lt;&gt;")&amp;" reviews", "NA")</f>
        <v>6 reviews</v>
      </c>
      <c r="D8" s="121">
        <f>IFERROR(AVERAGEIF('MSCS Review Responses'!$B$2:$B$609,A8,'MSCS Review Responses'!$C$2:$C$609),"NA")</f>
        <v>4.333333333333333</v>
      </c>
      <c r="E8" s="121">
        <f>IFERROR(AVERAGEIF('MSCS Review Responses'!$B$2:$B$609,$A8,'MSCS Review Responses'!$D$2:$D$609),"NA")</f>
        <v>2.8333333333333335</v>
      </c>
      <c r="F8" s="121">
        <f>IFERROR(AVERAGEIF('MSCS Review Responses'!$B$2:$B$609,$A8,'MSCS Review Responses'!$E$2:$E$609),"NA")</f>
        <v>4.333333333333333</v>
      </c>
      <c r="G8" s="121">
        <f>IFERROR(AVERAGEIF('MSCS Review Responses'!$B$2:$B$609,$A8,'MSCS Review Responses'!$F$2:$F$609),"NA")</f>
        <v>19.5</v>
      </c>
      <c r="H8" s="122">
        <v>20</v>
      </c>
      <c r="I8" s="87"/>
      <c r="J8" s="6"/>
      <c r="K8" s="6"/>
      <c r="L8" s="6"/>
      <c r="M8" s="6"/>
      <c r="N8" s="6"/>
      <c r="O8" s="6"/>
      <c r="P8" s="6"/>
      <c r="Q8" s="6"/>
      <c r="R8" s="6"/>
      <c r="S8" s="6"/>
    </row>
    <row r="9" spans="1:19">
      <c r="A9" s="108" t="s">
        <v>231</v>
      </c>
      <c r="B9" s="125" t="s">
        <v>48</v>
      </c>
      <c r="C9" s="110" t="str">
        <f>IF(COUNTIFS('MSCS Review Responses'!$B$2:$B$609,$A9,'MSCS Review Responses'!A$2:A$609,"&lt;&gt;")&gt;0, COUNTIFS('MSCS Review Responses'!$B$2:$B$609,$A9,'MSCS Review Responses'!A$2:A$609,"&lt;&gt;")&amp;" reviews", "NA")</f>
        <v>8 reviews</v>
      </c>
      <c r="D9" s="111">
        <f>IFERROR(AVERAGEIF('MSCS Review Responses'!$B$2:$B$609,A9,'MSCS Review Responses'!$C$2:$C$609),"NA")</f>
        <v>3.375</v>
      </c>
      <c r="E9" s="111">
        <f>IFERROR(AVERAGEIF('MSCS Review Responses'!$B$2:$B$609,$A9,'MSCS Review Responses'!$D$2:$D$609),"NA")</f>
        <v>4.5</v>
      </c>
      <c r="F9" s="111">
        <f>IFERROR(AVERAGEIF('MSCS Review Responses'!$B$2:$B$609,$A9,'MSCS Review Responses'!$E$2:$E$609),"NA")</f>
        <v>1.875</v>
      </c>
      <c r="G9" s="111">
        <f>IFERROR(AVERAGEIF('MSCS Review Responses'!$B$2:$B$609,$A9,'MSCS Review Responses'!$F$2:$F$609),"NA")</f>
        <v>40.375</v>
      </c>
      <c r="H9" s="112">
        <v>39</v>
      </c>
      <c r="I9" s="87"/>
      <c r="J9" s="6"/>
      <c r="K9" s="6"/>
      <c r="L9" s="6"/>
      <c r="M9" s="6"/>
      <c r="N9" s="6"/>
      <c r="O9" s="6"/>
      <c r="P9" s="6"/>
      <c r="Q9" s="6"/>
      <c r="R9" s="6"/>
      <c r="S9" s="6"/>
    </row>
    <row r="10" spans="1:19">
      <c r="A10" s="113" t="s">
        <v>232</v>
      </c>
      <c r="B10" s="126" t="s">
        <v>48</v>
      </c>
      <c r="C10" s="115" t="str">
        <f>IF(COUNTIFS('MSCS Review Responses'!$B$2:$B$609,$A10,'MSCS Review Responses'!A$2:A$609,"&lt;&gt;")&gt;0, COUNTIFS('MSCS Review Responses'!$B$2:$B$609,$A10,'MSCS Review Responses'!A$2:A$609,"&lt;&gt;")&amp;" reviews", "NA")</f>
        <v>5 reviews</v>
      </c>
      <c r="D10" s="116">
        <f>IFERROR(AVERAGEIF('MSCS Review Responses'!$B$2:$B$609,A10,'MSCS Review Responses'!$C$2:$C$609),"NA")</f>
        <v>3.8</v>
      </c>
      <c r="E10" s="116">
        <f>IFERROR(AVERAGEIF('MSCS Review Responses'!$B$2:$B$609,$A10,'MSCS Review Responses'!$D$2:$D$609),"NA")</f>
        <v>4.4000000000000004</v>
      </c>
      <c r="F10" s="116">
        <f>IFERROR(AVERAGEIF('MSCS Review Responses'!$B$2:$B$609,$A10,'MSCS Review Responses'!$E$2:$E$609),"NA")</f>
        <v>2.2000000000000002</v>
      </c>
      <c r="G10" s="116">
        <f>IFERROR(AVERAGEIF('MSCS Review Responses'!$B$2:$B$609,$A10,'MSCS Review Responses'!$F$2:$F$609),"NA")</f>
        <v>51</v>
      </c>
      <c r="H10" s="117">
        <v>38</v>
      </c>
      <c r="I10" s="87"/>
      <c r="J10" s="6"/>
      <c r="K10" s="6"/>
      <c r="L10" s="6"/>
      <c r="M10" s="6"/>
      <c r="N10" s="6"/>
      <c r="O10" s="6"/>
      <c r="P10" s="6"/>
      <c r="Q10" s="6"/>
      <c r="R10" s="6"/>
      <c r="S10" s="6"/>
    </row>
    <row r="11" spans="1:19">
      <c r="A11" s="118" t="s">
        <v>233</v>
      </c>
      <c r="B11" s="127" t="s">
        <v>48</v>
      </c>
      <c r="C11" s="120" t="str">
        <f>IF(COUNTIFS('MSCS Review Responses'!$B$2:$B$609,$A11,'MSCS Review Responses'!A$2:A$609,"&lt;&gt;")&gt;0, COUNTIFS('MSCS Review Responses'!$B$2:$B$609,$A11,'MSCS Review Responses'!A$2:A$609,"&lt;&gt;")&amp;" reviews", "NA")</f>
        <v>1 reviews</v>
      </c>
      <c r="D11" s="121">
        <f>IFERROR(AVERAGEIF('MSCS Review Responses'!$B$2:$B$609,A11,'MSCS Review Responses'!$C$2:$C$609),"NA")</f>
        <v>4</v>
      </c>
      <c r="E11" s="121">
        <f>IFERROR(AVERAGEIF('MSCS Review Responses'!$B$2:$B$609,$A11,'MSCS Review Responses'!$D$2:$D$609),"NA")</f>
        <v>5</v>
      </c>
      <c r="F11" s="121">
        <f>IFERROR(AVERAGEIF('MSCS Review Responses'!$B$2:$B$609,$A11,'MSCS Review Responses'!$E$2:$E$609),"NA")</f>
        <v>2</v>
      </c>
      <c r="G11" s="121">
        <f>IFERROR(AVERAGEIF('MSCS Review Responses'!$B$2:$B$609,$A11,'MSCS Review Responses'!$F$2:$F$609),"NA")</f>
        <v>70</v>
      </c>
      <c r="H11" s="122">
        <v>60</v>
      </c>
      <c r="I11" s="87"/>
      <c r="J11" s="6"/>
      <c r="K11" s="6"/>
      <c r="L11" s="6"/>
      <c r="M11" s="6"/>
      <c r="N11" s="6"/>
      <c r="O11" s="6"/>
      <c r="P11" s="6"/>
      <c r="Q11" s="6"/>
      <c r="R11" s="6"/>
      <c r="S11" s="6"/>
    </row>
    <row r="12" spans="1:19">
      <c r="A12" s="108" t="s">
        <v>234</v>
      </c>
      <c r="B12" s="125" t="s">
        <v>72</v>
      </c>
      <c r="C12" s="110" t="str">
        <f>IF(COUNTIFS('MSCS Review Responses'!$B$2:$B$609,$A12,'MSCS Review Responses'!A$2:A$609,"&lt;&gt;")&gt;0, COUNTIFS('MSCS Review Responses'!$B$2:$B$609,$A12,'MSCS Review Responses'!A$2:A$609,"&lt;&gt;")&amp;" reviews", "NA")</f>
        <v>12 reviews</v>
      </c>
      <c r="D12" s="111">
        <f>IFERROR(AVERAGEIF('MSCS Review Responses'!$B$2:$B$609,A12,'MSCS Review Responses'!$C$2:$C$609),"NA")</f>
        <v>4.5</v>
      </c>
      <c r="E12" s="111">
        <f>IFERROR(AVERAGEIF('MSCS Review Responses'!$B$2:$B$609,$A12,'MSCS Review Responses'!$D$2:$D$609),"NA")</f>
        <v>1.75</v>
      </c>
      <c r="F12" s="111">
        <f>IFERROR(AVERAGEIF('MSCS Review Responses'!$B$2:$B$609,$A12,'MSCS Review Responses'!$E$2:$E$609),"NA")</f>
        <v>4.25</v>
      </c>
      <c r="G12" s="111">
        <f>IFERROR(AVERAGEIF('MSCS Review Responses'!$B$2:$B$609,$A12,'MSCS Review Responses'!$F$2:$F$609),"NA")</f>
        <v>29.75</v>
      </c>
      <c r="H12" s="112">
        <v>24</v>
      </c>
      <c r="I12" s="87"/>
      <c r="J12" s="6"/>
      <c r="K12" s="6"/>
      <c r="L12" s="6"/>
      <c r="M12" s="6"/>
      <c r="N12" s="6"/>
      <c r="O12" s="6"/>
      <c r="P12" s="6"/>
      <c r="Q12" s="6"/>
      <c r="R12" s="6"/>
      <c r="S12" s="6"/>
    </row>
    <row r="13" spans="1:19">
      <c r="A13" s="113" t="s">
        <v>235</v>
      </c>
      <c r="B13" s="126" t="s">
        <v>72</v>
      </c>
      <c r="C13" s="115" t="str">
        <f>IF(COUNTIFS('MSCS Review Responses'!$B$2:$B$609,$A13,'MSCS Review Responses'!A$2:A$609,"&lt;&gt;")&gt;0, COUNTIFS('MSCS Review Responses'!$B$2:$B$609,$A13,'MSCS Review Responses'!A$2:A$609,"&lt;&gt;")&amp;" reviews", "NA")</f>
        <v>7 reviews</v>
      </c>
      <c r="D13" s="116">
        <f>IFERROR(AVERAGEIF('MSCS Review Responses'!$B$2:$B$609,A13,'MSCS Review Responses'!$C$2:$C$609),"NA")</f>
        <v>4</v>
      </c>
      <c r="E13" s="116">
        <f>IFERROR(AVERAGEIF('MSCS Review Responses'!$B$2:$B$609,$A13,'MSCS Review Responses'!$D$2:$D$609),"NA")</f>
        <v>1.8571428571428572</v>
      </c>
      <c r="F13" s="116">
        <f>IFERROR(AVERAGEIF('MSCS Review Responses'!$B$2:$B$609,$A13,'MSCS Review Responses'!$E$2:$E$609),"NA")</f>
        <v>4</v>
      </c>
      <c r="G13" s="116">
        <f>IFERROR(AVERAGEIF('MSCS Review Responses'!$B$2:$B$609,$A13,'MSCS Review Responses'!$F$2:$F$609),"NA")</f>
        <v>32.285714285714285</v>
      </c>
      <c r="H13" s="117">
        <v>37</v>
      </c>
      <c r="I13" s="87"/>
      <c r="J13" s="6"/>
      <c r="K13" s="6"/>
      <c r="L13" s="6"/>
      <c r="M13" s="6"/>
      <c r="N13" s="6"/>
      <c r="O13" s="6"/>
      <c r="P13" s="6"/>
      <c r="Q13" s="6"/>
      <c r="R13" s="6"/>
      <c r="S13" s="6"/>
    </row>
    <row r="14" spans="1:19">
      <c r="A14" s="118" t="s">
        <v>236</v>
      </c>
      <c r="B14" s="127" t="s">
        <v>72</v>
      </c>
      <c r="C14" s="120" t="str">
        <f>IF(COUNTIFS('MSCS Review Responses'!$B$2:$B$609,$A14,'MSCS Review Responses'!A$2:A$609,"&lt;&gt;")&gt;0, COUNTIFS('MSCS Review Responses'!$B$2:$B$609,$A14,'MSCS Review Responses'!A$2:A$609,"&lt;&gt;")&amp;" reviews", "NA")</f>
        <v>5 reviews</v>
      </c>
      <c r="D14" s="121">
        <f>IFERROR(AVERAGEIF('MSCS Review Responses'!$B$2:$B$609,A14,'MSCS Review Responses'!$C$2:$C$609),"NA")</f>
        <v>4</v>
      </c>
      <c r="E14" s="121">
        <f>IFERROR(AVERAGEIF('MSCS Review Responses'!$B$2:$B$609,$A14,'MSCS Review Responses'!$D$2:$D$609),"NA")</f>
        <v>1.8</v>
      </c>
      <c r="F14" s="121">
        <f>IFERROR(AVERAGEIF('MSCS Review Responses'!$B$2:$B$609,$A14,'MSCS Review Responses'!$E$2:$E$609),"NA")</f>
        <v>3.8</v>
      </c>
      <c r="G14" s="121">
        <f>IFERROR(AVERAGEIF('MSCS Review Responses'!$B$2:$B$609,$A14,'MSCS Review Responses'!$F$2:$F$609),"NA")</f>
        <v>32.200000000000003</v>
      </c>
      <c r="H14" s="122">
        <v>32</v>
      </c>
      <c r="I14" s="87"/>
      <c r="J14" s="6"/>
      <c r="K14" s="6"/>
      <c r="L14" s="6"/>
      <c r="M14" s="6"/>
      <c r="N14" s="6"/>
      <c r="O14" s="6"/>
      <c r="P14" s="6"/>
      <c r="Q14" s="6"/>
      <c r="R14" s="6"/>
      <c r="S14" s="6"/>
    </row>
    <row r="15" spans="1:19">
      <c r="A15" s="108" t="s">
        <v>237</v>
      </c>
      <c r="B15" s="125" t="s">
        <v>61</v>
      </c>
      <c r="C15" s="110" t="str">
        <f>IF(COUNTIFS('MSCS Review Responses'!$B$2:$B$609,$A15,'MSCS Review Responses'!A$2:A$609,"&lt;&gt;")&gt;0, COUNTIFS('MSCS Review Responses'!$B$2:$B$609,$A15,'MSCS Review Responses'!A$2:A$609,"&lt;&gt;")&amp;" reviews", "NA")</f>
        <v>3 reviews</v>
      </c>
      <c r="D15" s="111">
        <f>IFERROR(AVERAGEIF('MSCS Review Responses'!$B$2:$B$609,A15,'MSCS Review Responses'!$C$2:$C$609),"NA")</f>
        <v>3.6666666666666665</v>
      </c>
      <c r="E15" s="111">
        <f>IFERROR(AVERAGEIF('MSCS Review Responses'!$B$2:$B$609,$A15,'MSCS Review Responses'!$D$2:$D$609),"NA")</f>
        <v>4</v>
      </c>
      <c r="F15" s="111">
        <f>IFERROR(AVERAGEIF('MSCS Review Responses'!$B$2:$B$609,$A15,'MSCS Review Responses'!$E$2:$E$609),"NA")</f>
        <v>3.6666666666666665</v>
      </c>
      <c r="G15" s="111">
        <f>IFERROR(AVERAGEIF('MSCS Review Responses'!$B$2:$B$609,$A15,'MSCS Review Responses'!$F$2:$F$609),"NA")</f>
        <v>22.333333333333332</v>
      </c>
      <c r="H15" s="112">
        <v>8</v>
      </c>
      <c r="I15" s="87"/>
      <c r="J15" s="6"/>
      <c r="K15" s="6"/>
      <c r="L15" s="6"/>
      <c r="M15" s="6"/>
      <c r="N15" s="6"/>
      <c r="O15" s="6"/>
      <c r="P15" s="6"/>
      <c r="Q15" s="6"/>
      <c r="R15" s="6"/>
      <c r="S15" s="6"/>
    </row>
    <row r="16" spans="1:19">
      <c r="A16" s="113" t="s">
        <v>238</v>
      </c>
      <c r="B16" s="126" t="s">
        <v>61</v>
      </c>
      <c r="C16" s="115" t="str">
        <f>IF(COUNTIFS('MSCS Review Responses'!$B$2:$B$609,$A16,'MSCS Review Responses'!A$2:A$609,"&lt;&gt;")&gt;0, COUNTIFS('MSCS Review Responses'!$B$2:$B$609,$A16,'MSCS Review Responses'!A$2:A$609,"&lt;&gt;")&amp;" reviews", "NA")</f>
        <v>1 reviews</v>
      </c>
      <c r="D16" s="116">
        <f>IFERROR(AVERAGEIF('MSCS Review Responses'!$B$2:$B$609,A16,'MSCS Review Responses'!$C$2:$C$609),"NA")</f>
        <v>3</v>
      </c>
      <c r="E16" s="116">
        <f>IFERROR(AVERAGEIF('MSCS Review Responses'!$B$2:$B$609,$A16,'MSCS Review Responses'!$D$2:$D$609),"NA")</f>
        <v>5</v>
      </c>
      <c r="F16" s="116">
        <f>IFERROR(AVERAGEIF('MSCS Review Responses'!$B$2:$B$609,$A16,'MSCS Review Responses'!$E$2:$E$609),"NA")</f>
        <v>4</v>
      </c>
      <c r="G16" s="116">
        <f>IFERROR(AVERAGEIF('MSCS Review Responses'!$B$2:$B$609,$A16,'MSCS Review Responses'!$F$2:$F$609),"NA")</f>
        <v>40</v>
      </c>
      <c r="H16" s="117">
        <v>10</v>
      </c>
      <c r="I16" s="87"/>
      <c r="J16" s="6"/>
      <c r="K16" s="6"/>
      <c r="L16" s="6"/>
      <c r="M16" s="6"/>
      <c r="N16" s="6"/>
      <c r="O16" s="6"/>
      <c r="P16" s="6"/>
      <c r="Q16" s="6"/>
      <c r="R16" s="6"/>
      <c r="S16" s="6"/>
    </row>
    <row r="17" spans="1:19">
      <c r="A17" s="118" t="s">
        <v>239</v>
      </c>
      <c r="B17" s="127" t="s">
        <v>61</v>
      </c>
      <c r="C17" s="120" t="str">
        <f>IF(COUNTIFS('MSCS Review Responses'!$B$2:$B$609,$A17,'MSCS Review Responses'!A$2:A$609,"&lt;&gt;")&gt;0, COUNTIFS('MSCS Review Responses'!$B$2:$B$609,$A17,'MSCS Review Responses'!A$2:A$609,"&lt;&gt;")&amp;" reviews", "NA")</f>
        <v>2 reviews</v>
      </c>
      <c r="D17" s="121">
        <f>IFERROR(AVERAGEIF('MSCS Review Responses'!$B$2:$B$609,A17,'MSCS Review Responses'!$C$2:$C$609),"NA")</f>
        <v>4</v>
      </c>
      <c r="E17" s="121">
        <f>IFERROR(AVERAGEIF('MSCS Review Responses'!$B$2:$B$609,$A17,'MSCS Review Responses'!$D$2:$D$609),"NA")</f>
        <v>5</v>
      </c>
      <c r="F17" s="121">
        <f>IFERROR(AVERAGEIF('MSCS Review Responses'!$B$2:$B$609,$A17,'MSCS Review Responses'!$E$2:$E$609),"NA")</f>
        <v>4</v>
      </c>
      <c r="G17" s="121">
        <f>IFERROR(AVERAGEIF('MSCS Review Responses'!$B$2:$B$609,$A17,'MSCS Review Responses'!$F$2:$F$609),"NA")</f>
        <v>27.5</v>
      </c>
      <c r="H17" s="122">
        <v>10</v>
      </c>
      <c r="I17" s="87"/>
      <c r="J17" s="6"/>
      <c r="K17" s="6"/>
      <c r="L17" s="6"/>
      <c r="M17" s="6"/>
      <c r="N17" s="6"/>
      <c r="O17" s="6"/>
      <c r="P17" s="6"/>
      <c r="Q17" s="6"/>
      <c r="R17" s="6"/>
      <c r="S17" s="6"/>
    </row>
    <row r="18" spans="1:19">
      <c r="A18" s="128" t="s">
        <v>240</v>
      </c>
      <c r="B18" s="129" t="s">
        <v>82</v>
      </c>
      <c r="C18" s="130" t="str">
        <f>IF(COUNTIFS('MSCS Review Responses'!$B$2:$B$609,$A18,'MSCS Review Responses'!A$2:A$609,"&lt;&gt;")&gt;0, COUNTIFS('MSCS Review Responses'!$B$2:$B$609,$A18,'MSCS Review Responses'!A$2:A$609,"&lt;&gt;")&amp;" reviews", "NA")</f>
        <v>NA</v>
      </c>
      <c r="D18" s="131" t="str">
        <f>IFERROR(AVERAGEIF('MSCS Review Responses'!$B$2:$B$609,A18,'MSCS Review Responses'!$C$2:$C$609),"NA")</f>
        <v>NA</v>
      </c>
      <c r="E18" s="131" t="str">
        <f>IFERROR(AVERAGEIF('MSCS Review Responses'!$B$2:$B$609,$A18,'MSCS Review Responses'!$D$2:$D$609),"NA")</f>
        <v>NA</v>
      </c>
      <c r="F18" s="131" t="str">
        <f>IFERROR(AVERAGEIF('MSCS Review Responses'!$B$2:$B$609,$A18,'MSCS Review Responses'!$E$2:$E$609),"NA")</f>
        <v>NA</v>
      </c>
      <c r="G18" s="131" t="str">
        <f>IFERROR(AVERAGEIF('MSCS Review Responses'!$B$2:$B$609,$A18,'MSCS Review Responses'!$F$2:$F$609),"NA")</f>
        <v>NA</v>
      </c>
      <c r="H18" s="132" t="s">
        <v>45</v>
      </c>
      <c r="I18" s="87"/>
      <c r="J18" s="6"/>
      <c r="K18" s="6"/>
      <c r="L18" s="6"/>
      <c r="M18" s="6"/>
      <c r="N18" s="6"/>
      <c r="O18" s="6"/>
      <c r="P18" s="6"/>
      <c r="Q18" s="6"/>
      <c r="R18" s="6"/>
      <c r="S18" s="6"/>
    </row>
    <row r="19" spans="1:19">
      <c r="A19" s="108" t="s">
        <v>241</v>
      </c>
      <c r="B19" s="133" t="s">
        <v>85</v>
      </c>
      <c r="C19" s="110" t="str">
        <f>IF(COUNTIFS('MSCS Review Responses'!$B$2:$B$609,$A19,'MSCS Review Responses'!A$2:A$609,"&lt;&gt;")&gt;0, COUNTIFS('MSCS Review Responses'!$B$2:$B$609,$A19,'MSCS Review Responses'!A$2:A$609,"&lt;&gt;")&amp;" reviews", "NA")</f>
        <v>6 reviews</v>
      </c>
      <c r="D19" s="111">
        <f>IFERROR(AVERAGEIF('MSCS Review Responses'!$B$2:$B$609,A19,'MSCS Review Responses'!$C$2:$C$609),"NA")</f>
        <v>4</v>
      </c>
      <c r="E19" s="111">
        <f>IFERROR(AVERAGEIF('MSCS Review Responses'!$B$2:$B$609,$A19,'MSCS Review Responses'!$D$2:$D$609),"NA")</f>
        <v>2.1666666666666665</v>
      </c>
      <c r="F19" s="111">
        <f>IFERROR(AVERAGEIF('MSCS Review Responses'!$B$2:$B$609,$A19,'MSCS Review Responses'!$E$2:$E$609),"NA")</f>
        <v>3.6666666666666665</v>
      </c>
      <c r="G19" s="111">
        <f>IFERROR(AVERAGEIF('MSCS Review Responses'!$B$2:$B$609,$A19,'MSCS Review Responses'!$F$2:$F$609),"NA")</f>
        <v>17.833333333333332</v>
      </c>
      <c r="H19" s="112">
        <v>21</v>
      </c>
      <c r="I19" s="87"/>
      <c r="J19" s="6"/>
      <c r="K19" s="6"/>
      <c r="L19" s="6"/>
      <c r="M19" s="6"/>
      <c r="N19" s="6"/>
      <c r="O19" s="6"/>
      <c r="P19" s="6"/>
      <c r="Q19" s="6"/>
      <c r="R19" s="6"/>
      <c r="S19" s="6"/>
    </row>
    <row r="20" spans="1:19">
      <c r="A20" s="113" t="s">
        <v>242</v>
      </c>
      <c r="B20" s="134" t="s">
        <v>85</v>
      </c>
      <c r="C20" s="115" t="str">
        <f>IF(COUNTIFS('MSCS Review Responses'!$B$2:$B$609,$A20,'MSCS Review Responses'!A$2:A$609,"&lt;&gt;")&gt;0, COUNTIFS('MSCS Review Responses'!$B$2:$B$609,$A20,'MSCS Review Responses'!A$2:A$609,"&lt;&gt;")&amp;" reviews", "NA")</f>
        <v>3 reviews</v>
      </c>
      <c r="D20" s="116">
        <f>IFERROR(AVERAGEIF('MSCS Review Responses'!$B$2:$B$609,A20,'MSCS Review Responses'!$C$2:$C$609),"NA")</f>
        <v>3.6666666666666665</v>
      </c>
      <c r="E20" s="116">
        <f>IFERROR(AVERAGEIF('MSCS Review Responses'!$B$2:$B$609,$A20,'MSCS Review Responses'!$D$2:$D$609),"NA")</f>
        <v>2.3333333333333335</v>
      </c>
      <c r="F20" s="116">
        <f>IFERROR(AVERAGEIF('MSCS Review Responses'!$B$2:$B$609,$A20,'MSCS Review Responses'!$E$2:$E$609),"NA")</f>
        <v>3.3333333333333335</v>
      </c>
      <c r="G20" s="116">
        <f>IFERROR(AVERAGEIF('MSCS Review Responses'!$B$2:$B$609,$A20,'MSCS Review Responses'!$F$2:$F$609),"NA")</f>
        <v>21.333333333333332</v>
      </c>
      <c r="H20" s="117">
        <v>24</v>
      </c>
      <c r="I20" s="87"/>
      <c r="J20" s="6"/>
      <c r="K20" s="6"/>
      <c r="L20" s="6"/>
      <c r="M20" s="6"/>
      <c r="N20" s="6"/>
      <c r="O20" s="6"/>
      <c r="P20" s="6"/>
      <c r="Q20" s="6"/>
      <c r="R20" s="6"/>
      <c r="S20" s="6"/>
    </row>
    <row r="21" spans="1:19">
      <c r="A21" s="118" t="s">
        <v>243</v>
      </c>
      <c r="B21" s="135" t="s">
        <v>85</v>
      </c>
      <c r="C21" s="120" t="str">
        <f>IF(COUNTIFS('MSCS Review Responses'!$B$2:$B$609,$A21,'MSCS Review Responses'!A$2:A$609,"&lt;&gt;")&gt;0, COUNTIFS('MSCS Review Responses'!$B$2:$B$609,$A21,'MSCS Review Responses'!A$2:A$609,"&lt;&gt;")&amp;" reviews", "NA")</f>
        <v>3 reviews</v>
      </c>
      <c r="D21" s="121">
        <f>IFERROR(AVERAGEIF('MSCS Review Responses'!$B$2:$B$609,A21,'MSCS Review Responses'!$C$2:$C$609),"NA")</f>
        <v>4.333333333333333</v>
      </c>
      <c r="E21" s="121">
        <f>IFERROR(AVERAGEIF('MSCS Review Responses'!$B$2:$B$609,$A21,'MSCS Review Responses'!$D$2:$D$609),"NA")</f>
        <v>3</v>
      </c>
      <c r="F21" s="121">
        <f>IFERROR(AVERAGEIF('MSCS Review Responses'!$B$2:$B$609,$A21,'MSCS Review Responses'!$E$2:$E$609),"NA")</f>
        <v>3.6666666666666665</v>
      </c>
      <c r="G21" s="121">
        <f>IFERROR(AVERAGEIF('MSCS Review Responses'!$B$2:$B$609,$A21,'MSCS Review Responses'!$F$2:$F$609),"NA")</f>
        <v>30.666666666666668</v>
      </c>
      <c r="H21" s="122">
        <v>19</v>
      </c>
      <c r="I21" s="87"/>
      <c r="J21" s="6"/>
      <c r="K21" s="6"/>
      <c r="L21" s="6"/>
      <c r="M21" s="6"/>
      <c r="N21" s="6"/>
      <c r="O21" s="6"/>
      <c r="P21" s="6"/>
      <c r="Q21" s="6"/>
      <c r="R21" s="6"/>
      <c r="S21" s="6"/>
    </row>
    <row r="22" spans="1:19">
      <c r="A22" s="108" t="s">
        <v>244</v>
      </c>
      <c r="B22" s="133" t="s">
        <v>98</v>
      </c>
      <c r="C22" s="110" t="str">
        <f>IF(COUNTIFS('MSCS Review Responses'!$B$2:$B$609,$A22,'MSCS Review Responses'!A$2:A$609,"&lt;&gt;")&gt;0, COUNTIFS('MSCS Review Responses'!$B$2:$B$609,$A22,'MSCS Review Responses'!A$2:A$609,"&lt;&gt;")&amp;" reviews", "NA")</f>
        <v>26 reviews</v>
      </c>
      <c r="D22" s="111">
        <f>IFERROR(AVERAGEIF('MSCS Review Responses'!$B$2:$B$609,A22,'MSCS Review Responses'!$C$2:$C$609),"NA")</f>
        <v>2.5384615384615383</v>
      </c>
      <c r="E22" s="111">
        <f>IFERROR(AVERAGEIF('MSCS Review Responses'!$B$2:$B$609,$A22,'MSCS Review Responses'!$D$2:$D$609),"NA")</f>
        <v>2.7307692307692308</v>
      </c>
      <c r="F22" s="111">
        <f>IFERROR(AVERAGEIF('MSCS Review Responses'!$B$2:$B$609,$A22,'MSCS Review Responses'!$E$2:$E$609),"NA")</f>
        <v>1.8846153846153846</v>
      </c>
      <c r="G22" s="111">
        <f>IFERROR(AVERAGEIF('MSCS Review Responses'!$B$2:$B$609,$A22,'MSCS Review Responses'!$F$2:$F$609),"NA")</f>
        <v>24.4</v>
      </c>
      <c r="H22" s="112">
        <v>19</v>
      </c>
      <c r="I22" s="87"/>
      <c r="J22" s="6"/>
      <c r="K22" s="6"/>
      <c r="L22" s="6"/>
      <c r="M22" s="6"/>
      <c r="N22" s="6"/>
      <c r="O22" s="6"/>
      <c r="P22" s="6"/>
      <c r="Q22" s="6"/>
      <c r="R22" s="6"/>
      <c r="S22" s="6"/>
    </row>
    <row r="23" spans="1:19">
      <c r="A23" s="113" t="s">
        <v>245</v>
      </c>
      <c r="B23" s="134" t="s">
        <v>98</v>
      </c>
      <c r="C23" s="115" t="str">
        <f>IF(COUNTIFS('MSCS Review Responses'!$B$2:$B$609,$A23,'MSCS Review Responses'!A$2:A$609,"&lt;&gt;")&gt;0, COUNTIFS('MSCS Review Responses'!$B$2:$B$609,$A23,'MSCS Review Responses'!A$2:A$609,"&lt;&gt;")&amp;" reviews", "NA")</f>
        <v>17 reviews</v>
      </c>
      <c r="D23" s="116">
        <f>IFERROR(AVERAGEIF('MSCS Review Responses'!$B$2:$B$609,A23,'MSCS Review Responses'!$C$2:$C$609),"NA")</f>
        <v>2.8235294117647061</v>
      </c>
      <c r="E23" s="116">
        <f>IFERROR(AVERAGEIF('MSCS Review Responses'!$B$2:$B$609,$A23,'MSCS Review Responses'!$D$2:$D$609),"NA")</f>
        <v>2.8823529411764706</v>
      </c>
      <c r="F23" s="116">
        <f>IFERROR(AVERAGEIF('MSCS Review Responses'!$B$2:$B$609,$A23,'MSCS Review Responses'!$E$2:$E$609),"NA")</f>
        <v>2.0588235294117645</v>
      </c>
      <c r="G23" s="116">
        <f>IFERROR(AVERAGEIF('MSCS Review Responses'!$B$2:$B$609,$A23,'MSCS Review Responses'!$F$2:$F$609),"NA")</f>
        <v>27.705882352941178</v>
      </c>
      <c r="H23" s="117">
        <v>25</v>
      </c>
      <c r="I23" s="87"/>
      <c r="J23" s="6"/>
      <c r="K23" s="6"/>
      <c r="L23" s="6"/>
      <c r="M23" s="6"/>
      <c r="N23" s="6"/>
      <c r="O23" s="6"/>
      <c r="P23" s="6"/>
      <c r="Q23" s="6"/>
      <c r="R23" s="6"/>
      <c r="S23" s="6"/>
    </row>
    <row r="24" spans="1:19">
      <c r="A24" s="118" t="s">
        <v>246</v>
      </c>
      <c r="B24" s="135" t="s">
        <v>98</v>
      </c>
      <c r="C24" s="120" t="str">
        <f>IF(COUNTIFS('MSCS Review Responses'!$B$2:$B$609,$A24,'MSCS Review Responses'!A$2:A$609,"&lt;&gt;")&gt;0, COUNTIFS('MSCS Review Responses'!$B$2:$B$609,$A24,'MSCS Review Responses'!A$2:A$609,"&lt;&gt;")&amp;" reviews", "NA")</f>
        <v>18 reviews</v>
      </c>
      <c r="D24" s="121">
        <f>IFERROR(AVERAGEIF('MSCS Review Responses'!$B$2:$B$609,A24,'MSCS Review Responses'!$C$2:$C$609),"NA")</f>
        <v>3.7777777777777777</v>
      </c>
      <c r="E24" s="121">
        <f>IFERROR(AVERAGEIF('MSCS Review Responses'!$B$2:$B$609,$A24,'MSCS Review Responses'!$D$2:$D$609),"NA")</f>
        <v>3.3333333333333335</v>
      </c>
      <c r="F24" s="121">
        <f>IFERROR(AVERAGEIF('MSCS Review Responses'!$B$2:$B$609,$A24,'MSCS Review Responses'!$E$2:$E$609),"NA")</f>
        <v>2.1666666666666665</v>
      </c>
      <c r="G24" s="121">
        <f>IFERROR(AVERAGEIF('MSCS Review Responses'!$B$2:$B$609,$A24,'MSCS Review Responses'!$F$2:$F$609),"NA")</f>
        <v>38.941176470588232</v>
      </c>
      <c r="H24" s="122">
        <v>16</v>
      </c>
      <c r="I24" s="87"/>
      <c r="J24" s="6"/>
      <c r="K24" s="6"/>
      <c r="L24" s="6"/>
      <c r="M24" s="6"/>
      <c r="N24" s="6"/>
      <c r="O24" s="6"/>
      <c r="P24" s="6"/>
      <c r="Q24" s="6"/>
      <c r="R24" s="6"/>
      <c r="S24" s="6"/>
    </row>
    <row r="25" spans="1:19">
      <c r="A25" s="108" t="s">
        <v>247</v>
      </c>
      <c r="B25" s="133" t="s">
        <v>110</v>
      </c>
      <c r="C25" s="110" t="str">
        <f>IF(COUNTIFS('MSCS Review Responses'!$B$2:$B$609,$A25,'MSCS Review Responses'!A$2:A$609,"&lt;&gt;")&gt;0, COUNTIFS('MSCS Review Responses'!$B$2:$B$609,$A25,'MSCS Review Responses'!A$2:A$609,"&lt;&gt;")&amp;" reviews", "NA")</f>
        <v>10 reviews</v>
      </c>
      <c r="D25" s="111">
        <f>IFERROR(AVERAGEIF('MSCS Review Responses'!$B$2:$B$609,A25,'MSCS Review Responses'!$C$2:$C$609),"NA")</f>
        <v>4</v>
      </c>
      <c r="E25" s="111">
        <f>IFERROR(AVERAGEIF('MSCS Review Responses'!$B$2:$B$609,$A25,'MSCS Review Responses'!$D$2:$D$609),"NA")</f>
        <v>1.7</v>
      </c>
      <c r="F25" s="136">
        <f>IFERROR(AVERAGEIF('MSCS Review Responses'!$B$2:$B$609,$A25,'MSCS Review Responses'!$E$2:$E$609),"NA")</f>
        <v>4.0999999999999996</v>
      </c>
      <c r="G25" s="136">
        <f>IFERROR(AVERAGEIF('MSCS Review Responses'!$B$2:$B$609,$A25,'MSCS Review Responses'!$F$2:$F$609),"NA")</f>
        <v>11</v>
      </c>
      <c r="H25" s="112">
        <v>9</v>
      </c>
      <c r="I25" s="87"/>
      <c r="J25" s="6"/>
      <c r="K25" s="6"/>
      <c r="L25" s="6"/>
      <c r="M25" s="6"/>
      <c r="N25" s="6"/>
      <c r="O25" s="6"/>
      <c r="P25" s="6"/>
      <c r="Q25" s="6"/>
      <c r="R25" s="6"/>
      <c r="S25" s="6"/>
    </row>
    <row r="26" spans="1:19">
      <c r="A26" s="113" t="s">
        <v>248</v>
      </c>
      <c r="B26" s="134" t="s">
        <v>110</v>
      </c>
      <c r="C26" s="115" t="str">
        <f>IF(COUNTIFS('MSCS Review Responses'!$B$2:$B$609,$A26,'MSCS Review Responses'!A$2:A$609,"&lt;&gt;")&gt;0, COUNTIFS('MSCS Review Responses'!$B$2:$B$609,$A26,'MSCS Review Responses'!A$2:A$609,"&lt;&gt;")&amp;" reviews", "NA")</f>
        <v>NA</v>
      </c>
      <c r="D26" s="116" t="str">
        <f>IFERROR(AVERAGEIF('MSCS Review Responses'!$B$2:$B$609,A26,'MSCS Review Responses'!$C$2:$C$609),"NA")</f>
        <v>NA</v>
      </c>
      <c r="E26" s="116" t="str">
        <f>IFERROR(AVERAGEIF('MSCS Review Responses'!$B$2:$B$609,$A26,'MSCS Review Responses'!$D$2:$D$609),"NA")</f>
        <v>NA</v>
      </c>
      <c r="F26" s="116" t="str">
        <f>IFERROR(AVERAGEIF('MSCS Review Responses'!$B$2:$B$609,$A26,'MSCS Review Responses'!$E$2:$E$609),"NA")</f>
        <v>NA</v>
      </c>
      <c r="G26" s="116" t="str">
        <f>IFERROR(AVERAGEIF('MSCS Review Responses'!$B$2:$B$609,$A26,'MSCS Review Responses'!$F$2:$F$609),"NA")</f>
        <v>NA</v>
      </c>
      <c r="H26" s="117" t="s">
        <v>45</v>
      </c>
      <c r="I26" s="87"/>
      <c r="J26" s="6"/>
      <c r="K26" s="6"/>
      <c r="L26" s="6"/>
      <c r="M26" s="6"/>
      <c r="N26" s="6"/>
      <c r="O26" s="6"/>
      <c r="P26" s="6"/>
      <c r="Q26" s="6"/>
      <c r="R26" s="6"/>
      <c r="S26" s="6"/>
    </row>
    <row r="27" spans="1:19">
      <c r="A27" s="118" t="s">
        <v>249</v>
      </c>
      <c r="B27" s="135" t="s">
        <v>110</v>
      </c>
      <c r="C27" s="120" t="str">
        <f>IF(COUNTIFS('MSCS Review Responses'!$B$2:$B$609,$A27,'MSCS Review Responses'!A$2:A$609,"&lt;&gt;")&gt;0, COUNTIFS('MSCS Review Responses'!$B$2:$B$609,$A27,'MSCS Review Responses'!A$2:A$609,"&lt;&gt;")&amp;" reviews", "NA")</f>
        <v>NA</v>
      </c>
      <c r="D27" s="121" t="str">
        <f>IFERROR(AVERAGEIF('MSCS Review Responses'!$B$2:$B$609,A27,'MSCS Review Responses'!$C$2:$C$609),"NA")</f>
        <v>NA</v>
      </c>
      <c r="E27" s="121" t="str">
        <f>IFERROR(AVERAGEIF('MSCS Review Responses'!$B$2:$B$609,$A27,'MSCS Review Responses'!$D$2:$D$609),"NA")</f>
        <v>NA</v>
      </c>
      <c r="F27" s="121" t="str">
        <f>IFERROR(AVERAGEIF('MSCS Review Responses'!$B$2:$B$609,$A27,'MSCS Review Responses'!$E$2:$E$609),"NA")</f>
        <v>NA</v>
      </c>
      <c r="G27" s="121" t="str">
        <f>IFERROR(AVERAGEIF('MSCS Review Responses'!$B$2:$B$609,$A27,'MSCS Review Responses'!$F$2:$F$609),"NA")</f>
        <v>NA</v>
      </c>
      <c r="H27" s="122" t="s">
        <v>45</v>
      </c>
      <c r="I27" s="87"/>
      <c r="J27" s="6"/>
      <c r="K27" s="6"/>
      <c r="L27" s="6"/>
      <c r="M27" s="6"/>
      <c r="N27" s="6"/>
      <c r="O27" s="6"/>
      <c r="P27" s="6"/>
      <c r="Q27" s="6"/>
      <c r="R27" s="6"/>
      <c r="S27" s="6"/>
    </row>
    <row r="28" spans="1:19">
      <c r="A28" s="108" t="s">
        <v>250</v>
      </c>
      <c r="B28" s="133" t="s">
        <v>121</v>
      </c>
      <c r="C28" s="110" t="str">
        <f>IF(COUNTIFS('MSCS Review Responses'!$B$2:$B$609,$A28,'MSCS Review Responses'!A$2:A$609,"&lt;&gt;")&gt;0, COUNTIFS('MSCS Review Responses'!$B$2:$B$609,$A28,'MSCS Review Responses'!A$2:A$609,"&lt;&gt;")&amp;" reviews", "NA")</f>
        <v>NA</v>
      </c>
      <c r="D28" s="111" t="str">
        <f>IFERROR(AVERAGEIF('MSCS Review Responses'!$B$2:$B$609,A28,'MSCS Review Responses'!$C$2:$C$609),"NA")</f>
        <v>NA</v>
      </c>
      <c r="E28" s="111" t="str">
        <f>IFERROR(AVERAGEIF('MSCS Review Responses'!$B$2:$B$609,$A28,'MSCS Review Responses'!$D$2:$D$609),"NA")</f>
        <v>NA</v>
      </c>
      <c r="F28" s="111" t="str">
        <f>IFERROR(AVERAGEIF('MSCS Review Responses'!$B$2:$B$609,$A28,'MSCS Review Responses'!$E$2:$E$609),"NA")</f>
        <v>NA</v>
      </c>
      <c r="G28" s="111" t="str">
        <f>IFERROR(AVERAGEIF('MSCS Review Responses'!$B$2:$B$609,$A28,'MSCS Review Responses'!$F$2:$F$609),"NA")</f>
        <v>NA</v>
      </c>
      <c r="H28" s="112" t="s">
        <v>45</v>
      </c>
      <c r="I28" s="87"/>
      <c r="J28" s="6"/>
      <c r="K28" s="6"/>
      <c r="L28" s="6"/>
      <c r="M28" s="6"/>
      <c r="N28" s="6"/>
      <c r="O28" s="6"/>
      <c r="P28" s="6"/>
      <c r="Q28" s="6"/>
      <c r="R28" s="6"/>
      <c r="S28" s="6"/>
    </row>
    <row r="29" spans="1:19">
      <c r="A29" s="113" t="s">
        <v>251</v>
      </c>
      <c r="B29" s="134" t="s">
        <v>121</v>
      </c>
      <c r="C29" s="115" t="str">
        <f>IF(COUNTIFS('MSCS Review Responses'!$B$2:$B$609,$A29,'MSCS Review Responses'!A$2:A$609,"&lt;&gt;")&gt;0, COUNTIFS('MSCS Review Responses'!$B$2:$B$609,$A29,'MSCS Review Responses'!A$2:A$609,"&lt;&gt;")&amp;" reviews", "NA")</f>
        <v>NA</v>
      </c>
      <c r="D29" s="116" t="str">
        <f>IFERROR(AVERAGEIF('MSCS Review Responses'!$B$2:$B$609,A29,'MSCS Review Responses'!$C$2:$C$609),"NA")</f>
        <v>NA</v>
      </c>
      <c r="E29" s="116" t="str">
        <f>IFERROR(AVERAGEIF('MSCS Review Responses'!$B$2:$B$609,$A29,'MSCS Review Responses'!$D$2:$D$609),"NA")</f>
        <v>NA</v>
      </c>
      <c r="F29" s="116" t="str">
        <f>IFERROR(AVERAGEIF('MSCS Review Responses'!$B$2:$B$609,$A29,'MSCS Review Responses'!$E$2:$E$609),"NA")</f>
        <v>NA</v>
      </c>
      <c r="G29" s="116" t="str">
        <f>IFERROR(AVERAGEIF('MSCS Review Responses'!$B$2:$B$609,$A29,'MSCS Review Responses'!$F$2:$F$609),"NA")</f>
        <v>NA</v>
      </c>
      <c r="H29" s="117" t="s">
        <v>45</v>
      </c>
      <c r="I29" s="87"/>
      <c r="J29" s="6"/>
      <c r="K29" s="6"/>
      <c r="L29" s="6"/>
      <c r="M29" s="6"/>
      <c r="N29" s="6"/>
      <c r="O29" s="6"/>
      <c r="P29" s="6"/>
      <c r="Q29" s="6"/>
      <c r="R29" s="6"/>
      <c r="S29" s="6"/>
    </row>
    <row r="30" spans="1:19">
      <c r="A30" s="118" t="s">
        <v>252</v>
      </c>
      <c r="B30" s="135" t="s">
        <v>121</v>
      </c>
      <c r="C30" s="120" t="str">
        <f>IF(COUNTIFS('MSCS Review Responses'!$B$2:$B$609,$A30,'MSCS Review Responses'!A$2:A$609,"&lt;&gt;")&gt;0, COUNTIFS('MSCS Review Responses'!$B$2:$B$609,$A30,'MSCS Review Responses'!A$2:A$609,"&lt;&gt;")&amp;" reviews", "NA")</f>
        <v>NA</v>
      </c>
      <c r="D30" s="121" t="str">
        <f>IFERROR(AVERAGEIF('MSCS Review Responses'!$B$2:$B$609,A30,'MSCS Review Responses'!$C$2:$C$609),"NA")</f>
        <v>NA</v>
      </c>
      <c r="E30" s="121" t="str">
        <f>IFERROR(AVERAGEIF('MSCS Review Responses'!$B$2:$B$609,$A30,'MSCS Review Responses'!$D$2:$D$609),"NA")</f>
        <v>NA</v>
      </c>
      <c r="F30" s="121" t="str">
        <f>IFERROR(AVERAGEIF('MSCS Review Responses'!$B$2:$B$609,$A30,'MSCS Review Responses'!$E$2:$E$609),"NA")</f>
        <v>NA</v>
      </c>
      <c r="G30" s="121" t="str">
        <f>IFERROR(AVERAGEIF('MSCS Review Responses'!$B$2:$B$609,$A30,'MSCS Review Responses'!$F$2:$F$609),"NA")</f>
        <v>NA</v>
      </c>
      <c r="H30" s="122" t="s">
        <v>45</v>
      </c>
      <c r="I30" s="87"/>
      <c r="J30" s="6"/>
      <c r="K30" s="6"/>
      <c r="L30" s="6"/>
      <c r="M30" s="6"/>
      <c r="N30" s="6"/>
      <c r="O30" s="6"/>
      <c r="P30" s="6"/>
      <c r="Q30" s="6"/>
      <c r="R30" s="6"/>
      <c r="S30" s="6"/>
    </row>
    <row r="31" spans="1:19">
      <c r="A31" s="108" t="s">
        <v>253</v>
      </c>
      <c r="B31" s="133" t="s">
        <v>128</v>
      </c>
      <c r="C31" s="110" t="str">
        <f>IF(COUNTIFS('MSCS Review Responses'!$B$2:$B$609,$A31,'MSCS Review Responses'!A$2:A$609,"&lt;&gt;")&gt;0, COUNTIFS('MSCS Review Responses'!$B$2:$B$609,$A31,'MSCS Review Responses'!A$2:A$609,"&lt;&gt;")&amp;" reviews", "NA")</f>
        <v>3 reviews</v>
      </c>
      <c r="D31" s="111">
        <f>IFERROR(AVERAGEIF('MSCS Review Responses'!$B$2:$B$609,A31,'MSCS Review Responses'!$C$2:$C$609),"NA")</f>
        <v>4.333333333333333</v>
      </c>
      <c r="E31" s="111">
        <f>IFERROR(AVERAGEIF('MSCS Review Responses'!$B$2:$B$609,$A31,'MSCS Review Responses'!$D$2:$D$609),"NA")</f>
        <v>2.6666666666666665</v>
      </c>
      <c r="F31" s="111">
        <f>IFERROR(AVERAGEIF('MSCS Review Responses'!$B$2:$B$609,$A31,'MSCS Review Responses'!$E$2:$E$609),"NA")</f>
        <v>4.333333333333333</v>
      </c>
      <c r="G31" s="111">
        <f>IFERROR(AVERAGEIF('MSCS Review Responses'!$B$2:$B$609,$A31,'MSCS Review Responses'!$F$2:$F$609),"NA")</f>
        <v>25</v>
      </c>
      <c r="H31" s="112">
        <v>27</v>
      </c>
      <c r="I31" s="87"/>
      <c r="J31" s="6"/>
      <c r="K31" s="6"/>
      <c r="L31" s="6"/>
      <c r="M31" s="6"/>
      <c r="N31" s="6"/>
      <c r="O31" s="6"/>
      <c r="P31" s="6"/>
      <c r="Q31" s="6"/>
      <c r="R31" s="6"/>
      <c r="S31" s="6"/>
    </row>
    <row r="32" spans="1:19">
      <c r="A32" s="113" t="s">
        <v>254</v>
      </c>
      <c r="B32" s="134" t="s">
        <v>128</v>
      </c>
      <c r="C32" s="115" t="str">
        <f>IF(COUNTIFS('MSCS Review Responses'!$B$2:$B$609,$A32,'MSCS Review Responses'!A$2:A$609,"&lt;&gt;")&gt;0, COUNTIFS('MSCS Review Responses'!$B$2:$B$609,$A32,'MSCS Review Responses'!A$2:A$609,"&lt;&gt;")&amp;" reviews", "NA")</f>
        <v>2 reviews</v>
      </c>
      <c r="D32" s="116">
        <f>IFERROR(AVERAGEIF('MSCS Review Responses'!$B$2:$B$609,A32,'MSCS Review Responses'!$C$2:$C$609),"NA")</f>
        <v>4</v>
      </c>
      <c r="E32" s="116">
        <f>IFERROR(AVERAGEIF('MSCS Review Responses'!$B$2:$B$609,$A32,'MSCS Review Responses'!$D$2:$D$609),"NA")</f>
        <v>4</v>
      </c>
      <c r="F32" s="116">
        <f>IFERROR(AVERAGEIF('MSCS Review Responses'!$B$2:$B$609,$A32,'MSCS Review Responses'!$E$2:$E$609),"NA")</f>
        <v>4.5</v>
      </c>
      <c r="G32" s="116">
        <f>IFERROR(AVERAGEIF('MSCS Review Responses'!$B$2:$B$609,$A32,'MSCS Review Responses'!$F$2:$F$609),"NA")</f>
        <v>32.5</v>
      </c>
      <c r="H32" s="117">
        <v>25</v>
      </c>
      <c r="I32" s="87"/>
      <c r="J32" s="6"/>
      <c r="K32" s="6"/>
      <c r="L32" s="6"/>
      <c r="M32" s="6"/>
      <c r="N32" s="6"/>
      <c r="O32" s="6"/>
      <c r="P32" s="6"/>
      <c r="Q32" s="6"/>
      <c r="R32" s="6"/>
      <c r="S32" s="6"/>
    </row>
    <row r="33" spans="1:19">
      <c r="A33" s="118" t="s">
        <v>255</v>
      </c>
      <c r="B33" s="135" t="s">
        <v>128</v>
      </c>
      <c r="C33" s="120" t="str">
        <f>IF(COUNTIFS('MSCS Review Responses'!$B$2:$B$609,$A33,'MSCS Review Responses'!A$2:A$609,"&lt;&gt;")&gt;0, COUNTIFS('MSCS Review Responses'!$B$2:$B$609,$A33,'MSCS Review Responses'!A$2:A$609,"&lt;&gt;")&amp;" reviews", "NA")</f>
        <v>1 reviews</v>
      </c>
      <c r="D33" s="121">
        <f>IFERROR(AVERAGEIF('MSCS Review Responses'!$B$2:$B$609,A33,'MSCS Review Responses'!$C$2:$C$609),"NA")</f>
        <v>4</v>
      </c>
      <c r="E33" s="121">
        <f>IFERROR(AVERAGEIF('MSCS Review Responses'!$B$2:$B$609,$A33,'MSCS Review Responses'!$D$2:$D$609),"NA")</f>
        <v>5</v>
      </c>
      <c r="F33" s="121">
        <f>IFERROR(AVERAGEIF('MSCS Review Responses'!$B$2:$B$609,$A33,'MSCS Review Responses'!$E$2:$E$609),"NA")</f>
        <v>4</v>
      </c>
      <c r="G33" s="121">
        <f>IFERROR(AVERAGEIF('MSCS Review Responses'!$B$2:$B$609,$A33,'MSCS Review Responses'!$F$2:$F$609),"NA")</f>
        <v>40</v>
      </c>
      <c r="H33" s="122">
        <v>42</v>
      </c>
      <c r="I33" s="87"/>
      <c r="J33" s="6"/>
      <c r="K33" s="6"/>
      <c r="L33" s="6"/>
      <c r="M33" s="6"/>
      <c r="N33" s="6"/>
      <c r="O33" s="6"/>
      <c r="P33" s="6"/>
      <c r="Q33" s="6"/>
      <c r="R33" s="6"/>
      <c r="S33" s="6"/>
    </row>
    <row r="34" spans="1:19">
      <c r="A34" s="108" t="s">
        <v>256</v>
      </c>
      <c r="B34" s="133" t="s">
        <v>138</v>
      </c>
      <c r="C34" s="110" t="str">
        <f>IF(COUNTIFS('MSCS Review Responses'!$B$2:$B$609,$A34,'MSCS Review Responses'!A$2:A$609,"&lt;&gt;")&gt;0, COUNTIFS('MSCS Review Responses'!$B$2:$B$609,$A34,'MSCS Review Responses'!A$2:A$609,"&lt;&gt;")&amp;" reviews", "NA")</f>
        <v>NA</v>
      </c>
      <c r="D34" s="111" t="str">
        <f>IFERROR(AVERAGEIF('MSCS Review Responses'!$B$2:$B$609,A34,'MSCS Review Responses'!$C$2:$C$609),"NA")</f>
        <v>NA</v>
      </c>
      <c r="E34" s="111" t="str">
        <f>IFERROR(AVERAGEIF('MSCS Review Responses'!$B$2:$B$609,$A34,'MSCS Review Responses'!$D$2:$D$609),"NA")</f>
        <v>NA</v>
      </c>
      <c r="F34" s="111" t="str">
        <f>IFERROR(AVERAGEIF('MSCS Review Responses'!$B$2:$B$609,$A34,'MSCS Review Responses'!$E$2:$E$609),"NA")</f>
        <v>NA</v>
      </c>
      <c r="G34" s="111" t="str">
        <f>IFERROR(AVERAGEIF('MSCS Review Responses'!$B$2:$B$609,$A34,'MSCS Review Responses'!$F$2:$F$609),"NA")</f>
        <v>NA</v>
      </c>
      <c r="H34" s="112" t="s">
        <v>45</v>
      </c>
      <c r="I34" s="87"/>
      <c r="J34" s="6"/>
      <c r="K34" s="6"/>
      <c r="L34" s="6"/>
      <c r="M34" s="6"/>
      <c r="N34" s="6"/>
      <c r="O34" s="6"/>
      <c r="P34" s="6"/>
      <c r="Q34" s="6"/>
      <c r="R34" s="6"/>
      <c r="S34" s="6"/>
    </row>
    <row r="35" spans="1:19">
      <c r="A35" s="113" t="s">
        <v>257</v>
      </c>
      <c r="B35" s="134" t="s">
        <v>138</v>
      </c>
      <c r="C35" s="115" t="str">
        <f>IF(COUNTIFS('MSCS Review Responses'!$B$2:$B$609,$A35,'MSCS Review Responses'!A$2:A$609,"&lt;&gt;")&gt;0, COUNTIFS('MSCS Review Responses'!$B$2:$B$609,$A35,'MSCS Review Responses'!A$2:A$609,"&lt;&gt;")&amp;" reviews", "NA")</f>
        <v>NA</v>
      </c>
      <c r="D35" s="116" t="str">
        <f>IFERROR(AVERAGEIF('MSCS Review Responses'!$B$2:$B$609,A35,'MSCS Review Responses'!$C$2:$C$609),"NA")</f>
        <v>NA</v>
      </c>
      <c r="E35" s="116" t="str">
        <f>IFERROR(AVERAGEIF('MSCS Review Responses'!$B$2:$B$609,$A35,'MSCS Review Responses'!$D$2:$D$609),"NA")</f>
        <v>NA</v>
      </c>
      <c r="F35" s="116" t="str">
        <f>IFERROR(AVERAGEIF('MSCS Review Responses'!$B$2:$B$609,$A35,'MSCS Review Responses'!$E$2:$E$609),"NA")</f>
        <v>NA</v>
      </c>
      <c r="G35" s="116" t="str">
        <f>IFERROR(AVERAGEIF('MSCS Review Responses'!$B$2:$B$609,$A35,'MSCS Review Responses'!$F$2:$F$609),"NA")</f>
        <v>NA</v>
      </c>
      <c r="H35" s="117" t="s">
        <v>45</v>
      </c>
      <c r="I35" s="87"/>
      <c r="J35" s="6"/>
      <c r="K35" s="6"/>
      <c r="L35" s="6"/>
      <c r="M35" s="6"/>
      <c r="N35" s="6"/>
      <c r="O35" s="6"/>
      <c r="P35" s="6"/>
      <c r="Q35" s="6"/>
      <c r="R35" s="6"/>
      <c r="S35" s="6"/>
    </row>
    <row r="36" spans="1:19">
      <c r="A36" s="137" t="s">
        <v>258</v>
      </c>
      <c r="B36" s="138" t="s">
        <v>138</v>
      </c>
      <c r="C36" s="139" t="str">
        <f>IF(COUNTIFS('MSCS Review Responses'!$B$2:$B$609,$A36,'MSCS Review Responses'!A$2:A$609,"&lt;&gt;")&gt;0, COUNTIFS('MSCS Review Responses'!$B$2:$B$609,$A36,'MSCS Review Responses'!A$2:A$609,"&lt;&gt;")&amp;" reviews", "NA")</f>
        <v>NA</v>
      </c>
      <c r="D36" s="140" t="str">
        <f>IFERROR(AVERAGEIF('MSCS Review Responses'!$B$2:$B$609,A36,'MSCS Review Responses'!$C$2:$C$609),"NA")</f>
        <v>NA</v>
      </c>
      <c r="E36" s="140" t="str">
        <f>IFERROR(AVERAGEIF('MSCS Review Responses'!$B$2:$B$609,$A36,'MSCS Review Responses'!$D$2:$D$609),"NA")</f>
        <v>NA</v>
      </c>
      <c r="F36" s="140" t="str">
        <f>IFERROR(AVERAGEIF('MSCS Review Responses'!$B$2:$B$609,$A36,'MSCS Review Responses'!$E$2:$E$609),"NA")</f>
        <v>NA</v>
      </c>
      <c r="G36" s="140" t="str">
        <f>IFERROR(AVERAGEIF('MSCS Review Responses'!$B$2:$B$609,$A36,'MSCS Review Responses'!$F$2:$F$609),"NA")</f>
        <v>NA</v>
      </c>
      <c r="H36" s="141" t="s">
        <v>45</v>
      </c>
      <c r="I36" s="87"/>
      <c r="J36" s="6"/>
      <c r="K36" s="6"/>
      <c r="L36" s="6"/>
      <c r="M36" s="6"/>
      <c r="N36" s="6"/>
      <c r="O36" s="6"/>
      <c r="P36" s="6"/>
      <c r="Q36" s="6"/>
      <c r="R36" s="6"/>
      <c r="S36" s="6"/>
    </row>
    <row r="37" spans="1:19">
      <c r="A37" s="142" t="s">
        <v>259</v>
      </c>
      <c r="B37" s="143" t="s">
        <v>145</v>
      </c>
      <c r="C37" s="110" t="str">
        <f>IF(COUNTIFS('MSCS Review Responses'!$B$2:$B$609,$A37,'MSCS Review Responses'!A$2:A$609,"&lt;&gt;")&gt;0, COUNTIFS('MSCS Review Responses'!$B$2:$B$609,$A37,'MSCS Review Responses'!A$2:A$609,"&lt;&gt;")&amp;" reviews", "NA")</f>
        <v>NA</v>
      </c>
      <c r="D37" s="110" t="str">
        <f>IFERROR(AVERAGEIF('MSCS Review Responses'!$B$2:$B$609,A37,'MSCS Review Responses'!$C$2:$C$609),"NA")</f>
        <v>NA</v>
      </c>
      <c r="E37" s="110" t="str">
        <f>IFERROR(AVERAGEIF('MSCS Review Responses'!$B$2:$B$609,$A37,'MSCS Review Responses'!$D$2:$D$609),"NA")</f>
        <v>NA</v>
      </c>
      <c r="F37" s="110" t="str">
        <f>IFERROR(AVERAGEIF('MSCS Review Responses'!$B$2:$B$609,$A37,'MSCS Review Responses'!$E$2:$E$609),"NA")</f>
        <v>NA</v>
      </c>
      <c r="G37" s="110" t="str">
        <f>IFERROR(AVERAGEIF('MSCS Review Responses'!$B$2:$B$609,$A37,'MSCS Review Responses'!$F$2:$F$609),"NA")</f>
        <v>NA</v>
      </c>
      <c r="H37" s="144">
        <v>29</v>
      </c>
      <c r="I37" s="87"/>
      <c r="J37" s="6"/>
      <c r="K37" s="6"/>
      <c r="L37" s="6"/>
      <c r="M37" s="6"/>
      <c r="N37" s="6"/>
      <c r="O37" s="6"/>
      <c r="P37" s="6"/>
      <c r="Q37" s="6"/>
      <c r="R37" s="6"/>
      <c r="S37" s="6"/>
    </row>
    <row r="38" spans="1:19">
      <c r="A38" s="145" t="s">
        <v>260</v>
      </c>
      <c r="B38" s="146" t="s">
        <v>145</v>
      </c>
      <c r="C38" s="115" t="str">
        <f>IF(COUNTIFS('MSCS Review Responses'!$B$2:$B$609,$A38,'MSCS Review Responses'!A$2:A$609,"&lt;&gt;")&gt;0, COUNTIFS('MSCS Review Responses'!$B$2:$B$609,$A38,'MSCS Review Responses'!A$2:A$609,"&lt;&gt;")&amp;" reviews", "NA")</f>
        <v>NA</v>
      </c>
      <c r="D38" s="115" t="str">
        <f>IFERROR(AVERAGEIF('MSCS Review Responses'!$B$2:$B$609,A38,'MSCS Review Responses'!$C$2:$C$609),"NA")</f>
        <v>NA</v>
      </c>
      <c r="E38" s="115" t="str">
        <f>IFERROR(AVERAGEIF('MSCS Review Responses'!$B$2:$B$609,$A38,'MSCS Review Responses'!$D$2:$D$609),"NA")</f>
        <v>NA</v>
      </c>
      <c r="F38" s="115" t="str">
        <f>IFERROR(AVERAGEIF('MSCS Review Responses'!$B$2:$B$609,$A38,'MSCS Review Responses'!$E$2:$E$609),"NA")</f>
        <v>NA</v>
      </c>
      <c r="G38" s="115" t="str">
        <f>IFERROR(AVERAGEIF('MSCS Review Responses'!$B$2:$B$609,$A38,'MSCS Review Responses'!$F$2:$F$609),"NA")</f>
        <v>NA</v>
      </c>
      <c r="H38" s="147" t="s">
        <v>45</v>
      </c>
      <c r="I38" s="87"/>
      <c r="J38" s="6"/>
      <c r="K38" s="6"/>
      <c r="L38" s="6"/>
      <c r="M38" s="6"/>
      <c r="N38" s="6"/>
      <c r="O38" s="6"/>
      <c r="P38" s="6"/>
      <c r="Q38" s="6"/>
      <c r="R38" s="6"/>
      <c r="S38" s="6"/>
    </row>
    <row r="39" spans="1:19">
      <c r="A39" s="148" t="s">
        <v>261</v>
      </c>
      <c r="B39" s="149" t="s">
        <v>145</v>
      </c>
      <c r="C39" s="120" t="str">
        <f>IF(COUNTIFS('MSCS Review Responses'!$B$2:$B$609,$A39,'MSCS Review Responses'!A$2:A$609,"&lt;&gt;")&gt;0, COUNTIFS('MSCS Review Responses'!$B$2:$B$609,$A39,'MSCS Review Responses'!A$2:A$609,"&lt;&gt;")&amp;" reviews", "NA")</f>
        <v>NA</v>
      </c>
      <c r="D39" s="120" t="str">
        <f>IFERROR(AVERAGEIF('MSCS Review Responses'!$B$2:$B$609,A39,'MSCS Review Responses'!$C$2:$C$609),"NA")</f>
        <v>NA</v>
      </c>
      <c r="E39" s="120" t="str">
        <f>IFERROR(AVERAGEIF('MSCS Review Responses'!$B$2:$B$609,$A39,'MSCS Review Responses'!$D$2:$D$609),"NA")</f>
        <v>NA</v>
      </c>
      <c r="F39" s="120" t="str">
        <f>IFERROR(AVERAGEIF('MSCS Review Responses'!$B$2:$B$609,$A39,'MSCS Review Responses'!$E$2:$E$609),"NA")</f>
        <v>NA</v>
      </c>
      <c r="G39" s="120" t="str">
        <f>IFERROR(AVERAGEIF('MSCS Review Responses'!$B$2:$B$609,$A39,'MSCS Review Responses'!$F$2:$F$609),"NA")</f>
        <v>NA</v>
      </c>
      <c r="H39" s="150" t="s">
        <v>45</v>
      </c>
      <c r="I39" s="87"/>
      <c r="J39" s="6"/>
      <c r="K39" s="6"/>
      <c r="L39" s="6"/>
      <c r="M39" s="6"/>
      <c r="N39" s="6"/>
      <c r="O39" s="6"/>
      <c r="P39" s="6"/>
      <c r="Q39" s="6"/>
      <c r="R39" s="6"/>
      <c r="S39" s="6"/>
    </row>
    <row r="40" spans="1:19">
      <c r="A40" s="142" t="s">
        <v>262</v>
      </c>
      <c r="B40" s="143" t="s">
        <v>153</v>
      </c>
      <c r="C40" s="110" t="str">
        <f>IF(COUNTIFS('MSCS Review Responses'!$B$2:$B$609,$A40,'MSCS Review Responses'!A$2:A$609,"&lt;&gt;")&gt;0, COUNTIFS('MSCS Review Responses'!$B$2:$B$609,$A40,'MSCS Review Responses'!A$2:A$609,"&lt;&gt;")&amp;" reviews", "NA")</f>
        <v>2 reviews</v>
      </c>
      <c r="D40" s="110">
        <f>IFERROR(AVERAGEIF('MSCS Review Responses'!$B$2:$B$609,A40,'MSCS Review Responses'!$C$2:$C$609),"NA")</f>
        <v>5</v>
      </c>
      <c r="E40" s="110">
        <f>IFERROR(AVERAGEIF('MSCS Review Responses'!$B$2:$B$609,$A40,'MSCS Review Responses'!$D$2:$D$609),"NA")</f>
        <v>2.5</v>
      </c>
      <c r="F40" s="110">
        <f>IFERROR(AVERAGEIF('MSCS Review Responses'!$B$2:$B$609,$A40,'MSCS Review Responses'!$E$2:$E$609),"NA")</f>
        <v>5</v>
      </c>
      <c r="G40" s="110">
        <f>IFERROR(AVERAGEIF('MSCS Review Responses'!$B$2:$B$609,$A40,'MSCS Review Responses'!$F$2:$F$609),"NA")</f>
        <v>22.5</v>
      </c>
      <c r="H40" s="144">
        <v>20</v>
      </c>
      <c r="I40" s="87"/>
      <c r="J40" s="6"/>
      <c r="K40" s="6"/>
      <c r="L40" s="6"/>
      <c r="M40" s="6"/>
      <c r="N40" s="6"/>
      <c r="O40" s="6"/>
      <c r="P40" s="6"/>
      <c r="Q40" s="6"/>
      <c r="R40" s="6"/>
      <c r="S40" s="6"/>
    </row>
    <row r="41" spans="1:19">
      <c r="A41" s="145" t="s">
        <v>263</v>
      </c>
      <c r="B41" s="146" t="s">
        <v>153</v>
      </c>
      <c r="C41" s="115" t="str">
        <f>IF(COUNTIFS('MSCS Review Responses'!$B$2:$B$609,$A41,'MSCS Review Responses'!A$2:A$609,"&lt;&gt;")&gt;0, COUNTIFS('MSCS Review Responses'!$B$2:$B$609,$A41,'MSCS Review Responses'!A$2:A$609,"&lt;&gt;")&amp;" reviews", "NA")</f>
        <v>NA</v>
      </c>
      <c r="D41" s="115" t="str">
        <f>IFERROR(AVERAGEIF('MSCS Review Responses'!$B$2:$B$609,A41,'MSCS Review Responses'!$C$2:$C$609),"NA")</f>
        <v>NA</v>
      </c>
      <c r="E41" s="115" t="str">
        <f>IFERROR(AVERAGEIF('MSCS Review Responses'!$B$2:$B$609,$A41,'MSCS Review Responses'!$D$2:$D$609),"NA")</f>
        <v>NA</v>
      </c>
      <c r="F41" s="115" t="str">
        <f>IFERROR(AVERAGEIF('MSCS Review Responses'!$B$2:$B$609,$A41,'MSCS Review Responses'!$E$2:$E$609),"NA")</f>
        <v>NA</v>
      </c>
      <c r="G41" s="115" t="str">
        <f>IFERROR(AVERAGEIF('MSCS Review Responses'!$B$2:$B$609,$A41,'MSCS Review Responses'!$F$2:$F$609),"NA")</f>
        <v>NA</v>
      </c>
      <c r="H41" s="147" t="s">
        <v>45</v>
      </c>
      <c r="I41" s="87"/>
      <c r="J41" s="6"/>
      <c r="K41" s="6"/>
      <c r="L41" s="6"/>
      <c r="M41" s="6"/>
      <c r="N41" s="6"/>
      <c r="O41" s="6"/>
      <c r="P41" s="6"/>
      <c r="Q41" s="6"/>
      <c r="R41" s="6"/>
      <c r="S41" s="6"/>
    </row>
    <row r="42" spans="1:19">
      <c r="A42" s="148" t="s">
        <v>264</v>
      </c>
      <c r="B42" s="149" t="s">
        <v>153</v>
      </c>
      <c r="C42" s="139" t="str">
        <f>IF(COUNTIFS('MSCS Review Responses'!$B$2:$B$609,$A42,'MSCS Review Responses'!A$2:A$609,"&lt;&gt;")&gt;0, COUNTIFS('MSCS Review Responses'!$B$2:$B$609,$A42,'MSCS Review Responses'!A$2:A$609,"&lt;&gt;")&amp;" reviews", "NA")</f>
        <v>NA</v>
      </c>
      <c r="D42" s="139" t="str">
        <f>IFERROR(AVERAGEIF('MSCS Review Responses'!$B$2:$B$609,A42,'MSCS Review Responses'!$C$2:$C$609),"NA")</f>
        <v>NA</v>
      </c>
      <c r="E42" s="139" t="str">
        <f>IFERROR(AVERAGEIF('MSCS Review Responses'!$B$2:$B$609,$A42,'MSCS Review Responses'!$D$2:$D$609),"NA")</f>
        <v>NA</v>
      </c>
      <c r="F42" s="139" t="str">
        <f>IFERROR(AVERAGEIF('MSCS Review Responses'!$B$2:$B$609,$A42,'MSCS Review Responses'!$E$2:$E$609),"NA")</f>
        <v>NA</v>
      </c>
      <c r="G42" s="139" t="str">
        <f>IFERROR(AVERAGEIF('MSCS Review Responses'!$B$2:$B$609,$A42,'MSCS Review Responses'!$F$2:$F$609),"NA")</f>
        <v>NA</v>
      </c>
      <c r="H42" s="151" t="s">
        <v>45</v>
      </c>
      <c r="I42" s="87"/>
      <c r="J42" s="6"/>
      <c r="K42" s="6"/>
      <c r="L42" s="6"/>
      <c r="M42" s="6"/>
      <c r="N42" s="6"/>
      <c r="O42" s="6"/>
      <c r="P42" s="6"/>
      <c r="Q42" s="6"/>
      <c r="R42" s="6"/>
      <c r="S42" s="6"/>
    </row>
    <row r="43" spans="1:19">
      <c r="A43" s="152" t="s">
        <v>265</v>
      </c>
      <c r="B43" s="133" t="s">
        <v>161</v>
      </c>
      <c r="C43" s="153" t="str">
        <f>IF(COUNTIFS('MSCS Review Responses'!$B$2:$B$609,$A43,'MSCS Review Responses'!A$2:A$609,"&lt;&gt;")&gt;0, COUNTIFS('MSCS Review Responses'!$B$2:$B$609,$A43,'MSCS Review Responses'!A$2:A$609,"&lt;&gt;")&amp;" reviews", "NA")</f>
        <v>NA</v>
      </c>
      <c r="D43" s="110" t="str">
        <f>IFERROR(AVERAGEIF('MSCS Review Responses'!$B$2:$B$609,A43,'MSCS Review Responses'!$C$2:$C$609),"NA")</f>
        <v>NA</v>
      </c>
      <c r="E43" s="153" t="str">
        <f>IFERROR(AVERAGEIF('MSCS Review Responses'!$B$2:$B$609,$A43,'MSCS Review Responses'!$D$2:$D$609),"NA")</f>
        <v>NA</v>
      </c>
      <c r="F43" s="110" t="str">
        <f>IFERROR(AVERAGEIF('MSCS Review Responses'!$B$2:$B$609,$A43,'MSCS Review Responses'!$E$2:$E$609),"NA")</f>
        <v>NA</v>
      </c>
      <c r="G43" s="153" t="str">
        <f>IFERROR(AVERAGEIF('MSCS Review Responses'!$B$2:$B$609,$A43,'MSCS Review Responses'!$F$2:$F$609),"NA")</f>
        <v>NA</v>
      </c>
      <c r="H43" s="112">
        <f>'MSCS Info'!E43</f>
        <v>21</v>
      </c>
      <c r="I43" s="87"/>
      <c r="J43" s="6"/>
      <c r="K43" s="6"/>
      <c r="L43" s="6"/>
      <c r="M43" s="6"/>
      <c r="N43" s="6"/>
      <c r="O43" s="6"/>
      <c r="P43" s="6"/>
      <c r="Q43" s="6"/>
      <c r="R43" s="6"/>
      <c r="S43" s="6"/>
    </row>
    <row r="44" spans="1:19">
      <c r="A44" s="154" t="s">
        <v>266</v>
      </c>
      <c r="B44" s="134" t="s">
        <v>161</v>
      </c>
      <c r="C44" s="155" t="s">
        <v>267</v>
      </c>
      <c r="D44" s="115" t="s">
        <v>267</v>
      </c>
      <c r="E44" s="155" t="s">
        <v>267</v>
      </c>
      <c r="F44" s="115" t="s">
        <v>267</v>
      </c>
      <c r="G44" s="155" t="s">
        <v>267</v>
      </c>
      <c r="H44" s="117" t="s">
        <v>45</v>
      </c>
      <c r="I44" s="87"/>
      <c r="J44" s="6"/>
      <c r="K44" s="6"/>
      <c r="L44" s="6"/>
      <c r="M44" s="6"/>
      <c r="N44" s="6"/>
      <c r="O44" s="6"/>
      <c r="P44" s="6"/>
      <c r="Q44" s="6"/>
      <c r="R44" s="6"/>
      <c r="S44" s="6"/>
    </row>
    <row r="45" spans="1:19">
      <c r="A45" s="156" t="s">
        <v>268</v>
      </c>
      <c r="B45" s="135" t="s">
        <v>161</v>
      </c>
      <c r="C45" s="157" t="s">
        <v>267</v>
      </c>
      <c r="D45" s="120" t="s">
        <v>267</v>
      </c>
      <c r="E45" s="157" t="s">
        <v>267</v>
      </c>
      <c r="F45" s="120" t="s">
        <v>267</v>
      </c>
      <c r="G45" s="157" t="s">
        <v>267</v>
      </c>
      <c r="H45" s="122" t="s">
        <v>45</v>
      </c>
      <c r="I45" s="87"/>
      <c r="J45" s="6"/>
      <c r="K45" s="6"/>
      <c r="L45" s="6"/>
      <c r="M45" s="6"/>
      <c r="N45" s="6"/>
      <c r="O45" s="6"/>
      <c r="P45" s="6"/>
      <c r="Q45" s="6"/>
      <c r="R45" s="6"/>
      <c r="S45" s="6"/>
    </row>
    <row r="46" spans="1:19">
      <c r="A46" s="158" t="s">
        <v>269</v>
      </c>
      <c r="B46" s="159" t="s">
        <v>171</v>
      </c>
      <c r="C46" s="160" t="str">
        <f>IF(COUNTIFS('MSCS Review Responses'!$B$2:$B$609,$A46,'MSCS Review Responses'!A$2:A$609,"&lt;&gt;")&gt;0, COUNTIFS('MSCS Review Responses'!$B$2:$B$609,$A46,'MSCS Review Responses'!A$2:A$609,"&lt;&gt;")&amp;" reviews", "NA")</f>
        <v>1 reviews</v>
      </c>
      <c r="D46" s="160">
        <f>IFERROR(AVERAGEIF('MSCS Review Responses'!$B$2:$B$609,A46,'MSCS Review Responses'!$C$2:$C$609),"NA")</f>
        <v>4</v>
      </c>
      <c r="E46" s="160">
        <f>IFERROR(AVERAGEIF('MSCS Review Responses'!$B$2:$B$609,$A46,'MSCS Review Responses'!$D$2:$D$609),"NA")</f>
        <v>2</v>
      </c>
      <c r="F46" s="160">
        <f>IFERROR(AVERAGEIF('MSCS Review Responses'!$B$2:$B$609,$A46,'MSCS Review Responses'!$E$2:$E$609),"NA")</f>
        <v>5</v>
      </c>
      <c r="G46" s="160">
        <f>IFERROR(AVERAGEIF('MSCS Review Responses'!$B$2:$B$609,$A46,'MSCS Review Responses'!$F$2:$F$609),"NA")</f>
        <v>20</v>
      </c>
      <c r="H46" s="161">
        <v>14</v>
      </c>
      <c r="I46" s="87"/>
      <c r="J46" s="6"/>
      <c r="K46" s="6"/>
      <c r="L46" s="6"/>
      <c r="M46" s="6"/>
      <c r="N46" s="6"/>
      <c r="O46" s="6"/>
      <c r="P46" s="6"/>
      <c r="Q46" s="6"/>
      <c r="R46" s="6"/>
      <c r="S46" s="6"/>
    </row>
    <row r="47" spans="1:19">
      <c r="A47" s="128" t="s">
        <v>270</v>
      </c>
      <c r="B47" s="162" t="s">
        <v>171</v>
      </c>
      <c r="C47" s="160" t="str">
        <f>IF(COUNTIFS('MSCS Review Responses'!$B$2:$B$609,$A47,'MSCS Review Responses'!A$2:A$609,"&lt;&gt;")&gt;0, COUNTIFS('MSCS Review Responses'!$B$2:$B$609,$A47,'MSCS Review Responses'!A$2:A$609,"&lt;&gt;")&amp;" reviews", "NA")</f>
        <v>NA</v>
      </c>
      <c r="D47" s="160" t="str">
        <f>IFERROR(AVERAGEIF('MSCS Review Responses'!$B$2:$B$609,A47,'MSCS Review Responses'!$C$2:$C$609),"NA")</f>
        <v>NA</v>
      </c>
      <c r="E47" s="160" t="str">
        <f>IFERROR(AVERAGEIF('MSCS Review Responses'!$B$2:$B$609,$A47,'MSCS Review Responses'!$D$2:$D$609),"NA")</f>
        <v>NA</v>
      </c>
      <c r="F47" s="160" t="str">
        <f>IFERROR(AVERAGEIF('MSCS Review Responses'!$B$2:$B$609,$A47,'MSCS Review Responses'!$E$2:$E$609),"NA")</f>
        <v>NA</v>
      </c>
      <c r="G47" s="160" t="str">
        <f>IFERROR(AVERAGEIF('MSCS Review Responses'!$B$2:$B$609,$A47,'MSCS Review Responses'!$F$2:$F$609),"NA")</f>
        <v>NA</v>
      </c>
      <c r="H47" s="161">
        <v>20</v>
      </c>
      <c r="I47" s="87"/>
      <c r="J47" s="6"/>
      <c r="K47" s="6"/>
      <c r="L47" s="6"/>
      <c r="M47" s="6"/>
      <c r="N47" s="6"/>
      <c r="O47" s="6"/>
      <c r="P47" s="6"/>
      <c r="Q47" s="6"/>
      <c r="R47" s="6"/>
      <c r="S47" s="6"/>
    </row>
    <row r="48" spans="1:19">
      <c r="A48" s="163"/>
      <c r="B48" s="164"/>
      <c r="C48" s="164"/>
      <c r="D48" s="164"/>
      <c r="E48" s="164"/>
      <c r="F48" s="165"/>
      <c r="G48" s="165"/>
      <c r="H48" s="165"/>
      <c r="I48" s="6"/>
      <c r="J48" s="6"/>
      <c r="K48" s="6"/>
      <c r="L48" s="6"/>
      <c r="M48" s="6"/>
      <c r="N48" s="6"/>
      <c r="O48" s="6"/>
      <c r="P48" s="6"/>
      <c r="Q48" s="6"/>
      <c r="R48" s="6"/>
      <c r="S48" s="6"/>
    </row>
    <row r="49" spans="1:19">
      <c r="A49" s="78"/>
      <c r="B49" s="79"/>
      <c r="C49" s="79"/>
      <c r="D49" s="79"/>
      <c r="E49" s="79"/>
      <c r="F49" s="78"/>
      <c r="G49" s="78"/>
      <c r="H49" s="78"/>
      <c r="I49" s="6"/>
      <c r="J49" s="6"/>
      <c r="K49" s="6"/>
      <c r="L49" s="6"/>
      <c r="M49" s="6"/>
      <c r="N49" s="6"/>
      <c r="O49" s="6"/>
      <c r="P49" s="6"/>
      <c r="Q49" s="6"/>
      <c r="R49" s="6"/>
      <c r="S49" s="6"/>
    </row>
    <row r="50" spans="1:19">
      <c r="A50" s="81"/>
      <c r="B50" s="80"/>
      <c r="C50" s="80"/>
      <c r="D50" s="80"/>
      <c r="E50" s="80"/>
      <c r="F50" s="81"/>
      <c r="G50" s="81"/>
      <c r="H50" s="81"/>
      <c r="I50" s="6"/>
      <c r="J50" s="6"/>
      <c r="K50" s="6"/>
      <c r="L50" s="6"/>
      <c r="M50" s="6"/>
      <c r="N50" s="6"/>
      <c r="O50" s="6"/>
      <c r="P50" s="6"/>
      <c r="Q50" s="6"/>
      <c r="R50" s="6"/>
      <c r="S50" s="6"/>
    </row>
    <row r="51" spans="1:19">
      <c r="A51" s="81"/>
      <c r="B51" s="80"/>
      <c r="C51" s="80"/>
      <c r="D51" s="80"/>
      <c r="E51" s="80"/>
      <c r="F51" s="81"/>
      <c r="G51" s="81"/>
      <c r="H51" s="81"/>
      <c r="I51" s="6"/>
      <c r="J51" s="6"/>
      <c r="K51" s="6"/>
      <c r="L51" s="6"/>
      <c r="M51" s="6"/>
      <c r="N51" s="6"/>
      <c r="O51" s="6"/>
      <c r="P51" s="6"/>
      <c r="Q51" s="6"/>
      <c r="R51" s="6"/>
      <c r="S51" s="6"/>
    </row>
    <row r="52" spans="1:19">
      <c r="A52" s="81"/>
      <c r="B52" s="80"/>
      <c r="C52" s="80"/>
      <c r="D52" s="80"/>
      <c r="E52" s="80"/>
      <c r="F52" s="81"/>
      <c r="G52" s="81"/>
      <c r="H52" s="81"/>
      <c r="I52" s="6"/>
      <c r="J52" s="6"/>
      <c r="K52" s="6"/>
      <c r="L52" s="6"/>
      <c r="M52" s="6"/>
      <c r="N52" s="6"/>
      <c r="O52" s="6"/>
      <c r="P52" s="6"/>
      <c r="Q52" s="6"/>
      <c r="R52" s="6"/>
      <c r="S52" s="6"/>
    </row>
    <row r="53" spans="1:19">
      <c r="A53" s="81"/>
      <c r="B53" s="80"/>
      <c r="C53" s="80"/>
      <c r="D53" s="80"/>
      <c r="E53" s="80"/>
      <c r="F53" s="81"/>
      <c r="G53" s="81"/>
      <c r="H53" s="81"/>
      <c r="I53" s="6"/>
      <c r="J53" s="6"/>
      <c r="K53" s="6"/>
      <c r="L53" s="6"/>
      <c r="M53" s="6"/>
      <c r="N53" s="6"/>
      <c r="O53" s="6"/>
      <c r="P53" s="6"/>
      <c r="Q53" s="6"/>
      <c r="R53" s="6"/>
      <c r="S53" s="6"/>
    </row>
    <row r="54" spans="1:19">
      <c r="A54" s="81"/>
      <c r="B54" s="80"/>
      <c r="C54" s="80"/>
      <c r="D54" s="80"/>
      <c r="E54" s="80"/>
      <c r="F54" s="81"/>
      <c r="G54" s="81"/>
      <c r="H54" s="81"/>
      <c r="I54" s="6"/>
      <c r="J54" s="6"/>
      <c r="K54" s="6"/>
      <c r="L54" s="6"/>
      <c r="M54" s="6"/>
      <c r="N54" s="6"/>
      <c r="O54" s="6"/>
      <c r="P54" s="6"/>
      <c r="Q54" s="6"/>
      <c r="R54" s="6"/>
      <c r="S54" s="6"/>
    </row>
    <row r="55" spans="1:19">
      <c r="A55" s="81"/>
      <c r="B55" s="80"/>
      <c r="C55" s="80"/>
      <c r="D55" s="80"/>
      <c r="E55" s="80"/>
      <c r="F55" s="81"/>
      <c r="G55" s="81"/>
      <c r="H55" s="81"/>
      <c r="I55" s="6"/>
      <c r="J55" s="6"/>
      <c r="K55" s="6"/>
      <c r="L55" s="6"/>
      <c r="M55" s="6"/>
      <c r="N55" s="6"/>
      <c r="O55" s="6"/>
      <c r="P55" s="6"/>
      <c r="Q55" s="6"/>
      <c r="R55" s="6"/>
      <c r="S55" s="6"/>
    </row>
    <row r="56" spans="1:19">
      <c r="A56" s="81"/>
      <c r="B56" s="80"/>
      <c r="C56" s="80"/>
      <c r="D56" s="80"/>
      <c r="E56" s="80"/>
      <c r="F56" s="81"/>
      <c r="G56" s="81"/>
      <c r="H56" s="81"/>
      <c r="I56" s="6"/>
      <c r="J56" s="6"/>
      <c r="K56" s="6"/>
      <c r="L56" s="6"/>
      <c r="M56" s="6"/>
      <c r="N56" s="6"/>
      <c r="O56" s="6"/>
      <c r="P56" s="6"/>
      <c r="Q56" s="6"/>
      <c r="R56" s="6"/>
      <c r="S56" s="6"/>
    </row>
    <row r="57" spans="1:19">
      <c r="A57" s="81"/>
      <c r="B57" s="80"/>
      <c r="C57" s="80"/>
      <c r="D57" s="80"/>
      <c r="E57" s="80"/>
      <c r="F57" s="81"/>
      <c r="G57" s="81"/>
      <c r="H57" s="81"/>
      <c r="I57" s="6"/>
      <c r="J57" s="6"/>
      <c r="K57" s="6"/>
      <c r="L57" s="6"/>
      <c r="M57" s="6"/>
      <c r="N57" s="6"/>
      <c r="O57" s="6"/>
      <c r="P57" s="6"/>
      <c r="Q57" s="6"/>
      <c r="R57" s="6"/>
      <c r="S57" s="6"/>
    </row>
    <row r="58" spans="1:19">
      <c r="A58" s="81"/>
      <c r="B58" s="80"/>
      <c r="C58" s="80"/>
      <c r="D58" s="80"/>
      <c r="E58" s="80"/>
      <c r="F58" s="81"/>
      <c r="G58" s="81"/>
      <c r="H58" s="81"/>
      <c r="I58" s="6"/>
      <c r="J58" s="6"/>
      <c r="K58" s="6"/>
      <c r="L58" s="6"/>
      <c r="M58" s="6"/>
      <c r="N58" s="6"/>
      <c r="O58" s="6"/>
      <c r="P58" s="6"/>
      <c r="Q58" s="6"/>
      <c r="R58" s="6"/>
      <c r="S58" s="6"/>
    </row>
    <row r="59" spans="1:19">
      <c r="A59" s="83"/>
      <c r="B59" s="82"/>
      <c r="C59" s="82"/>
      <c r="D59" s="82"/>
      <c r="E59" s="82"/>
      <c r="F59" s="83"/>
      <c r="G59" s="83"/>
      <c r="H59" s="83"/>
      <c r="I59" s="6"/>
      <c r="J59" s="6"/>
      <c r="K59" s="6"/>
      <c r="L59" s="6"/>
      <c r="M59" s="6"/>
      <c r="N59" s="6"/>
      <c r="O59" s="6"/>
      <c r="P59" s="6"/>
      <c r="Q59" s="6"/>
      <c r="R59" s="6"/>
      <c r="S59" s="6"/>
    </row>
    <row r="60" spans="1:19">
      <c r="A60" s="83"/>
      <c r="B60" s="82"/>
      <c r="C60" s="82"/>
      <c r="D60" s="82"/>
      <c r="E60" s="82"/>
      <c r="F60" s="83"/>
      <c r="G60" s="83"/>
      <c r="H60" s="83"/>
      <c r="I60" s="6"/>
      <c r="J60" s="6"/>
      <c r="K60" s="6"/>
      <c r="L60" s="6"/>
      <c r="M60" s="6"/>
      <c r="N60" s="6"/>
      <c r="O60" s="6"/>
      <c r="P60" s="6"/>
      <c r="Q60" s="6"/>
      <c r="R60" s="6"/>
      <c r="S60" s="6"/>
    </row>
    <row r="61" spans="1:19">
      <c r="A61" s="83"/>
      <c r="B61" s="82"/>
      <c r="C61" s="82"/>
      <c r="D61" s="82"/>
      <c r="E61" s="82"/>
      <c r="F61" s="83"/>
      <c r="G61" s="83"/>
      <c r="H61" s="83"/>
      <c r="I61" s="6"/>
      <c r="J61" s="6"/>
      <c r="K61" s="6"/>
      <c r="L61" s="6"/>
      <c r="M61" s="6"/>
      <c r="N61" s="6"/>
      <c r="O61" s="6"/>
      <c r="P61" s="6"/>
      <c r="Q61" s="6"/>
      <c r="R61" s="6"/>
      <c r="S61" s="6"/>
    </row>
    <row r="62" spans="1:19">
      <c r="A62" s="83"/>
      <c r="B62" s="82"/>
      <c r="C62" s="82"/>
      <c r="D62" s="82"/>
      <c r="E62" s="82"/>
      <c r="F62" s="83"/>
      <c r="G62" s="83"/>
      <c r="H62" s="83"/>
      <c r="I62" s="6"/>
      <c r="J62" s="6"/>
      <c r="K62" s="6"/>
      <c r="L62" s="6"/>
      <c r="M62" s="6"/>
      <c r="N62" s="6"/>
      <c r="O62" s="6"/>
      <c r="P62" s="6"/>
      <c r="Q62" s="6"/>
      <c r="R62" s="6"/>
      <c r="S62" s="6"/>
    </row>
    <row r="63" spans="1:19">
      <c r="A63" s="83"/>
      <c r="B63" s="82"/>
      <c r="C63" s="82"/>
      <c r="D63" s="82"/>
      <c r="E63" s="82"/>
      <c r="F63" s="83"/>
      <c r="G63" s="83"/>
      <c r="H63" s="83"/>
      <c r="I63" s="6"/>
      <c r="J63" s="6"/>
      <c r="K63" s="6"/>
      <c r="L63" s="6"/>
      <c r="M63" s="6"/>
      <c r="N63" s="6"/>
      <c r="O63" s="6"/>
      <c r="P63" s="6"/>
      <c r="Q63" s="6"/>
      <c r="R63" s="6"/>
      <c r="S63" s="6"/>
    </row>
    <row r="64" spans="1:19">
      <c r="A64" s="83"/>
      <c r="B64" s="82"/>
      <c r="C64" s="82"/>
      <c r="D64" s="82"/>
      <c r="E64" s="82"/>
      <c r="F64" s="83"/>
      <c r="G64" s="83"/>
      <c r="H64" s="83"/>
      <c r="I64" s="6"/>
      <c r="J64" s="6"/>
      <c r="K64" s="6"/>
      <c r="L64" s="6"/>
      <c r="M64" s="6"/>
      <c r="N64" s="6"/>
      <c r="O64" s="6"/>
      <c r="P64" s="6"/>
      <c r="Q64" s="6"/>
      <c r="R64" s="6"/>
      <c r="S64" s="6"/>
    </row>
    <row r="65" spans="1:19">
      <c r="A65" s="83"/>
      <c r="B65" s="82"/>
      <c r="C65" s="82"/>
      <c r="D65" s="82"/>
      <c r="E65" s="82"/>
      <c r="F65" s="83"/>
      <c r="G65" s="83"/>
      <c r="H65" s="83"/>
      <c r="I65" s="6"/>
      <c r="J65" s="6"/>
      <c r="K65" s="6"/>
      <c r="L65" s="6"/>
      <c r="M65" s="6"/>
      <c r="N65" s="6"/>
      <c r="O65" s="6"/>
      <c r="P65" s="6"/>
      <c r="Q65" s="6"/>
      <c r="R65" s="6"/>
      <c r="S65" s="6"/>
    </row>
    <row r="66" spans="1:19">
      <c r="A66" s="83"/>
      <c r="B66" s="82"/>
      <c r="C66" s="82"/>
      <c r="D66" s="82"/>
      <c r="E66" s="82"/>
      <c r="F66" s="83"/>
      <c r="G66" s="83"/>
      <c r="H66" s="83"/>
      <c r="I66" s="6"/>
      <c r="J66" s="6"/>
      <c r="K66" s="6"/>
      <c r="L66" s="6"/>
      <c r="M66" s="6"/>
      <c r="N66" s="6"/>
      <c r="O66" s="6"/>
      <c r="P66" s="6"/>
      <c r="Q66" s="6"/>
      <c r="R66" s="6"/>
      <c r="S66" s="6"/>
    </row>
    <row r="67" spans="1:19">
      <c r="A67" s="83"/>
      <c r="B67" s="82"/>
      <c r="C67" s="82"/>
      <c r="D67" s="82"/>
      <c r="E67" s="82"/>
      <c r="F67" s="83"/>
      <c r="G67" s="83"/>
      <c r="H67" s="83"/>
      <c r="I67" s="6"/>
      <c r="J67" s="6"/>
      <c r="K67" s="6"/>
      <c r="L67" s="6"/>
      <c r="M67" s="6"/>
      <c r="N67" s="6"/>
      <c r="O67" s="6"/>
      <c r="P67" s="6"/>
      <c r="Q67" s="6"/>
      <c r="R67" s="6"/>
      <c r="S67" s="6"/>
    </row>
    <row r="68" spans="1:19">
      <c r="A68" s="83"/>
      <c r="B68" s="82"/>
      <c r="C68" s="82"/>
      <c r="D68" s="82"/>
      <c r="E68" s="82"/>
      <c r="F68" s="83"/>
      <c r="G68" s="83"/>
      <c r="H68" s="83"/>
      <c r="I68" s="6"/>
      <c r="J68" s="6"/>
      <c r="K68" s="6"/>
      <c r="L68" s="6"/>
      <c r="M68" s="6"/>
      <c r="N68" s="6"/>
      <c r="O68" s="6"/>
      <c r="P68" s="6"/>
      <c r="Q68" s="6"/>
      <c r="R68" s="6"/>
      <c r="S68" s="6"/>
    </row>
    <row r="69" spans="1:19">
      <c r="A69" s="83"/>
      <c r="B69" s="82"/>
      <c r="C69" s="82"/>
      <c r="D69" s="82"/>
      <c r="E69" s="82"/>
      <c r="F69" s="83"/>
      <c r="G69" s="83"/>
      <c r="H69" s="83"/>
      <c r="I69" s="6"/>
      <c r="J69" s="6"/>
      <c r="K69" s="6"/>
      <c r="L69" s="6"/>
      <c r="M69" s="6"/>
      <c r="N69" s="6"/>
      <c r="O69" s="6"/>
      <c r="P69" s="6"/>
      <c r="Q69" s="6"/>
      <c r="R69" s="6"/>
      <c r="S69" s="6"/>
    </row>
    <row r="70" spans="1:19">
      <c r="A70" s="83"/>
      <c r="B70" s="82"/>
      <c r="C70" s="82"/>
      <c r="D70" s="82"/>
      <c r="E70" s="82"/>
      <c r="F70" s="83"/>
      <c r="G70" s="83"/>
      <c r="H70" s="83"/>
      <c r="I70" s="6"/>
      <c r="J70" s="6"/>
      <c r="K70" s="6"/>
      <c r="L70" s="6"/>
      <c r="M70" s="6"/>
      <c r="N70" s="6"/>
      <c r="O70" s="6"/>
      <c r="P70" s="6"/>
      <c r="Q70" s="6"/>
      <c r="R70" s="6"/>
      <c r="S70" s="6"/>
    </row>
    <row r="71" spans="1:19">
      <c r="A71" s="83"/>
      <c r="B71" s="82"/>
      <c r="C71" s="82"/>
      <c r="D71" s="82"/>
      <c r="E71" s="82"/>
      <c r="F71" s="83"/>
      <c r="G71" s="83"/>
      <c r="H71" s="83"/>
      <c r="I71" s="6"/>
      <c r="J71" s="6"/>
      <c r="K71" s="6"/>
      <c r="L71" s="6"/>
      <c r="M71" s="6"/>
      <c r="N71" s="6"/>
      <c r="O71" s="6"/>
      <c r="P71" s="6"/>
      <c r="Q71" s="6"/>
      <c r="R71" s="6"/>
      <c r="S71" s="6"/>
    </row>
    <row r="72" spans="1:19">
      <c r="A72" s="83"/>
      <c r="B72" s="82"/>
      <c r="C72" s="82"/>
      <c r="D72" s="82"/>
      <c r="E72" s="82"/>
      <c r="F72" s="83"/>
      <c r="G72" s="83"/>
      <c r="H72" s="83"/>
      <c r="I72" s="6"/>
      <c r="J72" s="6"/>
      <c r="K72" s="6"/>
      <c r="L72" s="6"/>
      <c r="M72" s="6"/>
      <c r="N72" s="6"/>
      <c r="O72" s="6"/>
      <c r="P72" s="6"/>
      <c r="Q72" s="6"/>
      <c r="R72" s="6"/>
      <c r="S72" s="6"/>
    </row>
    <row r="73" spans="1:19">
      <c r="A73" s="83"/>
      <c r="B73" s="82"/>
      <c r="C73" s="82"/>
      <c r="D73" s="82"/>
      <c r="E73" s="82"/>
      <c r="F73" s="83"/>
      <c r="G73" s="83"/>
      <c r="H73" s="83"/>
      <c r="I73" s="6"/>
      <c r="J73" s="6"/>
      <c r="K73" s="6"/>
      <c r="L73" s="6"/>
      <c r="M73" s="6"/>
      <c r="N73" s="6"/>
      <c r="O73" s="6"/>
      <c r="P73" s="6"/>
      <c r="Q73" s="6"/>
      <c r="R73" s="6"/>
      <c r="S73" s="6"/>
    </row>
    <row r="74" spans="1:19">
      <c r="A74" s="83"/>
      <c r="B74" s="82"/>
      <c r="C74" s="82"/>
      <c r="D74" s="82"/>
      <c r="E74" s="82"/>
      <c r="F74" s="83"/>
      <c r="G74" s="83"/>
      <c r="H74" s="83"/>
      <c r="I74" s="6"/>
      <c r="J74" s="6"/>
      <c r="K74" s="6"/>
      <c r="L74" s="6"/>
      <c r="M74" s="6"/>
      <c r="N74" s="6"/>
      <c r="O74" s="6"/>
      <c r="P74" s="6"/>
      <c r="Q74" s="6"/>
      <c r="R74" s="6"/>
      <c r="S74" s="6"/>
    </row>
    <row r="75" spans="1:19">
      <c r="A75" s="83"/>
      <c r="B75" s="82"/>
      <c r="C75" s="82"/>
      <c r="D75" s="82"/>
      <c r="E75" s="82"/>
      <c r="F75" s="83"/>
      <c r="G75" s="83"/>
      <c r="H75" s="83"/>
      <c r="I75" s="6"/>
      <c r="J75" s="6"/>
      <c r="K75" s="6"/>
      <c r="L75" s="6"/>
      <c r="M75" s="6"/>
      <c r="N75" s="6"/>
      <c r="O75" s="6"/>
      <c r="P75" s="6"/>
      <c r="Q75" s="6"/>
      <c r="R75" s="6"/>
      <c r="S75" s="6"/>
    </row>
    <row r="76" spans="1:19">
      <c r="A76" s="83"/>
      <c r="B76" s="82"/>
      <c r="C76" s="82"/>
      <c r="D76" s="82"/>
      <c r="E76" s="82"/>
      <c r="F76" s="83"/>
      <c r="G76" s="83"/>
      <c r="H76" s="83"/>
      <c r="I76" s="6"/>
      <c r="J76" s="6"/>
      <c r="K76" s="6"/>
      <c r="L76" s="6"/>
      <c r="M76" s="6"/>
      <c r="N76" s="6"/>
      <c r="O76" s="6"/>
      <c r="P76" s="6"/>
      <c r="Q76" s="6"/>
      <c r="R76" s="6"/>
      <c r="S76" s="6"/>
    </row>
    <row r="77" spans="1:19">
      <c r="A77" s="83"/>
      <c r="B77" s="82"/>
      <c r="C77" s="82"/>
      <c r="D77" s="82"/>
      <c r="E77" s="82"/>
      <c r="F77" s="83"/>
      <c r="G77" s="83"/>
      <c r="H77" s="83"/>
      <c r="I77" s="6"/>
      <c r="J77" s="6"/>
      <c r="K77" s="6"/>
      <c r="L77" s="6"/>
      <c r="M77" s="6"/>
      <c r="N77" s="6"/>
      <c r="O77" s="6"/>
      <c r="P77" s="6"/>
      <c r="Q77" s="6"/>
      <c r="R77" s="6"/>
      <c r="S77" s="6"/>
    </row>
    <row r="78" spans="1:19">
      <c r="A78" s="83"/>
      <c r="B78" s="82"/>
      <c r="C78" s="82"/>
      <c r="D78" s="82"/>
      <c r="E78" s="82"/>
      <c r="F78" s="83"/>
      <c r="G78" s="83"/>
      <c r="H78" s="83"/>
      <c r="I78" s="6"/>
      <c r="J78" s="6"/>
      <c r="K78" s="6"/>
      <c r="L78" s="6"/>
      <c r="M78" s="6"/>
      <c r="N78" s="6"/>
      <c r="O78" s="6"/>
      <c r="P78" s="6"/>
      <c r="Q78" s="6"/>
      <c r="R78" s="6"/>
      <c r="S78" s="6"/>
    </row>
    <row r="79" spans="1:19">
      <c r="A79" s="83"/>
      <c r="B79" s="82"/>
      <c r="C79" s="82"/>
      <c r="D79" s="82"/>
      <c r="E79" s="82"/>
      <c r="F79" s="83"/>
      <c r="G79" s="83"/>
      <c r="H79" s="83"/>
      <c r="I79" s="6"/>
      <c r="J79" s="6"/>
      <c r="K79" s="6"/>
      <c r="L79" s="6"/>
      <c r="M79" s="6"/>
      <c r="N79" s="6"/>
      <c r="O79" s="6"/>
      <c r="P79" s="6"/>
      <c r="Q79" s="6"/>
      <c r="R79" s="6"/>
      <c r="S79" s="6"/>
    </row>
    <row r="80" spans="1:19">
      <c r="A80" s="83"/>
      <c r="B80" s="82"/>
      <c r="C80" s="82"/>
      <c r="D80" s="82"/>
      <c r="E80" s="82"/>
      <c r="F80" s="83"/>
      <c r="G80" s="83"/>
      <c r="H80" s="83"/>
      <c r="I80" s="6"/>
      <c r="J80" s="6"/>
      <c r="K80" s="6"/>
      <c r="L80" s="6"/>
      <c r="M80" s="6"/>
      <c r="N80" s="6"/>
      <c r="O80" s="6"/>
      <c r="P80" s="6"/>
      <c r="Q80" s="6"/>
      <c r="R80" s="6"/>
      <c r="S80" s="6"/>
    </row>
    <row r="81" spans="1:19">
      <c r="A81" s="83"/>
      <c r="B81" s="82"/>
      <c r="C81" s="82"/>
      <c r="D81" s="82"/>
      <c r="E81" s="82"/>
      <c r="F81" s="83"/>
      <c r="G81" s="83"/>
      <c r="H81" s="83"/>
      <c r="I81" s="6"/>
      <c r="J81" s="6"/>
      <c r="K81" s="6"/>
      <c r="L81" s="6"/>
      <c r="M81" s="6"/>
      <c r="N81" s="6"/>
      <c r="O81" s="6"/>
      <c r="P81" s="6"/>
      <c r="Q81" s="6"/>
      <c r="R81" s="6"/>
      <c r="S81" s="6"/>
    </row>
    <row r="82" spans="1:19">
      <c r="A82" s="83"/>
      <c r="B82" s="82"/>
      <c r="C82" s="82"/>
      <c r="D82" s="82"/>
      <c r="E82" s="82"/>
      <c r="F82" s="83"/>
      <c r="G82" s="83"/>
      <c r="H82" s="83"/>
      <c r="I82" s="6"/>
      <c r="J82" s="6"/>
      <c r="K82" s="6"/>
      <c r="L82" s="6"/>
      <c r="M82" s="6"/>
      <c r="N82" s="6"/>
      <c r="O82" s="6"/>
      <c r="P82" s="6"/>
      <c r="Q82" s="6"/>
      <c r="R82" s="6"/>
      <c r="S82" s="6"/>
    </row>
    <row r="83" spans="1:19">
      <c r="A83" s="83"/>
      <c r="B83" s="82"/>
      <c r="C83" s="82"/>
      <c r="D83" s="82"/>
      <c r="E83" s="82"/>
      <c r="F83" s="83"/>
      <c r="G83" s="83"/>
      <c r="H83" s="83"/>
      <c r="I83" s="6"/>
      <c r="J83" s="6"/>
      <c r="K83" s="6"/>
      <c r="L83" s="6"/>
      <c r="M83" s="6"/>
      <c r="N83" s="6"/>
      <c r="O83" s="6"/>
      <c r="P83" s="6"/>
      <c r="Q83" s="6"/>
      <c r="R83" s="6"/>
      <c r="S83" s="6"/>
    </row>
    <row r="84" spans="1:19">
      <c r="A84" s="83"/>
      <c r="B84" s="82"/>
      <c r="C84" s="82"/>
      <c r="D84" s="82"/>
      <c r="E84" s="82"/>
      <c r="F84" s="83"/>
      <c r="G84" s="83"/>
      <c r="H84" s="83"/>
      <c r="I84" s="6"/>
      <c r="J84" s="6"/>
      <c r="K84" s="6"/>
      <c r="L84" s="6"/>
      <c r="M84" s="6"/>
      <c r="N84" s="6"/>
      <c r="O84" s="6"/>
      <c r="P84" s="6"/>
      <c r="Q84" s="6"/>
      <c r="R84" s="6"/>
      <c r="S84" s="6"/>
    </row>
    <row r="85" spans="1:19">
      <c r="A85" s="83"/>
      <c r="B85" s="82"/>
      <c r="C85" s="82"/>
      <c r="D85" s="82"/>
      <c r="E85" s="82"/>
      <c r="F85" s="83"/>
      <c r="G85" s="83"/>
      <c r="H85" s="83"/>
      <c r="I85" s="6"/>
      <c r="J85" s="6"/>
      <c r="K85" s="6"/>
      <c r="L85" s="6"/>
      <c r="M85" s="6"/>
      <c r="N85" s="6"/>
      <c r="O85" s="6"/>
      <c r="P85" s="6"/>
      <c r="Q85" s="6"/>
      <c r="R85" s="6"/>
      <c r="S85" s="6"/>
    </row>
    <row r="86" spans="1:19">
      <c r="A86" s="83"/>
      <c r="B86" s="82"/>
      <c r="C86" s="82"/>
      <c r="D86" s="82"/>
      <c r="E86" s="82"/>
      <c r="F86" s="83"/>
      <c r="G86" s="83"/>
      <c r="H86" s="83"/>
      <c r="I86" s="6"/>
      <c r="J86" s="6"/>
      <c r="K86" s="6"/>
      <c r="L86" s="6"/>
      <c r="M86" s="6"/>
      <c r="N86" s="6"/>
      <c r="O86" s="6"/>
      <c r="P86" s="6"/>
      <c r="Q86" s="6"/>
      <c r="R86" s="6"/>
      <c r="S86" s="6"/>
    </row>
    <row r="87" spans="1:19">
      <c r="A87" s="83"/>
      <c r="B87" s="82"/>
      <c r="C87" s="82"/>
      <c r="D87" s="82"/>
      <c r="E87" s="82"/>
      <c r="F87" s="83"/>
      <c r="G87" s="83"/>
      <c r="H87" s="83"/>
      <c r="I87" s="6"/>
      <c r="J87" s="6"/>
      <c r="K87" s="6"/>
      <c r="L87" s="6"/>
      <c r="M87" s="6"/>
      <c r="N87" s="6"/>
      <c r="O87" s="6"/>
      <c r="P87" s="6"/>
      <c r="Q87" s="6"/>
      <c r="R87" s="6"/>
      <c r="S87" s="6"/>
    </row>
    <row r="88" spans="1:19">
      <c r="A88" s="83"/>
      <c r="B88" s="82"/>
      <c r="C88" s="82"/>
      <c r="D88" s="82"/>
      <c r="E88" s="82"/>
      <c r="F88" s="83"/>
      <c r="G88" s="83"/>
      <c r="H88" s="83"/>
      <c r="I88" s="6"/>
      <c r="J88" s="6"/>
      <c r="K88" s="6"/>
      <c r="L88" s="6"/>
      <c r="M88" s="6"/>
      <c r="N88" s="6"/>
      <c r="O88" s="6"/>
      <c r="P88" s="6"/>
      <c r="Q88" s="6"/>
      <c r="R88" s="6"/>
      <c r="S88" s="6"/>
    </row>
    <row r="89" spans="1:19">
      <c r="A89" s="83"/>
      <c r="B89" s="82"/>
      <c r="C89" s="82"/>
      <c r="D89" s="82"/>
      <c r="E89" s="82"/>
      <c r="F89" s="83"/>
      <c r="G89" s="83"/>
      <c r="H89" s="83"/>
      <c r="I89" s="6"/>
      <c r="J89" s="6"/>
      <c r="K89" s="6"/>
      <c r="L89" s="6"/>
      <c r="M89" s="6"/>
      <c r="N89" s="6"/>
      <c r="O89" s="6"/>
      <c r="P89" s="6"/>
      <c r="Q89" s="6"/>
      <c r="R89" s="6"/>
      <c r="S89" s="6"/>
    </row>
    <row r="90" spans="1:19">
      <c r="A90" s="83"/>
      <c r="B90" s="82"/>
      <c r="C90" s="82"/>
      <c r="D90" s="82"/>
      <c r="E90" s="82"/>
      <c r="F90" s="83"/>
      <c r="G90" s="83"/>
      <c r="H90" s="83"/>
      <c r="I90" s="6"/>
      <c r="J90" s="6"/>
      <c r="K90" s="6"/>
      <c r="L90" s="6"/>
      <c r="M90" s="6"/>
      <c r="N90" s="6"/>
      <c r="O90" s="6"/>
      <c r="P90" s="6"/>
      <c r="Q90" s="6"/>
      <c r="R90" s="6"/>
      <c r="S90" s="6"/>
    </row>
    <row r="91" spans="1:19">
      <c r="A91" s="83"/>
      <c r="B91" s="82"/>
      <c r="C91" s="82"/>
      <c r="D91" s="82"/>
      <c r="E91" s="82"/>
      <c r="F91" s="83"/>
      <c r="G91" s="83"/>
      <c r="H91" s="83"/>
      <c r="I91" s="6"/>
      <c r="J91" s="6"/>
      <c r="K91" s="6"/>
      <c r="L91" s="6"/>
      <c r="M91" s="6"/>
      <c r="N91" s="6"/>
      <c r="O91" s="6"/>
      <c r="P91" s="6"/>
      <c r="Q91" s="6"/>
      <c r="R91" s="6"/>
      <c r="S91" s="6"/>
    </row>
    <row r="92" spans="1:19">
      <c r="A92" s="83"/>
      <c r="B92" s="82"/>
      <c r="C92" s="82"/>
      <c r="D92" s="82"/>
      <c r="E92" s="82"/>
      <c r="F92" s="83"/>
      <c r="G92" s="83"/>
      <c r="H92" s="83"/>
      <c r="I92" s="6"/>
      <c r="J92" s="6"/>
      <c r="K92" s="6"/>
      <c r="L92" s="6"/>
      <c r="M92" s="6"/>
      <c r="N92" s="6"/>
      <c r="O92" s="6"/>
      <c r="P92" s="6"/>
      <c r="Q92" s="6"/>
      <c r="R92" s="6"/>
      <c r="S92" s="6"/>
    </row>
    <row r="93" spans="1:19">
      <c r="A93" s="83"/>
      <c r="B93" s="82"/>
      <c r="C93" s="82"/>
      <c r="D93" s="82"/>
      <c r="E93" s="82"/>
      <c r="F93" s="83"/>
      <c r="G93" s="83"/>
      <c r="H93" s="83"/>
      <c r="I93" s="6"/>
      <c r="J93" s="6"/>
      <c r="K93" s="6"/>
      <c r="L93" s="6"/>
      <c r="M93" s="6"/>
      <c r="N93" s="6"/>
      <c r="O93" s="6"/>
      <c r="P93" s="6"/>
      <c r="Q93" s="6"/>
      <c r="R93" s="6"/>
      <c r="S93" s="6"/>
    </row>
    <row r="94" spans="1:19">
      <c r="A94" s="83"/>
      <c r="B94" s="82"/>
      <c r="C94" s="82"/>
      <c r="D94" s="82"/>
      <c r="E94" s="82"/>
      <c r="F94" s="83"/>
      <c r="G94" s="83"/>
      <c r="H94" s="83"/>
      <c r="I94" s="6"/>
      <c r="J94" s="6"/>
      <c r="K94" s="6"/>
      <c r="L94" s="6"/>
      <c r="M94" s="6"/>
      <c r="N94" s="6"/>
      <c r="O94" s="6"/>
      <c r="P94" s="6"/>
      <c r="Q94" s="6"/>
      <c r="R94" s="6"/>
      <c r="S94" s="6"/>
    </row>
    <row r="95" spans="1:19">
      <c r="A95" s="83"/>
      <c r="B95" s="82"/>
      <c r="C95" s="82"/>
      <c r="D95" s="82"/>
      <c r="E95" s="82"/>
      <c r="F95" s="83"/>
      <c r="G95" s="83"/>
      <c r="H95" s="83"/>
      <c r="I95" s="6"/>
      <c r="J95" s="6"/>
      <c r="K95" s="6"/>
      <c r="L95" s="6"/>
      <c r="M95" s="6"/>
      <c r="N95" s="6"/>
      <c r="O95" s="6"/>
      <c r="P95" s="6"/>
      <c r="Q95" s="6"/>
      <c r="R95" s="6"/>
      <c r="S95" s="6"/>
    </row>
    <row r="96" spans="1:19">
      <c r="A96" s="83"/>
      <c r="B96" s="82"/>
      <c r="C96" s="82"/>
      <c r="D96" s="82"/>
      <c r="E96" s="82"/>
      <c r="F96" s="83"/>
      <c r="G96" s="83"/>
      <c r="H96" s="83"/>
      <c r="I96" s="6"/>
      <c r="J96" s="6"/>
      <c r="K96" s="6"/>
      <c r="L96" s="6"/>
      <c r="M96" s="6"/>
      <c r="N96" s="6"/>
      <c r="O96" s="6"/>
      <c r="P96" s="6"/>
      <c r="Q96" s="6"/>
      <c r="R96" s="6"/>
      <c r="S96" s="6"/>
    </row>
    <row r="97" spans="1:19">
      <c r="A97" s="83"/>
      <c r="B97" s="82"/>
      <c r="C97" s="82"/>
      <c r="D97" s="82"/>
      <c r="E97" s="82"/>
      <c r="F97" s="83"/>
      <c r="G97" s="83"/>
      <c r="H97" s="83"/>
      <c r="I97" s="6"/>
      <c r="J97" s="6"/>
      <c r="K97" s="6"/>
      <c r="L97" s="6"/>
      <c r="M97" s="6"/>
      <c r="N97" s="6"/>
      <c r="O97" s="6"/>
      <c r="P97" s="6"/>
      <c r="Q97" s="6"/>
      <c r="R97" s="6"/>
      <c r="S97" s="6"/>
    </row>
    <row r="98" spans="1:19">
      <c r="A98" s="83"/>
      <c r="B98" s="82"/>
      <c r="C98" s="82"/>
      <c r="D98" s="82"/>
      <c r="E98" s="82"/>
      <c r="F98" s="83"/>
      <c r="G98" s="83"/>
      <c r="H98" s="83"/>
      <c r="I98" s="6"/>
      <c r="J98" s="6"/>
      <c r="K98" s="6"/>
      <c r="L98" s="6"/>
      <c r="M98" s="6"/>
      <c r="N98" s="6"/>
      <c r="O98" s="6"/>
      <c r="P98" s="6"/>
      <c r="Q98" s="6"/>
      <c r="R98" s="6"/>
      <c r="S98" s="6"/>
    </row>
    <row r="99" spans="1:19">
      <c r="A99" s="83"/>
      <c r="B99" s="82"/>
      <c r="C99" s="82"/>
      <c r="D99" s="82"/>
      <c r="E99" s="82"/>
      <c r="F99" s="83"/>
      <c r="G99" s="83"/>
      <c r="H99" s="83"/>
      <c r="I99" s="6"/>
      <c r="J99" s="6"/>
      <c r="K99" s="6"/>
      <c r="L99" s="6"/>
      <c r="M99" s="6"/>
      <c r="N99" s="6"/>
      <c r="O99" s="6"/>
      <c r="P99" s="6"/>
      <c r="Q99" s="6"/>
      <c r="R99" s="6"/>
      <c r="S99" s="6"/>
    </row>
    <row r="100" spans="1:19">
      <c r="A100" s="83"/>
      <c r="B100" s="82"/>
      <c r="C100" s="82"/>
      <c r="D100" s="82"/>
      <c r="E100" s="82"/>
      <c r="F100" s="83"/>
      <c r="G100" s="83"/>
      <c r="H100" s="83"/>
      <c r="I100" s="6"/>
      <c r="J100" s="6"/>
      <c r="K100" s="6"/>
      <c r="L100" s="6"/>
      <c r="M100" s="6"/>
      <c r="N100" s="6"/>
      <c r="O100" s="6"/>
      <c r="P100" s="6"/>
      <c r="Q100" s="6"/>
      <c r="R100" s="6"/>
      <c r="S100" s="6"/>
    </row>
    <row r="101" spans="1:19">
      <c r="A101" s="83"/>
      <c r="B101" s="82"/>
      <c r="C101" s="82"/>
      <c r="D101" s="82"/>
      <c r="E101" s="82"/>
      <c r="F101" s="83"/>
      <c r="G101" s="83"/>
      <c r="H101" s="83"/>
      <c r="I101" s="6"/>
      <c r="J101" s="6"/>
      <c r="K101" s="6"/>
      <c r="L101" s="6"/>
      <c r="M101" s="6"/>
      <c r="N101" s="6"/>
      <c r="O101" s="6"/>
      <c r="P101" s="6"/>
      <c r="Q101" s="6"/>
      <c r="R101" s="6"/>
      <c r="S101" s="6"/>
    </row>
    <row r="102" spans="1:19">
      <c r="A102" s="83"/>
      <c r="B102" s="82"/>
      <c r="C102" s="82"/>
      <c r="D102" s="82"/>
      <c r="E102" s="82"/>
      <c r="F102" s="83"/>
      <c r="G102" s="83"/>
      <c r="H102" s="83"/>
      <c r="I102" s="6"/>
      <c r="J102" s="6"/>
      <c r="K102" s="6"/>
      <c r="L102" s="6"/>
      <c r="M102" s="6"/>
      <c r="N102" s="6"/>
      <c r="O102" s="6"/>
      <c r="P102" s="6"/>
      <c r="Q102" s="6"/>
      <c r="R102" s="6"/>
      <c r="S102" s="6"/>
    </row>
    <row r="103" spans="1:19">
      <c r="A103" s="83"/>
      <c r="B103" s="82"/>
      <c r="C103" s="82"/>
      <c r="D103" s="82"/>
      <c r="E103" s="82"/>
      <c r="F103" s="83"/>
      <c r="G103" s="83"/>
      <c r="H103" s="83"/>
      <c r="I103" s="6"/>
      <c r="J103" s="6"/>
      <c r="K103" s="6"/>
      <c r="L103" s="6"/>
      <c r="M103" s="6"/>
      <c r="N103" s="6"/>
      <c r="O103" s="6"/>
      <c r="P103" s="6"/>
      <c r="Q103" s="6"/>
      <c r="R103" s="6"/>
      <c r="S103" s="6"/>
    </row>
    <row r="104" spans="1:19">
      <c r="A104" s="83"/>
      <c r="B104" s="82"/>
      <c r="C104" s="82"/>
      <c r="D104" s="82"/>
      <c r="E104" s="82"/>
      <c r="F104" s="83"/>
      <c r="G104" s="83"/>
      <c r="H104" s="83"/>
      <c r="I104" s="6"/>
      <c r="J104" s="6"/>
      <c r="K104" s="6"/>
      <c r="L104" s="6"/>
      <c r="M104" s="6"/>
      <c r="N104" s="6"/>
      <c r="O104" s="6"/>
      <c r="P104" s="6"/>
      <c r="Q104" s="6"/>
      <c r="R104" s="6"/>
      <c r="S104" s="6"/>
    </row>
    <row r="105" spans="1:19">
      <c r="A105" s="83"/>
      <c r="B105" s="82"/>
      <c r="C105" s="82"/>
      <c r="D105" s="82"/>
      <c r="E105" s="82"/>
      <c r="F105" s="83"/>
      <c r="G105" s="83"/>
      <c r="H105" s="83"/>
      <c r="I105" s="6"/>
      <c r="J105" s="6"/>
      <c r="K105" s="6"/>
      <c r="L105" s="6"/>
      <c r="M105" s="6"/>
      <c r="N105" s="6"/>
      <c r="O105" s="6"/>
      <c r="P105" s="6"/>
      <c r="Q105" s="6"/>
      <c r="R105" s="6"/>
      <c r="S105" s="6"/>
    </row>
    <row r="106" spans="1:19">
      <c r="A106" s="83"/>
      <c r="B106" s="82"/>
      <c r="C106" s="82"/>
      <c r="D106" s="82"/>
      <c r="E106" s="82"/>
      <c r="F106" s="83"/>
      <c r="G106" s="83"/>
      <c r="H106" s="83"/>
      <c r="I106" s="6"/>
      <c r="J106" s="6"/>
      <c r="K106" s="6"/>
      <c r="L106" s="6"/>
      <c r="M106" s="6"/>
      <c r="N106" s="6"/>
      <c r="O106" s="6"/>
      <c r="P106" s="6"/>
      <c r="Q106" s="6"/>
      <c r="R106" s="6"/>
      <c r="S106" s="6"/>
    </row>
    <row r="107" spans="1:19">
      <c r="A107" s="83"/>
      <c r="B107" s="82"/>
      <c r="C107" s="82"/>
      <c r="D107" s="82"/>
      <c r="E107" s="82"/>
      <c r="F107" s="83"/>
      <c r="G107" s="83"/>
      <c r="H107" s="83"/>
      <c r="I107" s="6"/>
      <c r="J107" s="6"/>
      <c r="K107" s="6"/>
      <c r="L107" s="6"/>
      <c r="M107" s="6"/>
      <c r="N107" s="6"/>
      <c r="O107" s="6"/>
      <c r="P107" s="6"/>
      <c r="Q107" s="6"/>
      <c r="R107" s="6"/>
      <c r="S107" s="6"/>
    </row>
    <row r="108" spans="1:19">
      <c r="A108" s="83"/>
      <c r="B108" s="82"/>
      <c r="C108" s="82"/>
      <c r="D108" s="82"/>
      <c r="E108" s="82"/>
      <c r="F108" s="83"/>
      <c r="G108" s="83"/>
      <c r="H108" s="83"/>
      <c r="I108" s="6"/>
      <c r="J108" s="6"/>
      <c r="K108" s="6"/>
      <c r="L108" s="6"/>
      <c r="M108" s="6"/>
      <c r="N108" s="6"/>
      <c r="O108" s="6"/>
      <c r="P108" s="6"/>
      <c r="Q108" s="6"/>
      <c r="R108" s="6"/>
      <c r="S108" s="6"/>
    </row>
    <row r="109" spans="1:19">
      <c r="A109" s="83"/>
      <c r="B109" s="82"/>
      <c r="C109" s="82"/>
      <c r="D109" s="82"/>
      <c r="E109" s="82"/>
      <c r="F109" s="83"/>
      <c r="G109" s="83"/>
      <c r="H109" s="83"/>
      <c r="I109" s="6"/>
      <c r="J109" s="6"/>
      <c r="K109" s="6"/>
      <c r="L109" s="6"/>
      <c r="M109" s="6"/>
      <c r="N109" s="6"/>
      <c r="O109" s="6"/>
      <c r="P109" s="6"/>
      <c r="Q109" s="6"/>
      <c r="R109" s="6"/>
      <c r="S109" s="6"/>
    </row>
    <row r="110" spans="1:19">
      <c r="A110" s="83"/>
      <c r="B110" s="82"/>
      <c r="C110" s="82"/>
      <c r="D110" s="82"/>
      <c r="E110" s="82"/>
      <c r="F110" s="83"/>
      <c r="G110" s="83"/>
      <c r="H110" s="83"/>
      <c r="I110" s="6"/>
      <c r="J110" s="6"/>
      <c r="K110" s="6"/>
      <c r="L110" s="6"/>
      <c r="M110" s="6"/>
      <c r="N110" s="6"/>
      <c r="O110" s="6"/>
      <c r="P110" s="6"/>
      <c r="Q110" s="6"/>
      <c r="R110" s="6"/>
      <c r="S110" s="6"/>
    </row>
    <row r="111" spans="1:19">
      <c r="A111" s="83"/>
      <c r="B111" s="82"/>
      <c r="C111" s="82"/>
      <c r="D111" s="82"/>
      <c r="E111" s="82"/>
      <c r="F111" s="83"/>
      <c r="G111" s="83"/>
      <c r="H111" s="83"/>
      <c r="I111" s="6"/>
      <c r="J111" s="6"/>
      <c r="K111" s="6"/>
      <c r="L111" s="6"/>
      <c r="M111" s="6"/>
      <c r="N111" s="6"/>
      <c r="O111" s="6"/>
      <c r="P111" s="6"/>
      <c r="Q111" s="6"/>
      <c r="R111" s="6"/>
      <c r="S111" s="6"/>
    </row>
    <row r="112" spans="1:19">
      <c r="A112" s="83"/>
      <c r="B112" s="82"/>
      <c r="C112" s="82"/>
      <c r="D112" s="82"/>
      <c r="E112" s="82"/>
      <c r="F112" s="83"/>
      <c r="G112" s="83"/>
      <c r="H112" s="83"/>
      <c r="I112" s="6"/>
      <c r="J112" s="6"/>
      <c r="K112" s="6"/>
      <c r="L112" s="6"/>
      <c r="M112" s="6"/>
      <c r="N112" s="6"/>
      <c r="O112" s="6"/>
      <c r="P112" s="6"/>
      <c r="Q112" s="6"/>
      <c r="R112" s="6"/>
      <c r="S112" s="6"/>
    </row>
    <row r="113" spans="1:19">
      <c r="A113" s="83"/>
      <c r="B113" s="82"/>
      <c r="C113" s="82"/>
      <c r="D113" s="82"/>
      <c r="E113" s="82"/>
      <c r="F113" s="83"/>
      <c r="G113" s="83"/>
      <c r="H113" s="83"/>
      <c r="I113" s="6"/>
      <c r="J113" s="6"/>
      <c r="K113" s="6"/>
      <c r="L113" s="6"/>
      <c r="M113" s="6"/>
      <c r="N113" s="6"/>
      <c r="O113" s="6"/>
      <c r="P113" s="6"/>
      <c r="Q113" s="6"/>
      <c r="R113" s="6"/>
      <c r="S113" s="6"/>
    </row>
    <row r="114" spans="1:19">
      <c r="A114" s="83"/>
      <c r="B114" s="82"/>
      <c r="C114" s="82"/>
      <c r="D114" s="82"/>
      <c r="E114" s="82"/>
      <c r="F114" s="83"/>
      <c r="G114" s="83"/>
      <c r="H114" s="83"/>
      <c r="I114" s="6"/>
      <c r="J114" s="6"/>
      <c r="K114" s="6"/>
      <c r="L114" s="6"/>
      <c r="M114" s="6"/>
      <c r="N114" s="6"/>
      <c r="O114" s="6"/>
      <c r="P114" s="6"/>
      <c r="Q114" s="6"/>
      <c r="R114" s="6"/>
      <c r="S114" s="6"/>
    </row>
    <row r="115" spans="1:19">
      <c r="A115" s="83"/>
      <c r="B115" s="82"/>
      <c r="C115" s="82"/>
      <c r="D115" s="82"/>
      <c r="E115" s="82"/>
      <c r="F115" s="83"/>
      <c r="G115" s="83"/>
      <c r="H115" s="83"/>
      <c r="I115" s="6"/>
      <c r="J115" s="6"/>
      <c r="K115" s="6"/>
      <c r="L115" s="6"/>
      <c r="M115" s="6"/>
      <c r="N115" s="6"/>
      <c r="O115" s="6"/>
      <c r="P115" s="6"/>
      <c r="Q115" s="6"/>
      <c r="R115" s="6"/>
      <c r="S115" s="6"/>
    </row>
    <row r="116" spans="1:19">
      <c r="A116" s="83"/>
      <c r="B116" s="82"/>
      <c r="C116" s="82"/>
      <c r="D116" s="82"/>
      <c r="E116" s="82"/>
      <c r="F116" s="83"/>
      <c r="G116" s="83"/>
      <c r="H116" s="83"/>
      <c r="I116" s="6"/>
      <c r="J116" s="6"/>
      <c r="K116" s="6"/>
      <c r="L116" s="6"/>
      <c r="M116" s="6"/>
      <c r="N116" s="6"/>
      <c r="O116" s="6"/>
      <c r="P116" s="6"/>
      <c r="Q116" s="6"/>
      <c r="R116" s="6"/>
      <c r="S116" s="6"/>
    </row>
    <row r="117" spans="1:19">
      <c r="A117" s="83"/>
      <c r="B117" s="82"/>
      <c r="C117" s="82"/>
      <c r="D117" s="82"/>
      <c r="E117" s="82"/>
      <c r="F117" s="83"/>
      <c r="G117" s="83"/>
      <c r="H117" s="83"/>
      <c r="I117" s="6"/>
      <c r="J117" s="6"/>
      <c r="K117" s="6"/>
      <c r="L117" s="6"/>
      <c r="M117" s="6"/>
      <c r="N117" s="6"/>
      <c r="O117" s="6"/>
      <c r="P117" s="6"/>
      <c r="Q117" s="6"/>
      <c r="R117" s="6"/>
      <c r="S117" s="6"/>
    </row>
    <row r="118" spans="1:19">
      <c r="A118" s="83"/>
      <c r="B118" s="82"/>
      <c r="C118" s="82"/>
      <c r="D118" s="82"/>
      <c r="E118" s="82"/>
      <c r="F118" s="83"/>
      <c r="G118" s="83"/>
      <c r="H118" s="83"/>
      <c r="I118" s="6"/>
      <c r="J118" s="6"/>
      <c r="K118" s="6"/>
      <c r="L118" s="6"/>
      <c r="M118" s="6"/>
      <c r="N118" s="6"/>
      <c r="O118" s="6"/>
      <c r="P118" s="6"/>
      <c r="Q118" s="6"/>
      <c r="R118" s="6"/>
      <c r="S118" s="6"/>
    </row>
    <row r="119" spans="1:19">
      <c r="A119" s="83"/>
      <c r="B119" s="82"/>
      <c r="C119" s="82"/>
      <c r="D119" s="82"/>
      <c r="E119" s="82"/>
      <c r="F119" s="83"/>
      <c r="G119" s="83"/>
      <c r="H119" s="83"/>
      <c r="I119" s="6"/>
      <c r="J119" s="6"/>
      <c r="K119" s="6"/>
      <c r="L119" s="6"/>
      <c r="M119" s="6"/>
      <c r="N119" s="6"/>
      <c r="O119" s="6"/>
      <c r="P119" s="6"/>
      <c r="Q119" s="6"/>
      <c r="R119" s="6"/>
      <c r="S119" s="6"/>
    </row>
    <row r="120" spans="1:19">
      <c r="A120" s="83"/>
      <c r="B120" s="82"/>
      <c r="C120" s="82"/>
      <c r="D120" s="82"/>
      <c r="E120" s="82"/>
      <c r="F120" s="83"/>
      <c r="G120" s="83"/>
      <c r="H120" s="83"/>
      <c r="I120" s="6"/>
      <c r="J120" s="6"/>
      <c r="K120" s="6"/>
      <c r="L120" s="6"/>
      <c r="M120" s="6"/>
      <c r="N120" s="6"/>
      <c r="O120" s="6"/>
      <c r="P120" s="6"/>
      <c r="Q120" s="6"/>
      <c r="R120" s="6"/>
      <c r="S120" s="6"/>
    </row>
    <row r="121" spans="1:19">
      <c r="A121" s="83"/>
      <c r="B121" s="82"/>
      <c r="C121" s="82"/>
      <c r="D121" s="82"/>
      <c r="E121" s="82"/>
      <c r="F121" s="83"/>
      <c r="G121" s="83"/>
      <c r="H121" s="83"/>
      <c r="I121" s="6"/>
      <c r="J121" s="6"/>
      <c r="K121" s="6"/>
      <c r="L121" s="6"/>
      <c r="M121" s="6"/>
      <c r="N121" s="6"/>
      <c r="O121" s="6"/>
      <c r="P121" s="6"/>
      <c r="Q121" s="6"/>
      <c r="R121" s="6"/>
      <c r="S121" s="6"/>
    </row>
    <row r="122" spans="1:19">
      <c r="A122" s="83"/>
      <c r="B122" s="82"/>
      <c r="C122" s="82"/>
      <c r="D122" s="82"/>
      <c r="E122" s="82"/>
      <c r="F122" s="83"/>
      <c r="G122" s="83"/>
      <c r="H122" s="83"/>
      <c r="I122" s="6"/>
      <c r="J122" s="6"/>
      <c r="K122" s="6"/>
      <c r="L122" s="6"/>
      <c r="M122" s="6"/>
      <c r="N122" s="6"/>
      <c r="O122" s="6"/>
      <c r="P122" s="6"/>
      <c r="Q122" s="6"/>
      <c r="R122" s="6"/>
      <c r="S122" s="6"/>
    </row>
    <row r="123" spans="1:19">
      <c r="A123" s="83"/>
      <c r="B123" s="82"/>
      <c r="C123" s="82"/>
      <c r="D123" s="82"/>
      <c r="E123" s="82"/>
      <c r="F123" s="83"/>
      <c r="G123" s="83"/>
      <c r="H123" s="83"/>
      <c r="I123" s="6"/>
      <c r="J123" s="6"/>
      <c r="K123" s="6"/>
      <c r="L123" s="6"/>
      <c r="M123" s="6"/>
      <c r="N123" s="6"/>
      <c r="O123" s="6"/>
      <c r="P123" s="6"/>
      <c r="Q123" s="6"/>
      <c r="R123" s="6"/>
      <c r="S123" s="6"/>
    </row>
    <row r="124" spans="1:19">
      <c r="A124" s="83"/>
      <c r="B124" s="82"/>
      <c r="C124" s="82"/>
      <c r="D124" s="82"/>
      <c r="E124" s="82"/>
      <c r="F124" s="83"/>
      <c r="G124" s="83"/>
      <c r="H124" s="83"/>
      <c r="I124" s="6"/>
      <c r="J124" s="6"/>
      <c r="K124" s="6"/>
      <c r="L124" s="6"/>
      <c r="M124" s="6"/>
      <c r="N124" s="6"/>
      <c r="O124" s="6"/>
      <c r="P124" s="6"/>
      <c r="Q124" s="6"/>
      <c r="R124" s="6"/>
      <c r="S124" s="6"/>
    </row>
    <row r="125" spans="1:19">
      <c r="A125" s="83"/>
      <c r="B125" s="82"/>
      <c r="C125" s="82"/>
      <c r="D125" s="82"/>
      <c r="E125" s="82"/>
      <c r="F125" s="83"/>
      <c r="G125" s="83"/>
      <c r="H125" s="83"/>
      <c r="I125" s="6"/>
      <c r="J125" s="6"/>
      <c r="K125" s="6"/>
      <c r="L125" s="6"/>
      <c r="M125" s="6"/>
      <c r="N125" s="6"/>
      <c r="O125" s="6"/>
      <c r="P125" s="6"/>
      <c r="Q125" s="6"/>
      <c r="R125" s="6"/>
      <c r="S125" s="6"/>
    </row>
    <row r="126" spans="1:19">
      <c r="A126" s="83"/>
      <c r="B126" s="82"/>
      <c r="C126" s="82"/>
      <c r="D126" s="82"/>
      <c r="E126" s="82"/>
      <c r="F126" s="83"/>
      <c r="G126" s="83"/>
      <c r="H126" s="83"/>
      <c r="I126" s="6"/>
      <c r="J126" s="6"/>
      <c r="K126" s="6"/>
      <c r="L126" s="6"/>
      <c r="M126" s="6"/>
      <c r="N126" s="6"/>
      <c r="O126" s="6"/>
      <c r="P126" s="6"/>
      <c r="Q126" s="6"/>
      <c r="R126" s="6"/>
      <c r="S126" s="6"/>
    </row>
    <row r="127" spans="1:19">
      <c r="A127" s="83"/>
      <c r="B127" s="82"/>
      <c r="C127" s="82"/>
      <c r="D127" s="82"/>
      <c r="E127" s="82"/>
      <c r="F127" s="83"/>
      <c r="G127" s="83"/>
      <c r="H127" s="83"/>
      <c r="I127" s="6"/>
      <c r="J127" s="6"/>
      <c r="K127" s="6"/>
      <c r="L127" s="6"/>
      <c r="M127" s="6"/>
      <c r="N127" s="6"/>
      <c r="O127" s="6"/>
      <c r="P127" s="6"/>
      <c r="Q127" s="6"/>
      <c r="R127" s="6"/>
      <c r="S127" s="6"/>
    </row>
    <row r="128" spans="1:19">
      <c r="A128" s="83"/>
      <c r="B128" s="82"/>
      <c r="C128" s="82"/>
      <c r="D128" s="82"/>
      <c r="E128" s="82"/>
      <c r="F128" s="83"/>
      <c r="G128" s="83"/>
      <c r="H128" s="83"/>
      <c r="I128" s="6"/>
      <c r="J128" s="6"/>
      <c r="K128" s="6"/>
      <c r="L128" s="6"/>
      <c r="M128" s="6"/>
      <c r="N128" s="6"/>
      <c r="O128" s="6"/>
      <c r="P128" s="6"/>
      <c r="Q128" s="6"/>
      <c r="R128" s="6"/>
      <c r="S128" s="6"/>
    </row>
    <row r="129" spans="1:19">
      <c r="A129" s="83"/>
      <c r="B129" s="82"/>
      <c r="C129" s="82"/>
      <c r="D129" s="82"/>
      <c r="E129" s="82"/>
      <c r="F129" s="83"/>
      <c r="G129" s="83"/>
      <c r="H129" s="83"/>
      <c r="I129" s="6"/>
      <c r="J129" s="6"/>
      <c r="K129" s="6"/>
      <c r="L129" s="6"/>
      <c r="M129" s="6"/>
      <c r="N129" s="6"/>
      <c r="O129" s="6"/>
      <c r="P129" s="6"/>
      <c r="Q129" s="6"/>
      <c r="R129" s="6"/>
      <c r="S129" s="6"/>
    </row>
    <row r="130" spans="1:19">
      <c r="A130" s="83"/>
      <c r="B130" s="82"/>
      <c r="C130" s="82"/>
      <c r="D130" s="82"/>
      <c r="E130" s="82"/>
      <c r="F130" s="83"/>
      <c r="G130" s="83"/>
      <c r="H130" s="83"/>
      <c r="I130" s="6"/>
      <c r="J130" s="6"/>
      <c r="K130" s="6"/>
      <c r="L130" s="6"/>
      <c r="M130" s="6"/>
      <c r="N130" s="6"/>
      <c r="O130" s="6"/>
      <c r="P130" s="6"/>
      <c r="Q130" s="6"/>
      <c r="R130" s="6"/>
      <c r="S130" s="6"/>
    </row>
    <row r="131" spans="1:19">
      <c r="A131" s="83"/>
      <c r="B131" s="82"/>
      <c r="C131" s="82"/>
      <c r="D131" s="82"/>
      <c r="E131" s="82"/>
      <c r="F131" s="83"/>
      <c r="G131" s="83"/>
      <c r="H131" s="83"/>
      <c r="I131" s="6"/>
      <c r="J131" s="6"/>
      <c r="K131" s="6"/>
      <c r="L131" s="6"/>
      <c r="M131" s="6"/>
      <c r="N131" s="6"/>
      <c r="O131" s="6"/>
      <c r="P131" s="6"/>
      <c r="Q131" s="6"/>
      <c r="R131" s="6"/>
      <c r="S131" s="6"/>
    </row>
    <row r="132" spans="1:19">
      <c r="A132" s="83"/>
      <c r="B132" s="82"/>
      <c r="C132" s="82"/>
      <c r="D132" s="82"/>
      <c r="E132" s="82"/>
      <c r="F132" s="83"/>
      <c r="G132" s="83"/>
      <c r="H132" s="83"/>
      <c r="I132" s="6"/>
      <c r="J132" s="6"/>
      <c r="K132" s="6"/>
      <c r="L132" s="6"/>
      <c r="M132" s="6"/>
      <c r="N132" s="6"/>
      <c r="O132" s="6"/>
      <c r="P132" s="6"/>
      <c r="Q132" s="6"/>
      <c r="R132" s="6"/>
      <c r="S132" s="6"/>
    </row>
    <row r="133" spans="1:19">
      <c r="A133" s="83"/>
      <c r="B133" s="82"/>
      <c r="C133" s="82"/>
      <c r="D133" s="82"/>
      <c r="E133" s="82"/>
      <c r="F133" s="83"/>
      <c r="G133" s="83"/>
      <c r="H133" s="83"/>
      <c r="I133" s="6"/>
      <c r="J133" s="6"/>
      <c r="K133" s="6"/>
      <c r="L133" s="6"/>
      <c r="M133" s="6"/>
      <c r="N133" s="6"/>
      <c r="O133" s="6"/>
      <c r="P133" s="6"/>
      <c r="Q133" s="6"/>
      <c r="R133" s="6"/>
      <c r="S133" s="6"/>
    </row>
    <row r="134" spans="1:19">
      <c r="A134" s="83"/>
      <c r="B134" s="82"/>
      <c r="C134" s="82"/>
      <c r="D134" s="82"/>
      <c r="E134" s="82"/>
      <c r="F134" s="83"/>
      <c r="G134" s="83"/>
      <c r="H134" s="83"/>
      <c r="I134" s="6"/>
      <c r="J134" s="6"/>
      <c r="K134" s="6"/>
      <c r="L134" s="6"/>
      <c r="M134" s="6"/>
      <c r="N134" s="6"/>
      <c r="O134" s="6"/>
      <c r="P134" s="6"/>
      <c r="Q134" s="6"/>
      <c r="R134" s="6"/>
      <c r="S134" s="6"/>
    </row>
    <row r="135" spans="1:19">
      <c r="A135" s="83"/>
      <c r="B135" s="82"/>
      <c r="C135" s="82"/>
      <c r="D135" s="82"/>
      <c r="E135" s="82"/>
      <c r="F135" s="83"/>
      <c r="G135" s="83"/>
      <c r="H135" s="83"/>
      <c r="I135" s="6"/>
      <c r="J135" s="6"/>
      <c r="K135" s="6"/>
      <c r="L135" s="6"/>
      <c r="M135" s="6"/>
      <c r="N135" s="6"/>
      <c r="O135" s="6"/>
      <c r="P135" s="6"/>
      <c r="Q135" s="6"/>
      <c r="R135" s="6"/>
      <c r="S135" s="6"/>
    </row>
    <row r="136" spans="1:19">
      <c r="A136" s="83"/>
      <c r="B136" s="82"/>
      <c r="C136" s="82"/>
      <c r="D136" s="82"/>
      <c r="E136" s="82"/>
      <c r="F136" s="83"/>
      <c r="G136" s="83"/>
      <c r="H136" s="83"/>
      <c r="I136" s="6"/>
      <c r="J136" s="6"/>
      <c r="K136" s="6"/>
      <c r="L136" s="6"/>
      <c r="M136" s="6"/>
      <c r="N136" s="6"/>
      <c r="O136" s="6"/>
      <c r="P136" s="6"/>
      <c r="Q136" s="6"/>
      <c r="R136" s="6"/>
      <c r="S136" s="6"/>
    </row>
    <row r="137" spans="1:19">
      <c r="A137" s="83"/>
      <c r="B137" s="82"/>
      <c r="C137" s="82"/>
      <c r="D137" s="82"/>
      <c r="E137" s="82"/>
      <c r="F137" s="83"/>
      <c r="G137" s="83"/>
      <c r="H137" s="83"/>
      <c r="I137" s="6"/>
      <c r="J137" s="6"/>
      <c r="K137" s="6"/>
      <c r="L137" s="6"/>
      <c r="M137" s="6"/>
      <c r="N137" s="6"/>
      <c r="O137" s="6"/>
      <c r="P137" s="6"/>
      <c r="Q137" s="6"/>
      <c r="R137" s="6"/>
      <c r="S137" s="6"/>
    </row>
    <row r="138" spans="1:19">
      <c r="A138" s="83"/>
      <c r="B138" s="82"/>
      <c r="C138" s="82"/>
      <c r="D138" s="82"/>
      <c r="E138" s="82"/>
      <c r="F138" s="83"/>
      <c r="G138" s="83"/>
      <c r="H138" s="83"/>
      <c r="I138" s="6"/>
      <c r="J138" s="6"/>
      <c r="K138" s="6"/>
      <c r="L138" s="6"/>
      <c r="M138" s="6"/>
      <c r="N138" s="6"/>
      <c r="O138" s="6"/>
      <c r="P138" s="6"/>
      <c r="Q138" s="6"/>
      <c r="R138" s="6"/>
      <c r="S138" s="6"/>
    </row>
    <row r="139" spans="1:19">
      <c r="A139" s="83"/>
      <c r="B139" s="82"/>
      <c r="C139" s="82"/>
      <c r="D139" s="82"/>
      <c r="E139" s="82"/>
      <c r="F139" s="83"/>
      <c r="G139" s="83"/>
      <c r="H139" s="83"/>
      <c r="I139" s="6"/>
      <c r="J139" s="6"/>
      <c r="K139" s="6"/>
      <c r="L139" s="6"/>
      <c r="M139" s="6"/>
      <c r="N139" s="6"/>
      <c r="O139" s="6"/>
      <c r="P139" s="6"/>
      <c r="Q139" s="6"/>
      <c r="R139" s="6"/>
      <c r="S139" s="6"/>
    </row>
    <row r="140" spans="1:19">
      <c r="A140" s="83"/>
      <c r="B140" s="82"/>
      <c r="C140" s="82"/>
      <c r="D140" s="82"/>
      <c r="E140" s="82"/>
      <c r="F140" s="83"/>
      <c r="G140" s="83"/>
      <c r="H140" s="83"/>
      <c r="I140" s="6"/>
      <c r="J140" s="6"/>
      <c r="K140" s="6"/>
      <c r="L140" s="6"/>
      <c r="M140" s="6"/>
      <c r="N140" s="6"/>
      <c r="O140" s="6"/>
      <c r="P140" s="6"/>
      <c r="Q140" s="6"/>
      <c r="R140" s="6"/>
      <c r="S140" s="6"/>
    </row>
    <row r="141" spans="1:19">
      <c r="A141" s="83"/>
      <c r="B141" s="82"/>
      <c r="C141" s="82"/>
      <c r="D141" s="82"/>
      <c r="E141" s="82"/>
      <c r="F141" s="83"/>
      <c r="G141" s="83"/>
      <c r="H141" s="83"/>
      <c r="I141" s="6"/>
      <c r="J141" s="6"/>
      <c r="K141" s="6"/>
      <c r="L141" s="6"/>
      <c r="M141" s="6"/>
      <c r="N141" s="6"/>
      <c r="O141" s="6"/>
      <c r="P141" s="6"/>
      <c r="Q141" s="6"/>
      <c r="R141" s="6"/>
      <c r="S141" s="6"/>
    </row>
    <row r="142" spans="1:19">
      <c r="A142" s="83"/>
      <c r="B142" s="82"/>
      <c r="C142" s="82"/>
      <c r="D142" s="82"/>
      <c r="E142" s="82"/>
      <c r="F142" s="83"/>
      <c r="G142" s="83"/>
      <c r="H142" s="83"/>
      <c r="I142" s="6"/>
      <c r="J142" s="6"/>
      <c r="K142" s="6"/>
      <c r="L142" s="6"/>
      <c r="M142" s="6"/>
      <c r="N142" s="6"/>
      <c r="O142" s="6"/>
      <c r="P142" s="6"/>
      <c r="Q142" s="6"/>
      <c r="R142" s="6"/>
      <c r="S142" s="6"/>
    </row>
    <row r="143" spans="1:19">
      <c r="A143" s="83"/>
      <c r="B143" s="82"/>
      <c r="C143" s="82"/>
      <c r="D143" s="82"/>
      <c r="E143" s="82"/>
      <c r="F143" s="83"/>
      <c r="G143" s="83"/>
      <c r="H143" s="83"/>
      <c r="I143" s="6"/>
      <c r="J143" s="6"/>
      <c r="K143" s="6"/>
      <c r="L143" s="6"/>
      <c r="M143" s="6"/>
      <c r="N143" s="6"/>
      <c r="O143" s="6"/>
      <c r="P143" s="6"/>
      <c r="Q143" s="6"/>
      <c r="R143" s="6"/>
      <c r="S143" s="6"/>
    </row>
    <row r="144" spans="1:19">
      <c r="A144" s="83"/>
      <c r="B144" s="82"/>
      <c r="C144" s="82"/>
      <c r="D144" s="82"/>
      <c r="E144" s="82"/>
      <c r="F144" s="83"/>
      <c r="G144" s="83"/>
      <c r="H144" s="83"/>
      <c r="I144" s="6"/>
      <c r="J144" s="6"/>
      <c r="K144" s="6"/>
      <c r="L144" s="6"/>
      <c r="M144" s="6"/>
      <c r="N144" s="6"/>
      <c r="O144" s="6"/>
      <c r="P144" s="6"/>
      <c r="Q144" s="6"/>
      <c r="R144" s="6"/>
      <c r="S144" s="6"/>
    </row>
    <row r="145" spans="1:19">
      <c r="A145" s="83"/>
      <c r="B145" s="82"/>
      <c r="C145" s="82"/>
      <c r="D145" s="82"/>
      <c r="E145" s="82"/>
      <c r="F145" s="83"/>
      <c r="G145" s="83"/>
      <c r="H145" s="83"/>
      <c r="I145" s="6"/>
      <c r="J145" s="6"/>
      <c r="K145" s="6"/>
      <c r="L145" s="6"/>
      <c r="M145" s="6"/>
      <c r="N145" s="6"/>
      <c r="O145" s="6"/>
      <c r="P145" s="6"/>
      <c r="Q145" s="6"/>
      <c r="R145" s="6"/>
      <c r="S145" s="6"/>
    </row>
    <row r="146" spans="1:19">
      <c r="A146" s="83"/>
      <c r="B146" s="82"/>
      <c r="C146" s="82"/>
      <c r="D146" s="82"/>
      <c r="E146" s="82"/>
      <c r="F146" s="83"/>
      <c r="G146" s="83"/>
      <c r="H146" s="83"/>
      <c r="I146" s="6"/>
      <c r="J146" s="6"/>
      <c r="K146" s="6"/>
      <c r="L146" s="6"/>
      <c r="M146" s="6"/>
      <c r="N146" s="6"/>
      <c r="O146" s="6"/>
      <c r="P146" s="6"/>
      <c r="Q146" s="6"/>
      <c r="R146" s="6"/>
      <c r="S146" s="6"/>
    </row>
    <row r="147" spans="1:19">
      <c r="A147" s="83"/>
      <c r="B147" s="82"/>
      <c r="C147" s="82"/>
      <c r="D147" s="82"/>
      <c r="E147" s="82"/>
      <c r="F147" s="83"/>
      <c r="G147" s="83"/>
      <c r="H147" s="83"/>
      <c r="I147" s="6"/>
      <c r="J147" s="6"/>
      <c r="K147" s="6"/>
      <c r="L147" s="6"/>
      <c r="M147" s="6"/>
      <c r="N147" s="6"/>
      <c r="O147" s="6"/>
      <c r="P147" s="6"/>
      <c r="Q147" s="6"/>
      <c r="R147" s="6"/>
      <c r="S147" s="6"/>
    </row>
    <row r="148" spans="1:19">
      <c r="A148" s="83"/>
      <c r="B148" s="82"/>
      <c r="C148" s="82"/>
      <c r="D148" s="82"/>
      <c r="E148" s="82"/>
      <c r="F148" s="83"/>
      <c r="G148" s="83"/>
      <c r="H148" s="83"/>
      <c r="I148" s="6"/>
      <c r="J148" s="6"/>
      <c r="K148" s="6"/>
      <c r="L148" s="6"/>
      <c r="M148" s="6"/>
      <c r="N148" s="6"/>
      <c r="O148" s="6"/>
      <c r="P148" s="6"/>
      <c r="Q148" s="6"/>
      <c r="R148" s="6"/>
      <c r="S148" s="6"/>
    </row>
    <row r="149" spans="1:19">
      <c r="A149" s="83"/>
      <c r="B149" s="82"/>
      <c r="C149" s="82"/>
      <c r="D149" s="82"/>
      <c r="E149" s="82"/>
      <c r="F149" s="83"/>
      <c r="G149" s="83"/>
      <c r="H149" s="83"/>
      <c r="I149" s="6"/>
      <c r="J149" s="6"/>
      <c r="K149" s="6"/>
      <c r="L149" s="6"/>
      <c r="M149" s="6"/>
      <c r="N149" s="6"/>
      <c r="O149" s="6"/>
      <c r="P149" s="6"/>
      <c r="Q149" s="6"/>
      <c r="R149" s="6"/>
      <c r="S149" s="6"/>
    </row>
    <row r="150" spans="1:19">
      <c r="A150" s="83"/>
      <c r="B150" s="82"/>
      <c r="C150" s="82"/>
      <c r="D150" s="82"/>
      <c r="E150" s="82"/>
      <c r="F150" s="83"/>
      <c r="G150" s="83"/>
      <c r="H150" s="83"/>
      <c r="I150" s="6"/>
      <c r="J150" s="6"/>
      <c r="K150" s="6"/>
      <c r="L150" s="6"/>
      <c r="M150" s="6"/>
      <c r="N150" s="6"/>
      <c r="O150" s="6"/>
      <c r="P150" s="6"/>
      <c r="Q150" s="6"/>
      <c r="R150" s="6"/>
      <c r="S150" s="6"/>
    </row>
    <row r="151" spans="1:19">
      <c r="A151" s="83"/>
      <c r="B151" s="82"/>
      <c r="C151" s="82"/>
      <c r="D151" s="82"/>
      <c r="E151" s="82"/>
      <c r="F151" s="83"/>
      <c r="G151" s="83"/>
      <c r="H151" s="83"/>
      <c r="I151" s="6"/>
      <c r="J151" s="6"/>
      <c r="K151" s="6"/>
      <c r="L151" s="6"/>
      <c r="M151" s="6"/>
      <c r="N151" s="6"/>
      <c r="O151" s="6"/>
      <c r="P151" s="6"/>
      <c r="Q151" s="6"/>
      <c r="R151" s="6"/>
      <c r="S151" s="6"/>
    </row>
    <row r="152" spans="1:19">
      <c r="A152" s="83"/>
      <c r="B152" s="82"/>
      <c r="C152" s="82"/>
      <c r="D152" s="82"/>
      <c r="E152" s="82"/>
      <c r="F152" s="83"/>
      <c r="G152" s="83"/>
      <c r="H152" s="83"/>
      <c r="I152" s="6"/>
      <c r="J152" s="6"/>
      <c r="K152" s="6"/>
      <c r="L152" s="6"/>
      <c r="M152" s="6"/>
      <c r="N152" s="6"/>
      <c r="O152" s="6"/>
      <c r="P152" s="6"/>
      <c r="Q152" s="6"/>
      <c r="R152" s="6"/>
      <c r="S152" s="6"/>
    </row>
    <row r="153" spans="1:19">
      <c r="A153" s="83"/>
      <c r="B153" s="82"/>
      <c r="C153" s="82"/>
      <c r="D153" s="82"/>
      <c r="E153" s="82"/>
      <c r="F153" s="83"/>
      <c r="G153" s="83"/>
      <c r="H153" s="83"/>
      <c r="I153" s="6"/>
      <c r="J153" s="6"/>
      <c r="K153" s="6"/>
      <c r="L153" s="6"/>
      <c r="M153" s="6"/>
      <c r="N153" s="6"/>
      <c r="O153" s="6"/>
      <c r="P153" s="6"/>
      <c r="Q153" s="6"/>
      <c r="R153" s="6"/>
      <c r="S153" s="6"/>
    </row>
    <row r="154" spans="1:19">
      <c r="A154" s="83"/>
      <c r="B154" s="82"/>
      <c r="C154" s="82"/>
      <c r="D154" s="82"/>
      <c r="E154" s="82"/>
      <c r="F154" s="83"/>
      <c r="G154" s="83"/>
      <c r="H154" s="83"/>
      <c r="I154" s="6"/>
      <c r="J154" s="6"/>
      <c r="K154" s="6"/>
      <c r="L154" s="6"/>
      <c r="M154" s="6"/>
      <c r="N154" s="6"/>
      <c r="O154" s="6"/>
      <c r="P154" s="6"/>
      <c r="Q154" s="6"/>
      <c r="R154" s="6"/>
      <c r="S154" s="6"/>
    </row>
    <row r="155" spans="1:19">
      <c r="A155" s="83"/>
      <c r="B155" s="82"/>
      <c r="C155" s="82"/>
      <c r="D155" s="82"/>
      <c r="E155" s="82"/>
      <c r="F155" s="83"/>
      <c r="G155" s="83"/>
      <c r="H155" s="83"/>
      <c r="I155" s="6"/>
      <c r="J155" s="6"/>
      <c r="K155" s="6"/>
      <c r="L155" s="6"/>
      <c r="M155" s="6"/>
      <c r="N155" s="6"/>
      <c r="O155" s="6"/>
      <c r="P155" s="6"/>
      <c r="Q155" s="6"/>
      <c r="R155" s="6"/>
      <c r="S155" s="6"/>
    </row>
    <row r="156" spans="1:19">
      <c r="A156" s="83"/>
      <c r="B156" s="82"/>
      <c r="C156" s="82"/>
      <c r="D156" s="82"/>
      <c r="E156" s="82"/>
      <c r="F156" s="83"/>
      <c r="G156" s="83"/>
      <c r="H156" s="83"/>
      <c r="I156" s="6"/>
      <c r="J156" s="6"/>
      <c r="K156" s="6"/>
      <c r="L156" s="6"/>
      <c r="M156" s="6"/>
      <c r="N156" s="6"/>
      <c r="O156" s="6"/>
      <c r="P156" s="6"/>
      <c r="Q156" s="6"/>
      <c r="R156" s="6"/>
      <c r="S156" s="6"/>
    </row>
    <row r="157" spans="1:19">
      <c r="A157" s="83"/>
      <c r="B157" s="82"/>
      <c r="C157" s="82"/>
      <c r="D157" s="82"/>
      <c r="E157" s="82"/>
      <c r="F157" s="83"/>
      <c r="G157" s="83"/>
      <c r="H157" s="83"/>
      <c r="I157" s="6"/>
      <c r="J157" s="6"/>
      <c r="K157" s="6"/>
      <c r="L157" s="6"/>
      <c r="M157" s="6"/>
      <c r="N157" s="6"/>
      <c r="O157" s="6"/>
      <c r="P157" s="6"/>
      <c r="Q157" s="6"/>
      <c r="R157" s="6"/>
      <c r="S157" s="6"/>
    </row>
    <row r="158" spans="1:19">
      <c r="A158" s="83"/>
      <c r="B158" s="82"/>
      <c r="C158" s="82"/>
      <c r="D158" s="82"/>
      <c r="E158" s="82"/>
      <c r="F158" s="83"/>
      <c r="G158" s="83"/>
      <c r="H158" s="83"/>
      <c r="I158" s="6"/>
      <c r="J158" s="6"/>
      <c r="K158" s="6"/>
      <c r="L158" s="6"/>
      <c r="M158" s="6"/>
      <c r="N158" s="6"/>
      <c r="O158" s="6"/>
      <c r="P158" s="6"/>
      <c r="Q158" s="6"/>
      <c r="R158" s="6"/>
      <c r="S158" s="6"/>
    </row>
    <row r="159" spans="1:19">
      <c r="A159" s="83"/>
      <c r="B159" s="82"/>
      <c r="C159" s="82"/>
      <c r="D159" s="82"/>
      <c r="E159" s="82"/>
      <c r="F159" s="83"/>
      <c r="G159" s="83"/>
      <c r="H159" s="83"/>
      <c r="I159" s="6"/>
      <c r="J159" s="6"/>
      <c r="K159" s="6"/>
      <c r="L159" s="6"/>
      <c r="M159" s="6"/>
      <c r="N159" s="6"/>
      <c r="O159" s="6"/>
      <c r="P159" s="6"/>
      <c r="Q159" s="6"/>
      <c r="R159" s="6"/>
      <c r="S159" s="6"/>
    </row>
    <row r="160" spans="1:19">
      <c r="A160" s="83"/>
      <c r="B160" s="82"/>
      <c r="C160" s="82"/>
      <c r="D160" s="82"/>
      <c r="E160" s="82"/>
      <c r="F160" s="83"/>
      <c r="G160" s="83"/>
      <c r="H160" s="83"/>
      <c r="I160" s="6"/>
      <c r="J160" s="6"/>
      <c r="K160" s="6"/>
      <c r="L160" s="6"/>
      <c r="M160" s="6"/>
      <c r="N160" s="6"/>
      <c r="O160" s="6"/>
      <c r="P160" s="6"/>
      <c r="Q160" s="6"/>
      <c r="R160" s="6"/>
      <c r="S160" s="6"/>
    </row>
    <row r="161" spans="1:19">
      <c r="A161" s="83"/>
      <c r="B161" s="82"/>
      <c r="C161" s="82"/>
      <c r="D161" s="82"/>
      <c r="E161" s="82"/>
      <c r="F161" s="83"/>
      <c r="G161" s="83"/>
      <c r="H161" s="83"/>
      <c r="I161" s="6"/>
      <c r="J161" s="6"/>
      <c r="K161" s="6"/>
      <c r="L161" s="6"/>
      <c r="M161" s="6"/>
      <c r="N161" s="6"/>
      <c r="O161" s="6"/>
      <c r="P161" s="6"/>
      <c r="Q161" s="6"/>
      <c r="R161" s="6"/>
      <c r="S161" s="6"/>
    </row>
    <row r="162" spans="1:19">
      <c r="A162" s="83"/>
      <c r="B162" s="82"/>
      <c r="C162" s="82"/>
      <c r="D162" s="82"/>
      <c r="E162" s="82"/>
      <c r="F162" s="83"/>
      <c r="G162" s="83"/>
      <c r="H162" s="83"/>
      <c r="I162" s="6"/>
      <c r="J162" s="6"/>
      <c r="K162" s="6"/>
      <c r="L162" s="6"/>
      <c r="M162" s="6"/>
      <c r="N162" s="6"/>
      <c r="O162" s="6"/>
      <c r="P162" s="6"/>
      <c r="Q162" s="6"/>
      <c r="R162" s="6"/>
      <c r="S162" s="6"/>
    </row>
    <row r="163" spans="1:19">
      <c r="A163" s="83"/>
      <c r="B163" s="82"/>
      <c r="C163" s="82"/>
      <c r="D163" s="82"/>
      <c r="E163" s="82"/>
      <c r="F163" s="83"/>
      <c r="G163" s="83"/>
      <c r="H163" s="83"/>
      <c r="I163" s="6"/>
      <c r="J163" s="6"/>
      <c r="K163" s="6"/>
      <c r="L163" s="6"/>
      <c r="M163" s="6"/>
      <c r="N163" s="6"/>
      <c r="O163" s="6"/>
      <c r="P163" s="6"/>
      <c r="Q163" s="6"/>
      <c r="R163" s="6"/>
      <c r="S163" s="6"/>
    </row>
    <row r="164" spans="1:19">
      <c r="A164" s="83"/>
      <c r="B164" s="82"/>
      <c r="C164" s="82"/>
      <c r="D164" s="82"/>
      <c r="E164" s="82"/>
      <c r="F164" s="83"/>
      <c r="G164" s="83"/>
      <c r="H164" s="83"/>
      <c r="I164" s="6"/>
      <c r="J164" s="6"/>
      <c r="K164" s="6"/>
      <c r="L164" s="6"/>
      <c r="M164" s="6"/>
      <c r="N164" s="6"/>
      <c r="O164" s="6"/>
      <c r="P164" s="6"/>
      <c r="Q164" s="6"/>
      <c r="R164" s="6"/>
      <c r="S164" s="6"/>
    </row>
    <row r="165" spans="1:19">
      <c r="A165" s="83"/>
      <c r="B165" s="82"/>
      <c r="C165" s="82"/>
      <c r="D165" s="82"/>
      <c r="E165" s="82"/>
      <c r="F165" s="83"/>
      <c r="G165" s="83"/>
      <c r="H165" s="83"/>
      <c r="I165" s="6"/>
      <c r="J165" s="6"/>
      <c r="K165" s="6"/>
      <c r="L165" s="6"/>
      <c r="M165" s="6"/>
      <c r="N165" s="6"/>
      <c r="O165" s="6"/>
      <c r="P165" s="6"/>
      <c r="Q165" s="6"/>
      <c r="R165" s="6"/>
      <c r="S165" s="6"/>
    </row>
    <row r="166" spans="1:19">
      <c r="A166" s="83"/>
      <c r="B166" s="82"/>
      <c r="C166" s="82"/>
      <c r="D166" s="82"/>
      <c r="E166" s="82"/>
      <c r="F166" s="83"/>
      <c r="G166" s="83"/>
      <c r="H166" s="83"/>
      <c r="I166" s="6"/>
      <c r="J166" s="6"/>
      <c r="K166" s="6"/>
      <c r="L166" s="6"/>
      <c r="M166" s="6"/>
      <c r="N166" s="6"/>
      <c r="O166" s="6"/>
      <c r="P166" s="6"/>
      <c r="Q166" s="6"/>
      <c r="R166" s="6"/>
      <c r="S166" s="6"/>
    </row>
    <row r="167" spans="1:19">
      <c r="A167" s="83"/>
      <c r="B167" s="82"/>
      <c r="C167" s="82"/>
      <c r="D167" s="82"/>
      <c r="E167" s="82"/>
      <c r="F167" s="83"/>
      <c r="G167" s="83"/>
      <c r="H167" s="83"/>
      <c r="I167" s="6"/>
      <c r="J167" s="6"/>
      <c r="K167" s="6"/>
      <c r="L167" s="6"/>
      <c r="M167" s="6"/>
      <c r="N167" s="6"/>
      <c r="O167" s="6"/>
      <c r="P167" s="6"/>
      <c r="Q167" s="6"/>
      <c r="R167" s="6"/>
      <c r="S167" s="6"/>
    </row>
    <row r="168" spans="1:19">
      <c r="A168" s="83"/>
      <c r="B168" s="82"/>
      <c r="C168" s="82"/>
      <c r="D168" s="82"/>
      <c r="E168" s="82"/>
      <c r="F168" s="83"/>
      <c r="G168" s="83"/>
      <c r="H168" s="83"/>
      <c r="I168" s="6"/>
      <c r="J168" s="6"/>
      <c r="K168" s="6"/>
      <c r="L168" s="6"/>
      <c r="M168" s="6"/>
      <c r="N168" s="6"/>
      <c r="O168" s="6"/>
      <c r="P168" s="6"/>
      <c r="Q168" s="6"/>
      <c r="R168" s="6"/>
      <c r="S168" s="6"/>
    </row>
    <row r="169" spans="1:19">
      <c r="A169" s="83"/>
      <c r="B169" s="82"/>
      <c r="C169" s="82"/>
      <c r="D169" s="82"/>
      <c r="E169" s="82"/>
      <c r="F169" s="83"/>
      <c r="G169" s="83"/>
      <c r="H169" s="83"/>
      <c r="I169" s="6"/>
      <c r="J169" s="6"/>
      <c r="K169" s="6"/>
      <c r="L169" s="6"/>
      <c r="M169" s="6"/>
      <c r="N169" s="6"/>
      <c r="O169" s="6"/>
      <c r="P169" s="6"/>
      <c r="Q169" s="6"/>
      <c r="R169" s="6"/>
      <c r="S169" s="6"/>
    </row>
    <row r="170" spans="1:19">
      <c r="A170" s="83"/>
      <c r="B170" s="82"/>
      <c r="C170" s="82"/>
      <c r="D170" s="82"/>
      <c r="E170" s="82"/>
      <c r="F170" s="83"/>
      <c r="G170" s="83"/>
      <c r="H170" s="83"/>
      <c r="I170" s="6"/>
      <c r="J170" s="6"/>
      <c r="K170" s="6"/>
      <c r="L170" s="6"/>
      <c r="M170" s="6"/>
      <c r="N170" s="6"/>
      <c r="O170" s="6"/>
      <c r="P170" s="6"/>
      <c r="Q170" s="6"/>
      <c r="R170" s="6"/>
      <c r="S170" s="6"/>
    </row>
    <row r="171" spans="1:19">
      <c r="A171" s="83"/>
      <c r="B171" s="82"/>
      <c r="C171" s="82"/>
      <c r="D171" s="82"/>
      <c r="E171" s="82"/>
      <c r="F171" s="83"/>
      <c r="G171" s="83"/>
      <c r="H171" s="83"/>
      <c r="I171" s="6"/>
      <c r="J171" s="6"/>
      <c r="K171" s="6"/>
      <c r="L171" s="6"/>
      <c r="M171" s="6"/>
      <c r="N171" s="6"/>
      <c r="O171" s="6"/>
      <c r="P171" s="6"/>
      <c r="Q171" s="6"/>
      <c r="R171" s="6"/>
      <c r="S171" s="6"/>
    </row>
    <row r="172" spans="1:19">
      <c r="A172" s="83"/>
      <c r="B172" s="82"/>
      <c r="C172" s="82"/>
      <c r="D172" s="82"/>
      <c r="E172" s="82"/>
      <c r="F172" s="83"/>
      <c r="G172" s="83"/>
      <c r="H172" s="83"/>
      <c r="I172" s="6"/>
      <c r="J172" s="6"/>
      <c r="K172" s="6"/>
      <c r="L172" s="6"/>
      <c r="M172" s="6"/>
      <c r="N172" s="6"/>
      <c r="O172" s="6"/>
      <c r="P172" s="6"/>
      <c r="Q172" s="6"/>
      <c r="R172" s="6"/>
      <c r="S172" s="6"/>
    </row>
    <row r="173" spans="1:19">
      <c r="A173" s="83"/>
      <c r="B173" s="82"/>
      <c r="C173" s="82"/>
      <c r="D173" s="82"/>
      <c r="E173" s="82"/>
      <c r="F173" s="83"/>
      <c r="G173" s="83"/>
      <c r="H173" s="83"/>
      <c r="I173" s="6"/>
      <c r="J173" s="6"/>
      <c r="K173" s="6"/>
      <c r="L173" s="6"/>
      <c r="M173" s="6"/>
      <c r="N173" s="6"/>
      <c r="O173" s="6"/>
      <c r="P173" s="6"/>
      <c r="Q173" s="6"/>
      <c r="R173" s="6"/>
      <c r="S173" s="6"/>
    </row>
    <row r="174" spans="1:19">
      <c r="A174" s="83"/>
      <c r="B174" s="82"/>
      <c r="C174" s="82"/>
      <c r="D174" s="82"/>
      <c r="E174" s="82"/>
      <c r="F174" s="83"/>
      <c r="G174" s="83"/>
      <c r="H174" s="83"/>
      <c r="I174" s="6"/>
      <c r="J174" s="6"/>
      <c r="K174" s="6"/>
      <c r="L174" s="6"/>
      <c r="M174" s="6"/>
      <c r="N174" s="6"/>
      <c r="O174" s="6"/>
      <c r="P174" s="6"/>
      <c r="Q174" s="6"/>
      <c r="R174" s="6"/>
      <c r="S174" s="6"/>
    </row>
    <row r="175" spans="1:19">
      <c r="A175" s="83"/>
      <c r="B175" s="82"/>
      <c r="C175" s="82"/>
      <c r="D175" s="82"/>
      <c r="E175" s="82"/>
      <c r="F175" s="83"/>
      <c r="G175" s="83"/>
      <c r="H175" s="83"/>
      <c r="I175" s="6"/>
      <c r="J175" s="6"/>
      <c r="K175" s="6"/>
      <c r="L175" s="6"/>
      <c r="M175" s="6"/>
      <c r="N175" s="6"/>
      <c r="O175" s="6"/>
      <c r="P175" s="6"/>
      <c r="Q175" s="6"/>
      <c r="R175" s="6"/>
      <c r="S175" s="6"/>
    </row>
    <row r="176" spans="1:19">
      <c r="A176" s="83"/>
      <c r="B176" s="82"/>
      <c r="C176" s="82"/>
      <c r="D176" s="82"/>
      <c r="E176" s="82"/>
      <c r="F176" s="83"/>
      <c r="G176" s="83"/>
      <c r="H176" s="83"/>
      <c r="I176" s="6"/>
      <c r="J176" s="6"/>
      <c r="K176" s="6"/>
      <c r="L176" s="6"/>
      <c r="M176" s="6"/>
      <c r="N176" s="6"/>
      <c r="O176" s="6"/>
      <c r="P176" s="6"/>
      <c r="Q176" s="6"/>
      <c r="R176" s="6"/>
      <c r="S176" s="6"/>
    </row>
    <row r="177" spans="1:19">
      <c r="A177" s="83"/>
      <c r="B177" s="82"/>
      <c r="C177" s="82"/>
      <c r="D177" s="82"/>
      <c r="E177" s="82"/>
      <c r="F177" s="83"/>
      <c r="G177" s="83"/>
      <c r="H177" s="83"/>
      <c r="I177" s="6"/>
      <c r="J177" s="6"/>
      <c r="K177" s="6"/>
      <c r="L177" s="6"/>
      <c r="M177" s="6"/>
      <c r="N177" s="6"/>
      <c r="O177" s="6"/>
      <c r="P177" s="6"/>
      <c r="Q177" s="6"/>
      <c r="R177" s="6"/>
      <c r="S177" s="6"/>
    </row>
    <row r="178" spans="1:19">
      <c r="A178" s="83"/>
      <c r="B178" s="82"/>
      <c r="C178" s="82"/>
      <c r="D178" s="82"/>
      <c r="E178" s="82"/>
      <c r="F178" s="83"/>
      <c r="G178" s="83"/>
      <c r="H178" s="83"/>
      <c r="I178" s="6"/>
      <c r="J178" s="6"/>
      <c r="K178" s="6"/>
      <c r="L178" s="6"/>
      <c r="M178" s="6"/>
      <c r="N178" s="6"/>
      <c r="O178" s="6"/>
      <c r="P178" s="6"/>
      <c r="Q178" s="6"/>
      <c r="R178" s="6"/>
      <c r="S178" s="6"/>
    </row>
    <row r="179" spans="1:19">
      <c r="A179" s="83"/>
      <c r="B179" s="82"/>
      <c r="C179" s="82"/>
      <c r="D179" s="82"/>
      <c r="E179" s="82"/>
      <c r="F179" s="83"/>
      <c r="G179" s="83"/>
      <c r="H179" s="83"/>
      <c r="I179" s="6"/>
      <c r="J179" s="6"/>
      <c r="K179" s="6"/>
      <c r="L179" s="6"/>
      <c r="M179" s="6"/>
      <c r="N179" s="6"/>
      <c r="O179" s="6"/>
      <c r="P179" s="6"/>
      <c r="Q179" s="6"/>
      <c r="R179" s="6"/>
      <c r="S179" s="6"/>
    </row>
    <row r="180" spans="1:19">
      <c r="A180" s="83"/>
      <c r="B180" s="82"/>
      <c r="C180" s="82"/>
      <c r="D180" s="82"/>
      <c r="E180" s="82"/>
      <c r="F180" s="83"/>
      <c r="G180" s="83"/>
      <c r="H180" s="83"/>
      <c r="I180" s="6"/>
      <c r="J180" s="6"/>
      <c r="K180" s="6"/>
      <c r="L180" s="6"/>
      <c r="M180" s="6"/>
      <c r="N180" s="6"/>
      <c r="O180" s="6"/>
      <c r="P180" s="6"/>
      <c r="Q180" s="6"/>
      <c r="R180" s="6"/>
      <c r="S180" s="6"/>
    </row>
    <row r="181" spans="1:19">
      <c r="A181" s="83"/>
      <c r="B181" s="82"/>
      <c r="C181" s="82"/>
      <c r="D181" s="82"/>
      <c r="E181" s="82"/>
      <c r="F181" s="83"/>
      <c r="G181" s="83"/>
      <c r="H181" s="83"/>
      <c r="I181" s="6"/>
      <c r="J181" s="6"/>
      <c r="K181" s="6"/>
      <c r="L181" s="6"/>
      <c r="M181" s="6"/>
      <c r="N181" s="6"/>
      <c r="O181" s="6"/>
      <c r="P181" s="6"/>
      <c r="Q181" s="6"/>
      <c r="R181" s="6"/>
      <c r="S181" s="6"/>
    </row>
    <row r="182" spans="1:19">
      <c r="A182" s="83"/>
      <c r="B182" s="82"/>
      <c r="C182" s="82"/>
      <c r="D182" s="82"/>
      <c r="E182" s="82"/>
      <c r="F182" s="83"/>
      <c r="G182" s="83"/>
      <c r="H182" s="83"/>
      <c r="I182" s="6"/>
      <c r="J182" s="6"/>
      <c r="K182" s="6"/>
      <c r="L182" s="6"/>
      <c r="M182" s="6"/>
      <c r="N182" s="6"/>
      <c r="O182" s="6"/>
      <c r="P182" s="6"/>
      <c r="Q182" s="6"/>
      <c r="R182" s="6"/>
      <c r="S182" s="6"/>
    </row>
    <row r="183" spans="1:19">
      <c r="A183" s="83"/>
      <c r="B183" s="82"/>
      <c r="C183" s="82"/>
      <c r="D183" s="82"/>
      <c r="E183" s="82"/>
      <c r="F183" s="83"/>
      <c r="G183" s="83"/>
      <c r="H183" s="83"/>
      <c r="I183" s="6"/>
      <c r="J183" s="6"/>
      <c r="K183" s="6"/>
      <c r="L183" s="6"/>
      <c r="M183" s="6"/>
      <c r="N183" s="6"/>
      <c r="O183" s="6"/>
      <c r="P183" s="6"/>
      <c r="Q183" s="6"/>
      <c r="R183" s="6"/>
      <c r="S183" s="6"/>
    </row>
    <row r="184" spans="1:19">
      <c r="A184" s="83"/>
      <c r="B184" s="82"/>
      <c r="C184" s="82"/>
      <c r="D184" s="82"/>
      <c r="E184" s="82"/>
      <c r="F184" s="83"/>
      <c r="G184" s="83"/>
      <c r="H184" s="83"/>
      <c r="I184" s="6"/>
      <c r="J184" s="6"/>
      <c r="K184" s="6"/>
      <c r="L184" s="6"/>
      <c r="M184" s="6"/>
      <c r="N184" s="6"/>
      <c r="O184" s="6"/>
      <c r="P184" s="6"/>
      <c r="Q184" s="6"/>
      <c r="R184" s="6"/>
      <c r="S184" s="6"/>
    </row>
    <row r="185" spans="1:19">
      <c r="A185" s="83"/>
      <c r="B185" s="82"/>
      <c r="C185" s="82"/>
      <c r="D185" s="82"/>
      <c r="E185" s="82"/>
      <c r="F185" s="83"/>
      <c r="G185" s="83"/>
      <c r="H185" s="83"/>
      <c r="I185" s="6"/>
      <c r="J185" s="6"/>
      <c r="K185" s="6"/>
      <c r="L185" s="6"/>
      <c r="M185" s="6"/>
      <c r="N185" s="6"/>
      <c r="O185" s="6"/>
      <c r="P185" s="6"/>
      <c r="Q185" s="6"/>
      <c r="R185" s="6"/>
      <c r="S185" s="6"/>
    </row>
    <row r="186" spans="1:19">
      <c r="A186" s="83"/>
      <c r="B186" s="82"/>
      <c r="C186" s="82"/>
      <c r="D186" s="82"/>
      <c r="E186" s="82"/>
      <c r="F186" s="83"/>
      <c r="G186" s="83"/>
      <c r="H186" s="83"/>
      <c r="I186" s="6"/>
      <c r="J186" s="6"/>
      <c r="K186" s="6"/>
      <c r="L186" s="6"/>
      <c r="M186" s="6"/>
      <c r="N186" s="6"/>
      <c r="O186" s="6"/>
      <c r="P186" s="6"/>
      <c r="Q186" s="6"/>
      <c r="R186" s="6"/>
      <c r="S186" s="6"/>
    </row>
    <row r="187" spans="1:19">
      <c r="A187" s="83"/>
      <c r="B187" s="82"/>
      <c r="C187" s="82"/>
      <c r="D187" s="82"/>
      <c r="E187" s="82"/>
      <c r="F187" s="83"/>
      <c r="G187" s="83"/>
      <c r="H187" s="83"/>
      <c r="I187" s="6"/>
      <c r="J187" s="6"/>
      <c r="K187" s="6"/>
      <c r="L187" s="6"/>
      <c r="M187" s="6"/>
      <c r="N187" s="6"/>
      <c r="O187" s="6"/>
      <c r="P187" s="6"/>
      <c r="Q187" s="6"/>
      <c r="R187" s="6"/>
      <c r="S187" s="6"/>
    </row>
    <row r="188" spans="1:19">
      <c r="A188" s="83"/>
      <c r="B188" s="82"/>
      <c r="C188" s="82"/>
      <c r="D188" s="82"/>
      <c r="E188" s="82"/>
      <c r="F188" s="83"/>
      <c r="G188" s="83"/>
      <c r="H188" s="83"/>
      <c r="I188" s="6"/>
      <c r="J188" s="6"/>
      <c r="K188" s="6"/>
      <c r="L188" s="6"/>
      <c r="M188" s="6"/>
      <c r="N188" s="6"/>
      <c r="O188" s="6"/>
      <c r="P188" s="6"/>
      <c r="Q188" s="6"/>
      <c r="R188" s="6"/>
      <c r="S188" s="6"/>
    </row>
    <row r="189" spans="1:19">
      <c r="A189" s="83"/>
      <c r="B189" s="82"/>
      <c r="C189" s="82"/>
      <c r="D189" s="82"/>
      <c r="E189" s="82"/>
      <c r="F189" s="83"/>
      <c r="G189" s="83"/>
      <c r="H189" s="83"/>
      <c r="I189" s="6"/>
      <c r="J189" s="6"/>
      <c r="K189" s="6"/>
      <c r="L189" s="6"/>
      <c r="M189" s="6"/>
      <c r="N189" s="6"/>
      <c r="O189" s="6"/>
      <c r="P189" s="6"/>
      <c r="Q189" s="6"/>
      <c r="R189" s="6"/>
      <c r="S189" s="6"/>
    </row>
    <row r="190" spans="1:19">
      <c r="A190" s="83"/>
      <c r="B190" s="82"/>
      <c r="C190" s="82"/>
      <c r="D190" s="82"/>
      <c r="E190" s="82"/>
      <c r="F190" s="83"/>
      <c r="G190" s="83"/>
      <c r="H190" s="83"/>
      <c r="I190" s="6"/>
      <c r="J190" s="6"/>
      <c r="K190" s="6"/>
      <c r="L190" s="6"/>
      <c r="M190" s="6"/>
      <c r="N190" s="6"/>
      <c r="O190" s="6"/>
      <c r="P190" s="6"/>
      <c r="Q190" s="6"/>
      <c r="R190" s="6"/>
      <c r="S190" s="6"/>
    </row>
    <row r="191" spans="1:19">
      <c r="A191" s="83"/>
      <c r="B191" s="82"/>
      <c r="C191" s="82"/>
      <c r="D191" s="82"/>
      <c r="E191" s="82"/>
      <c r="F191" s="83"/>
      <c r="G191" s="83"/>
      <c r="H191" s="83"/>
      <c r="I191" s="6"/>
      <c r="J191" s="6"/>
      <c r="K191" s="6"/>
      <c r="L191" s="6"/>
      <c r="M191" s="6"/>
      <c r="N191" s="6"/>
      <c r="O191" s="6"/>
      <c r="P191" s="6"/>
      <c r="Q191" s="6"/>
      <c r="R191" s="6"/>
      <c r="S191" s="6"/>
    </row>
    <row r="192" spans="1:19">
      <c r="A192" s="83"/>
      <c r="B192" s="82"/>
      <c r="C192" s="82"/>
      <c r="D192" s="82"/>
      <c r="E192" s="82"/>
      <c r="F192" s="83"/>
      <c r="G192" s="83"/>
      <c r="H192" s="83"/>
      <c r="I192" s="6"/>
      <c r="J192" s="6"/>
      <c r="K192" s="6"/>
      <c r="L192" s="6"/>
      <c r="M192" s="6"/>
      <c r="N192" s="6"/>
      <c r="O192" s="6"/>
      <c r="P192" s="6"/>
      <c r="Q192" s="6"/>
      <c r="R192" s="6"/>
      <c r="S192" s="6"/>
    </row>
    <row r="193" spans="1:19">
      <c r="A193" s="83"/>
      <c r="B193" s="82"/>
      <c r="C193" s="82"/>
      <c r="D193" s="82"/>
      <c r="E193" s="82"/>
      <c r="F193" s="83"/>
      <c r="G193" s="83"/>
      <c r="H193" s="83"/>
      <c r="I193" s="6"/>
      <c r="J193" s="6"/>
      <c r="K193" s="6"/>
      <c r="L193" s="6"/>
      <c r="M193" s="6"/>
      <c r="N193" s="6"/>
      <c r="O193" s="6"/>
      <c r="P193" s="6"/>
      <c r="Q193" s="6"/>
      <c r="R193" s="6"/>
      <c r="S193" s="6"/>
    </row>
    <row r="194" spans="1:19">
      <c r="A194" s="83"/>
      <c r="B194" s="82"/>
      <c r="C194" s="82"/>
      <c r="D194" s="82"/>
      <c r="E194" s="82"/>
      <c r="F194" s="83"/>
      <c r="G194" s="83"/>
      <c r="H194" s="83"/>
      <c r="I194" s="6"/>
      <c r="J194" s="6"/>
      <c r="K194" s="6"/>
      <c r="L194" s="6"/>
      <c r="M194" s="6"/>
      <c r="N194" s="6"/>
      <c r="O194" s="6"/>
      <c r="P194" s="6"/>
      <c r="Q194" s="6"/>
      <c r="R194" s="6"/>
      <c r="S194" s="6"/>
    </row>
    <row r="195" spans="1:19">
      <c r="A195" s="83"/>
      <c r="B195" s="82"/>
      <c r="C195" s="82"/>
      <c r="D195" s="82"/>
      <c r="E195" s="82"/>
      <c r="F195" s="83"/>
      <c r="G195" s="83"/>
      <c r="H195" s="83"/>
      <c r="I195" s="6"/>
      <c r="J195" s="6"/>
      <c r="K195" s="6"/>
      <c r="L195" s="6"/>
      <c r="M195" s="6"/>
      <c r="N195" s="6"/>
      <c r="O195" s="6"/>
      <c r="P195" s="6"/>
      <c r="Q195" s="6"/>
      <c r="R195" s="6"/>
      <c r="S195" s="6"/>
    </row>
    <row r="196" spans="1:19">
      <c r="A196" s="83"/>
      <c r="B196" s="82"/>
      <c r="C196" s="82"/>
      <c r="D196" s="82"/>
      <c r="E196" s="82"/>
      <c r="F196" s="83"/>
      <c r="G196" s="83"/>
      <c r="H196" s="83"/>
      <c r="I196" s="6"/>
      <c r="J196" s="6"/>
      <c r="K196" s="6"/>
      <c r="L196" s="6"/>
      <c r="M196" s="6"/>
      <c r="N196" s="6"/>
      <c r="O196" s="6"/>
      <c r="P196" s="6"/>
      <c r="Q196" s="6"/>
      <c r="R196" s="6"/>
      <c r="S196" s="6"/>
    </row>
    <row r="197" spans="1:19">
      <c r="A197" s="83"/>
      <c r="B197" s="82"/>
      <c r="C197" s="82"/>
      <c r="D197" s="82"/>
      <c r="E197" s="82"/>
      <c r="F197" s="83"/>
      <c r="G197" s="83"/>
      <c r="H197" s="83"/>
      <c r="I197" s="6"/>
      <c r="J197" s="6"/>
      <c r="K197" s="6"/>
      <c r="L197" s="6"/>
      <c r="M197" s="6"/>
      <c r="N197" s="6"/>
      <c r="O197" s="6"/>
      <c r="P197" s="6"/>
      <c r="Q197" s="6"/>
      <c r="R197" s="6"/>
      <c r="S197" s="6"/>
    </row>
    <row r="198" spans="1:19">
      <c r="A198" s="83"/>
      <c r="B198" s="82"/>
      <c r="C198" s="82"/>
      <c r="D198" s="82"/>
      <c r="E198" s="82"/>
      <c r="F198" s="83"/>
      <c r="G198" s="83"/>
      <c r="H198" s="83"/>
      <c r="I198" s="6"/>
      <c r="J198" s="6"/>
      <c r="K198" s="6"/>
      <c r="L198" s="6"/>
      <c r="M198" s="6"/>
      <c r="N198" s="6"/>
      <c r="O198" s="6"/>
      <c r="P198" s="6"/>
      <c r="Q198" s="6"/>
      <c r="R198" s="6"/>
      <c r="S198" s="6"/>
    </row>
    <row r="199" spans="1:19">
      <c r="A199" s="83"/>
      <c r="B199" s="82"/>
      <c r="C199" s="82"/>
      <c r="D199" s="82"/>
      <c r="E199" s="82"/>
      <c r="F199" s="83"/>
      <c r="G199" s="83"/>
      <c r="H199" s="83"/>
      <c r="I199" s="6"/>
      <c r="J199" s="6"/>
      <c r="K199" s="6"/>
      <c r="L199" s="6"/>
      <c r="M199" s="6"/>
      <c r="N199" s="6"/>
      <c r="O199" s="6"/>
      <c r="P199" s="6"/>
      <c r="Q199" s="6"/>
      <c r="R199" s="6"/>
      <c r="S199" s="6"/>
    </row>
    <row r="200" spans="1:19">
      <c r="A200" s="83"/>
      <c r="B200" s="82"/>
      <c r="C200" s="82"/>
      <c r="D200" s="82"/>
      <c r="E200" s="82"/>
      <c r="F200" s="83"/>
      <c r="G200" s="83"/>
      <c r="H200" s="83"/>
      <c r="I200" s="6"/>
      <c r="J200" s="6"/>
      <c r="K200" s="6"/>
      <c r="L200" s="6"/>
      <c r="M200" s="6"/>
      <c r="N200" s="6"/>
      <c r="O200" s="6"/>
      <c r="P200" s="6"/>
      <c r="Q200" s="6"/>
      <c r="R200" s="6"/>
      <c r="S200" s="6"/>
    </row>
    <row r="201" spans="1:19">
      <c r="A201" s="83"/>
      <c r="B201" s="82"/>
      <c r="C201" s="82"/>
      <c r="D201" s="82"/>
      <c r="E201" s="82"/>
      <c r="F201" s="83"/>
      <c r="G201" s="83"/>
      <c r="H201" s="83"/>
      <c r="I201" s="6"/>
      <c r="J201" s="6"/>
      <c r="K201" s="6"/>
      <c r="L201" s="6"/>
      <c r="M201" s="6"/>
      <c r="N201" s="6"/>
      <c r="O201" s="6"/>
      <c r="P201" s="6"/>
      <c r="Q201" s="6"/>
      <c r="R201" s="6"/>
      <c r="S201" s="6"/>
    </row>
    <row r="202" spans="1:19">
      <c r="A202" s="83"/>
      <c r="B202" s="82"/>
      <c r="C202" s="82"/>
      <c r="D202" s="82"/>
      <c r="E202" s="82"/>
      <c r="F202" s="83"/>
      <c r="G202" s="83"/>
      <c r="H202" s="83"/>
      <c r="I202" s="6"/>
      <c r="J202" s="6"/>
      <c r="K202" s="6"/>
      <c r="L202" s="6"/>
      <c r="M202" s="6"/>
      <c r="N202" s="6"/>
      <c r="O202" s="6"/>
      <c r="P202" s="6"/>
      <c r="Q202" s="6"/>
      <c r="R202" s="6"/>
      <c r="S202" s="6"/>
    </row>
    <row r="203" spans="1:19">
      <c r="A203" s="83"/>
      <c r="B203" s="82"/>
      <c r="C203" s="82"/>
      <c r="D203" s="82"/>
      <c r="E203" s="82"/>
      <c r="F203" s="83"/>
      <c r="G203" s="83"/>
      <c r="H203" s="83"/>
      <c r="I203" s="6"/>
      <c r="J203" s="6"/>
      <c r="K203" s="6"/>
      <c r="L203" s="6"/>
      <c r="M203" s="6"/>
      <c r="N203" s="6"/>
      <c r="O203" s="6"/>
      <c r="P203" s="6"/>
      <c r="Q203" s="6"/>
      <c r="R203" s="6"/>
      <c r="S203" s="6"/>
    </row>
    <row r="204" spans="1:19">
      <c r="A204" s="83"/>
      <c r="B204" s="82"/>
      <c r="C204" s="82"/>
      <c r="D204" s="82"/>
      <c r="E204" s="82"/>
      <c r="F204" s="83"/>
      <c r="G204" s="83"/>
      <c r="H204" s="83"/>
      <c r="I204" s="6"/>
      <c r="J204" s="6"/>
      <c r="K204" s="6"/>
      <c r="L204" s="6"/>
      <c r="M204" s="6"/>
      <c r="N204" s="6"/>
      <c r="O204" s="6"/>
      <c r="P204" s="6"/>
      <c r="Q204" s="6"/>
      <c r="R204" s="6"/>
      <c r="S204" s="6"/>
    </row>
    <row r="205" spans="1:19">
      <c r="A205" s="83"/>
      <c r="B205" s="82"/>
      <c r="C205" s="82"/>
      <c r="D205" s="82"/>
      <c r="E205" s="82"/>
      <c r="F205" s="83"/>
      <c r="G205" s="83"/>
      <c r="H205" s="83"/>
      <c r="I205" s="6"/>
      <c r="J205" s="6"/>
      <c r="K205" s="6"/>
      <c r="L205" s="6"/>
      <c r="M205" s="6"/>
      <c r="N205" s="6"/>
      <c r="O205" s="6"/>
      <c r="P205" s="6"/>
      <c r="Q205" s="6"/>
      <c r="R205" s="6"/>
      <c r="S205" s="6"/>
    </row>
    <row r="206" spans="1:19">
      <c r="A206" s="83"/>
      <c r="B206" s="82"/>
      <c r="C206" s="82"/>
      <c r="D206" s="82"/>
      <c r="E206" s="82"/>
      <c r="F206" s="83"/>
      <c r="G206" s="83"/>
      <c r="H206" s="83"/>
      <c r="I206" s="6"/>
      <c r="J206" s="6"/>
      <c r="K206" s="6"/>
      <c r="L206" s="6"/>
      <c r="M206" s="6"/>
      <c r="N206" s="6"/>
      <c r="O206" s="6"/>
      <c r="P206" s="6"/>
      <c r="Q206" s="6"/>
      <c r="R206" s="6"/>
      <c r="S206" s="6"/>
    </row>
    <row r="207" spans="1:19">
      <c r="A207" s="83"/>
      <c r="B207" s="82"/>
      <c r="C207" s="82"/>
      <c r="D207" s="82"/>
      <c r="E207" s="82"/>
      <c r="F207" s="83"/>
      <c r="G207" s="83"/>
      <c r="H207" s="83"/>
      <c r="I207" s="6"/>
      <c r="J207" s="6"/>
      <c r="K207" s="6"/>
      <c r="L207" s="6"/>
      <c r="M207" s="6"/>
      <c r="N207" s="6"/>
      <c r="O207" s="6"/>
      <c r="P207" s="6"/>
      <c r="Q207" s="6"/>
      <c r="R207" s="6"/>
      <c r="S207" s="6"/>
    </row>
    <row r="208" spans="1:19">
      <c r="A208" s="83"/>
      <c r="B208" s="82"/>
      <c r="C208" s="82"/>
      <c r="D208" s="82"/>
      <c r="E208" s="82"/>
      <c r="F208" s="83"/>
      <c r="G208" s="83"/>
      <c r="H208" s="83"/>
      <c r="I208" s="6"/>
      <c r="J208" s="6"/>
      <c r="K208" s="6"/>
      <c r="L208" s="6"/>
      <c r="M208" s="6"/>
      <c r="N208" s="6"/>
      <c r="O208" s="6"/>
      <c r="P208" s="6"/>
      <c r="Q208" s="6"/>
      <c r="R208" s="6"/>
      <c r="S208" s="6"/>
    </row>
    <row r="209" spans="1:19">
      <c r="A209" s="83"/>
      <c r="B209" s="82"/>
      <c r="C209" s="82"/>
      <c r="D209" s="82"/>
      <c r="E209" s="82"/>
      <c r="F209" s="83"/>
      <c r="G209" s="83"/>
      <c r="H209" s="83"/>
      <c r="I209" s="6"/>
      <c r="J209" s="6"/>
      <c r="K209" s="6"/>
      <c r="L209" s="6"/>
      <c r="M209" s="6"/>
      <c r="N209" s="6"/>
      <c r="O209" s="6"/>
      <c r="P209" s="6"/>
      <c r="Q209" s="6"/>
      <c r="R209" s="6"/>
      <c r="S209" s="6"/>
    </row>
    <row r="210" spans="1:19">
      <c r="A210" s="83"/>
      <c r="B210" s="82"/>
      <c r="C210" s="82"/>
      <c r="D210" s="82"/>
      <c r="E210" s="82"/>
      <c r="F210" s="83"/>
      <c r="G210" s="83"/>
      <c r="H210" s="83"/>
      <c r="I210" s="6"/>
      <c r="J210" s="6"/>
      <c r="K210" s="6"/>
      <c r="L210" s="6"/>
      <c r="M210" s="6"/>
      <c r="N210" s="6"/>
      <c r="O210" s="6"/>
      <c r="P210" s="6"/>
      <c r="Q210" s="6"/>
      <c r="R210" s="6"/>
      <c r="S210" s="6"/>
    </row>
    <row r="211" spans="1:19">
      <c r="A211" s="83"/>
      <c r="B211" s="82"/>
      <c r="C211" s="82"/>
      <c r="D211" s="82"/>
      <c r="E211" s="82"/>
      <c r="F211" s="83"/>
      <c r="G211" s="83"/>
      <c r="H211" s="83"/>
      <c r="I211" s="6"/>
      <c r="J211" s="6"/>
      <c r="K211" s="6"/>
      <c r="L211" s="6"/>
      <c r="M211" s="6"/>
      <c r="N211" s="6"/>
      <c r="O211" s="6"/>
      <c r="P211" s="6"/>
      <c r="Q211" s="6"/>
      <c r="R211" s="6"/>
      <c r="S211" s="6"/>
    </row>
    <row r="212" spans="1:19">
      <c r="A212" s="83"/>
      <c r="B212" s="82"/>
      <c r="C212" s="82"/>
      <c r="D212" s="82"/>
      <c r="E212" s="82"/>
      <c r="F212" s="83"/>
      <c r="G212" s="83"/>
      <c r="H212" s="83"/>
      <c r="I212" s="6"/>
      <c r="J212" s="6"/>
      <c r="K212" s="6"/>
      <c r="L212" s="6"/>
      <c r="M212" s="6"/>
      <c r="N212" s="6"/>
      <c r="O212" s="6"/>
      <c r="P212" s="6"/>
      <c r="Q212" s="6"/>
      <c r="R212" s="6"/>
      <c r="S212" s="6"/>
    </row>
    <row r="213" spans="1:19">
      <c r="A213" s="83"/>
      <c r="B213" s="82"/>
      <c r="C213" s="82"/>
      <c r="D213" s="82"/>
      <c r="E213" s="82"/>
      <c r="F213" s="83"/>
      <c r="G213" s="83"/>
      <c r="H213" s="83"/>
      <c r="I213" s="6"/>
      <c r="J213" s="6"/>
      <c r="K213" s="6"/>
      <c r="L213" s="6"/>
      <c r="M213" s="6"/>
      <c r="N213" s="6"/>
      <c r="O213" s="6"/>
      <c r="P213" s="6"/>
      <c r="Q213" s="6"/>
      <c r="R213" s="6"/>
      <c r="S213" s="6"/>
    </row>
    <row r="214" spans="1:19">
      <c r="A214" s="83"/>
      <c r="B214" s="82"/>
      <c r="C214" s="82"/>
      <c r="D214" s="82"/>
      <c r="E214" s="82"/>
      <c r="F214" s="83"/>
      <c r="G214" s="83"/>
      <c r="H214" s="83"/>
      <c r="I214" s="6"/>
      <c r="J214" s="6"/>
      <c r="K214" s="6"/>
      <c r="L214" s="6"/>
      <c r="M214" s="6"/>
      <c r="N214" s="6"/>
      <c r="O214" s="6"/>
      <c r="P214" s="6"/>
      <c r="Q214" s="6"/>
      <c r="R214" s="6"/>
      <c r="S214" s="6"/>
    </row>
    <row r="215" spans="1:19">
      <c r="A215" s="83"/>
      <c r="B215" s="82"/>
      <c r="C215" s="82"/>
      <c r="D215" s="82"/>
      <c r="E215" s="82"/>
      <c r="F215" s="83"/>
      <c r="G215" s="83"/>
      <c r="H215" s="83"/>
      <c r="I215" s="6"/>
      <c r="J215" s="6"/>
      <c r="K215" s="6"/>
      <c r="L215" s="6"/>
      <c r="M215" s="6"/>
      <c r="N215" s="6"/>
      <c r="O215" s="6"/>
      <c r="P215" s="6"/>
      <c r="Q215" s="6"/>
      <c r="R215" s="6"/>
      <c r="S215" s="6"/>
    </row>
    <row r="216" spans="1:19">
      <c r="A216" s="83"/>
      <c r="B216" s="82"/>
      <c r="C216" s="82"/>
      <c r="D216" s="82"/>
      <c r="E216" s="82"/>
      <c r="F216" s="83"/>
      <c r="G216" s="83"/>
      <c r="H216" s="83"/>
      <c r="I216" s="6"/>
      <c r="J216" s="6"/>
      <c r="K216" s="6"/>
      <c r="L216" s="6"/>
      <c r="M216" s="6"/>
      <c r="N216" s="6"/>
      <c r="O216" s="6"/>
      <c r="P216" s="6"/>
      <c r="Q216" s="6"/>
      <c r="R216" s="6"/>
      <c r="S216" s="6"/>
    </row>
    <row r="217" spans="1:19">
      <c r="A217" s="83"/>
      <c r="B217" s="82"/>
      <c r="C217" s="82"/>
      <c r="D217" s="82"/>
      <c r="E217" s="82"/>
      <c r="F217" s="83"/>
      <c r="G217" s="83"/>
      <c r="H217" s="83"/>
      <c r="I217" s="6"/>
      <c r="J217" s="6"/>
      <c r="K217" s="6"/>
      <c r="L217" s="6"/>
      <c r="M217" s="6"/>
      <c r="N217" s="6"/>
      <c r="O217" s="6"/>
      <c r="P217" s="6"/>
      <c r="Q217" s="6"/>
      <c r="R217" s="6"/>
      <c r="S217" s="6"/>
    </row>
    <row r="218" spans="1:19">
      <c r="A218" s="83"/>
      <c r="B218" s="82"/>
      <c r="C218" s="82"/>
      <c r="D218" s="82"/>
      <c r="E218" s="82"/>
      <c r="F218" s="83"/>
      <c r="G218" s="83"/>
      <c r="H218" s="83"/>
      <c r="I218" s="6"/>
      <c r="J218" s="6"/>
      <c r="K218" s="6"/>
      <c r="L218" s="6"/>
      <c r="M218" s="6"/>
      <c r="N218" s="6"/>
      <c r="O218" s="6"/>
      <c r="P218" s="6"/>
      <c r="Q218" s="6"/>
      <c r="R218" s="6"/>
      <c r="S218" s="6"/>
    </row>
    <row r="219" spans="1:19">
      <c r="A219" s="83"/>
      <c r="B219" s="82"/>
      <c r="C219" s="82"/>
      <c r="D219" s="82"/>
      <c r="E219" s="82"/>
      <c r="F219" s="83"/>
      <c r="G219" s="83"/>
      <c r="H219" s="83"/>
      <c r="I219" s="6"/>
      <c r="J219" s="6"/>
      <c r="K219" s="6"/>
      <c r="L219" s="6"/>
      <c r="M219" s="6"/>
      <c r="N219" s="6"/>
      <c r="O219" s="6"/>
      <c r="P219" s="6"/>
      <c r="Q219" s="6"/>
      <c r="R219" s="6"/>
      <c r="S219" s="6"/>
    </row>
    <row r="220" spans="1:19">
      <c r="A220" s="83"/>
      <c r="B220" s="82"/>
      <c r="C220" s="82"/>
      <c r="D220" s="82"/>
      <c r="E220" s="82"/>
      <c r="F220" s="83"/>
      <c r="G220" s="83"/>
      <c r="H220" s="83"/>
      <c r="I220" s="6"/>
      <c r="J220" s="6"/>
      <c r="K220" s="6"/>
      <c r="L220" s="6"/>
      <c r="M220" s="6"/>
      <c r="N220" s="6"/>
      <c r="O220" s="6"/>
      <c r="P220" s="6"/>
      <c r="Q220" s="6"/>
      <c r="R220" s="6"/>
      <c r="S220" s="6"/>
    </row>
    <row r="221" spans="1:19">
      <c r="A221" s="83"/>
      <c r="B221" s="82"/>
      <c r="C221" s="82"/>
      <c r="D221" s="82"/>
      <c r="E221" s="82"/>
      <c r="F221" s="83"/>
      <c r="G221" s="83"/>
      <c r="H221" s="83"/>
      <c r="I221" s="6"/>
      <c r="J221" s="6"/>
      <c r="K221" s="6"/>
      <c r="L221" s="6"/>
      <c r="M221" s="6"/>
      <c r="N221" s="6"/>
      <c r="O221" s="6"/>
      <c r="P221" s="6"/>
      <c r="Q221" s="6"/>
      <c r="R221" s="6"/>
      <c r="S221" s="6"/>
    </row>
    <row r="222" spans="1:19">
      <c r="A222" s="83"/>
      <c r="B222" s="82"/>
      <c r="C222" s="82"/>
      <c r="D222" s="82"/>
      <c r="E222" s="82"/>
      <c r="F222" s="83"/>
      <c r="G222" s="83"/>
      <c r="H222" s="83"/>
      <c r="I222" s="6"/>
      <c r="J222" s="6"/>
      <c r="K222" s="6"/>
      <c r="L222" s="6"/>
      <c r="M222" s="6"/>
      <c r="N222" s="6"/>
      <c r="O222" s="6"/>
      <c r="P222" s="6"/>
      <c r="Q222" s="6"/>
      <c r="R222" s="6"/>
      <c r="S222" s="6"/>
    </row>
    <row r="223" spans="1:19">
      <c r="A223" s="83"/>
      <c r="B223" s="82"/>
      <c r="C223" s="82"/>
      <c r="D223" s="82"/>
      <c r="E223" s="82"/>
      <c r="F223" s="83"/>
      <c r="G223" s="83"/>
      <c r="H223" s="83"/>
      <c r="I223" s="6"/>
      <c r="J223" s="6"/>
      <c r="K223" s="6"/>
      <c r="L223" s="6"/>
      <c r="M223" s="6"/>
      <c r="N223" s="6"/>
      <c r="O223" s="6"/>
      <c r="P223" s="6"/>
      <c r="Q223" s="6"/>
      <c r="R223" s="6"/>
      <c r="S223" s="6"/>
    </row>
    <row r="224" spans="1:19">
      <c r="A224" s="83"/>
      <c r="B224" s="82"/>
      <c r="C224" s="82"/>
      <c r="D224" s="82"/>
      <c r="E224" s="82"/>
      <c r="F224" s="83"/>
      <c r="G224" s="83"/>
      <c r="H224" s="83"/>
      <c r="I224" s="6"/>
      <c r="J224" s="6"/>
      <c r="K224" s="6"/>
      <c r="L224" s="6"/>
      <c r="M224" s="6"/>
      <c r="N224" s="6"/>
      <c r="O224" s="6"/>
      <c r="P224" s="6"/>
      <c r="Q224" s="6"/>
      <c r="R224" s="6"/>
      <c r="S224" s="6"/>
    </row>
    <row r="225" spans="1:19">
      <c r="A225" s="83"/>
      <c r="B225" s="82"/>
      <c r="C225" s="82"/>
      <c r="D225" s="82"/>
      <c r="E225" s="82"/>
      <c r="F225" s="83"/>
      <c r="G225" s="83"/>
      <c r="H225" s="83"/>
      <c r="I225" s="6"/>
      <c r="J225" s="6"/>
      <c r="K225" s="6"/>
      <c r="L225" s="6"/>
      <c r="M225" s="6"/>
      <c r="N225" s="6"/>
      <c r="O225" s="6"/>
      <c r="P225" s="6"/>
      <c r="Q225" s="6"/>
      <c r="R225" s="6"/>
      <c r="S225" s="6"/>
    </row>
    <row r="226" spans="1:19">
      <c r="A226" s="83"/>
      <c r="B226" s="82"/>
      <c r="C226" s="82"/>
      <c r="D226" s="82"/>
      <c r="E226" s="82"/>
      <c r="F226" s="83"/>
      <c r="G226" s="83"/>
      <c r="H226" s="83"/>
      <c r="I226" s="6"/>
      <c r="J226" s="6"/>
      <c r="K226" s="6"/>
      <c r="L226" s="6"/>
      <c r="M226" s="6"/>
      <c r="N226" s="6"/>
      <c r="O226" s="6"/>
      <c r="P226" s="6"/>
      <c r="Q226" s="6"/>
      <c r="R226" s="6"/>
      <c r="S226" s="6"/>
    </row>
    <row r="227" spans="1:19">
      <c r="A227" s="83"/>
      <c r="B227" s="82"/>
      <c r="C227" s="82"/>
      <c r="D227" s="82"/>
      <c r="E227" s="82"/>
      <c r="F227" s="83"/>
      <c r="G227" s="83"/>
      <c r="H227" s="83"/>
      <c r="I227" s="6"/>
      <c r="J227" s="6"/>
      <c r="K227" s="6"/>
      <c r="L227" s="6"/>
      <c r="M227" s="6"/>
      <c r="N227" s="6"/>
      <c r="O227" s="6"/>
      <c r="P227" s="6"/>
      <c r="Q227" s="6"/>
      <c r="R227" s="6"/>
      <c r="S227" s="6"/>
    </row>
    <row r="228" spans="1:19">
      <c r="A228" s="83"/>
      <c r="B228" s="82"/>
      <c r="C228" s="82"/>
      <c r="D228" s="82"/>
      <c r="E228" s="82"/>
      <c r="F228" s="83"/>
      <c r="G228" s="83"/>
      <c r="H228" s="83"/>
      <c r="I228" s="6"/>
      <c r="J228" s="6"/>
      <c r="K228" s="6"/>
      <c r="L228" s="6"/>
      <c r="M228" s="6"/>
      <c r="N228" s="6"/>
      <c r="O228" s="6"/>
      <c r="P228" s="6"/>
      <c r="Q228" s="6"/>
      <c r="R228" s="6"/>
      <c r="S228" s="6"/>
    </row>
    <row r="229" spans="1:19">
      <c r="A229" s="83"/>
      <c r="B229" s="82"/>
      <c r="C229" s="82"/>
      <c r="D229" s="82"/>
      <c r="E229" s="82"/>
      <c r="F229" s="83"/>
      <c r="G229" s="83"/>
      <c r="H229" s="83"/>
      <c r="I229" s="6"/>
      <c r="J229" s="6"/>
      <c r="K229" s="6"/>
      <c r="L229" s="6"/>
      <c r="M229" s="6"/>
      <c r="N229" s="6"/>
      <c r="O229" s="6"/>
      <c r="P229" s="6"/>
      <c r="Q229" s="6"/>
      <c r="R229" s="6"/>
      <c r="S229" s="6"/>
    </row>
    <row r="230" spans="1:19">
      <c r="A230" s="83"/>
      <c r="B230" s="82"/>
      <c r="C230" s="82"/>
      <c r="D230" s="82"/>
      <c r="E230" s="82"/>
      <c r="F230" s="83"/>
      <c r="G230" s="83"/>
      <c r="H230" s="83"/>
      <c r="I230" s="6"/>
      <c r="J230" s="6"/>
      <c r="K230" s="6"/>
      <c r="L230" s="6"/>
      <c r="M230" s="6"/>
      <c r="N230" s="6"/>
      <c r="O230" s="6"/>
      <c r="P230" s="6"/>
      <c r="Q230" s="6"/>
      <c r="R230" s="6"/>
      <c r="S230" s="6"/>
    </row>
    <row r="231" spans="1:19">
      <c r="A231" s="83"/>
      <c r="B231" s="82"/>
      <c r="C231" s="82"/>
      <c r="D231" s="82"/>
      <c r="E231" s="82"/>
      <c r="F231" s="83"/>
      <c r="G231" s="83"/>
      <c r="H231" s="83"/>
      <c r="I231" s="6"/>
      <c r="J231" s="6"/>
      <c r="K231" s="6"/>
      <c r="L231" s="6"/>
      <c r="M231" s="6"/>
      <c r="N231" s="6"/>
      <c r="O231" s="6"/>
      <c r="P231" s="6"/>
      <c r="Q231" s="6"/>
      <c r="R231" s="6"/>
      <c r="S231" s="6"/>
    </row>
    <row r="232" spans="1:19">
      <c r="A232" s="83"/>
      <c r="B232" s="82"/>
      <c r="C232" s="82"/>
      <c r="D232" s="82"/>
      <c r="E232" s="82"/>
      <c r="F232" s="83"/>
      <c r="G232" s="83"/>
      <c r="H232" s="83"/>
      <c r="I232" s="6"/>
      <c r="J232" s="6"/>
      <c r="K232" s="6"/>
      <c r="L232" s="6"/>
      <c r="M232" s="6"/>
      <c r="N232" s="6"/>
      <c r="O232" s="6"/>
      <c r="P232" s="6"/>
      <c r="Q232" s="6"/>
      <c r="R232" s="6"/>
      <c r="S232" s="6"/>
    </row>
    <row r="233" spans="1:19">
      <c r="A233" s="83"/>
      <c r="B233" s="82"/>
      <c r="C233" s="82"/>
      <c r="D233" s="82"/>
      <c r="E233" s="82"/>
      <c r="F233" s="83"/>
      <c r="G233" s="83"/>
      <c r="H233" s="83"/>
      <c r="I233" s="6"/>
      <c r="J233" s="6"/>
      <c r="K233" s="6"/>
      <c r="L233" s="6"/>
      <c r="M233" s="6"/>
      <c r="N233" s="6"/>
      <c r="O233" s="6"/>
      <c r="P233" s="6"/>
      <c r="Q233" s="6"/>
      <c r="R233" s="6"/>
      <c r="S233" s="6"/>
    </row>
    <row r="234" spans="1:19">
      <c r="A234" s="83"/>
      <c r="B234" s="82"/>
      <c r="C234" s="82"/>
      <c r="D234" s="82"/>
      <c r="E234" s="82"/>
      <c r="F234" s="83"/>
      <c r="G234" s="83"/>
      <c r="H234" s="83"/>
      <c r="I234" s="6"/>
      <c r="J234" s="6"/>
      <c r="K234" s="6"/>
      <c r="L234" s="6"/>
      <c r="M234" s="6"/>
      <c r="N234" s="6"/>
      <c r="O234" s="6"/>
      <c r="P234" s="6"/>
      <c r="Q234" s="6"/>
      <c r="R234" s="6"/>
      <c r="S234" s="6"/>
    </row>
    <row r="235" spans="1:19">
      <c r="A235" s="83"/>
      <c r="B235" s="82"/>
      <c r="C235" s="82"/>
      <c r="D235" s="82"/>
      <c r="E235" s="82"/>
      <c r="F235" s="83"/>
      <c r="G235" s="83"/>
      <c r="H235" s="83"/>
      <c r="I235" s="6"/>
      <c r="J235" s="6"/>
      <c r="K235" s="6"/>
      <c r="L235" s="6"/>
      <c r="M235" s="6"/>
      <c r="N235" s="6"/>
      <c r="O235" s="6"/>
      <c r="P235" s="6"/>
      <c r="Q235" s="6"/>
      <c r="R235" s="6"/>
      <c r="S235" s="6"/>
    </row>
    <row r="236" spans="1:19">
      <c r="A236" s="83"/>
      <c r="B236" s="82"/>
      <c r="C236" s="82"/>
      <c r="D236" s="82"/>
      <c r="E236" s="82"/>
      <c r="F236" s="83"/>
      <c r="G236" s="83"/>
      <c r="H236" s="83"/>
      <c r="I236" s="6"/>
      <c r="J236" s="6"/>
      <c r="K236" s="6"/>
      <c r="L236" s="6"/>
      <c r="M236" s="6"/>
      <c r="N236" s="6"/>
      <c r="O236" s="6"/>
      <c r="P236" s="6"/>
      <c r="Q236" s="6"/>
      <c r="R236" s="6"/>
      <c r="S236" s="6"/>
    </row>
    <row r="237" spans="1:19">
      <c r="A237" s="83"/>
      <c r="B237" s="82"/>
      <c r="C237" s="82"/>
      <c r="D237" s="82"/>
      <c r="E237" s="82"/>
      <c r="F237" s="83"/>
      <c r="G237" s="83"/>
      <c r="H237" s="83"/>
      <c r="I237" s="6"/>
      <c r="J237" s="6"/>
      <c r="K237" s="6"/>
      <c r="L237" s="6"/>
      <c r="M237" s="6"/>
      <c r="N237" s="6"/>
      <c r="O237" s="6"/>
      <c r="P237" s="6"/>
      <c r="Q237" s="6"/>
      <c r="R237" s="6"/>
      <c r="S237" s="6"/>
    </row>
    <row r="238" spans="1:19">
      <c r="A238" s="83"/>
      <c r="B238" s="82"/>
      <c r="C238" s="82"/>
      <c r="D238" s="82"/>
      <c r="E238" s="82"/>
      <c r="F238" s="83"/>
      <c r="G238" s="83"/>
      <c r="H238" s="83"/>
      <c r="I238" s="6"/>
      <c r="J238" s="6"/>
      <c r="K238" s="6"/>
      <c r="L238" s="6"/>
      <c r="M238" s="6"/>
      <c r="N238" s="6"/>
      <c r="O238" s="6"/>
      <c r="P238" s="6"/>
      <c r="Q238" s="6"/>
      <c r="R238" s="6"/>
      <c r="S238" s="6"/>
    </row>
    <row r="239" spans="1:19">
      <c r="A239" s="83"/>
      <c r="B239" s="82"/>
      <c r="C239" s="82"/>
      <c r="D239" s="82"/>
      <c r="E239" s="82"/>
      <c r="F239" s="83"/>
      <c r="G239" s="83"/>
      <c r="H239" s="83"/>
      <c r="I239" s="6"/>
      <c r="J239" s="6"/>
      <c r="K239" s="6"/>
      <c r="L239" s="6"/>
      <c r="M239" s="6"/>
      <c r="N239" s="6"/>
      <c r="O239" s="6"/>
      <c r="P239" s="6"/>
      <c r="Q239" s="6"/>
      <c r="R239" s="6"/>
      <c r="S239" s="6"/>
    </row>
    <row r="240" spans="1:19">
      <c r="A240" s="83"/>
      <c r="B240" s="82"/>
      <c r="C240" s="82"/>
      <c r="D240" s="82"/>
      <c r="E240" s="82"/>
      <c r="F240" s="83"/>
      <c r="G240" s="83"/>
      <c r="H240" s="83"/>
      <c r="I240" s="6"/>
      <c r="J240" s="6"/>
      <c r="K240" s="6"/>
      <c r="L240" s="6"/>
      <c r="M240" s="6"/>
      <c r="N240" s="6"/>
      <c r="O240" s="6"/>
      <c r="P240" s="6"/>
      <c r="Q240" s="6"/>
      <c r="R240" s="6"/>
      <c r="S240" s="6"/>
    </row>
    <row r="241" spans="1:19">
      <c r="A241" s="83"/>
      <c r="B241" s="82"/>
      <c r="C241" s="82"/>
      <c r="D241" s="82"/>
      <c r="E241" s="82"/>
      <c r="F241" s="83"/>
      <c r="G241" s="83"/>
      <c r="H241" s="83"/>
      <c r="I241" s="6"/>
      <c r="J241" s="6"/>
      <c r="K241" s="6"/>
      <c r="L241" s="6"/>
      <c r="M241" s="6"/>
      <c r="N241" s="6"/>
      <c r="O241" s="6"/>
      <c r="P241" s="6"/>
      <c r="Q241" s="6"/>
      <c r="R241" s="6"/>
      <c r="S241" s="6"/>
    </row>
    <row r="242" spans="1:19">
      <c r="A242" s="83"/>
      <c r="B242" s="82"/>
      <c r="C242" s="82"/>
      <c r="D242" s="82"/>
      <c r="E242" s="82"/>
      <c r="F242" s="83"/>
      <c r="G242" s="83"/>
      <c r="H242" s="83"/>
      <c r="I242" s="6"/>
      <c r="J242" s="6"/>
      <c r="K242" s="6"/>
      <c r="L242" s="6"/>
      <c r="M242" s="6"/>
      <c r="N242" s="6"/>
      <c r="O242" s="6"/>
      <c r="P242" s="6"/>
      <c r="Q242" s="6"/>
      <c r="R242" s="6"/>
      <c r="S242" s="6"/>
    </row>
    <row r="243" spans="1:19">
      <c r="A243" s="83"/>
      <c r="B243" s="82"/>
      <c r="C243" s="82"/>
      <c r="D243" s="82"/>
      <c r="E243" s="82"/>
      <c r="F243" s="83"/>
      <c r="G243" s="83"/>
      <c r="H243" s="83"/>
      <c r="I243" s="6"/>
      <c r="J243" s="6"/>
      <c r="K243" s="6"/>
      <c r="L243" s="6"/>
      <c r="M243" s="6"/>
      <c r="N243" s="6"/>
      <c r="O243" s="6"/>
      <c r="P243" s="6"/>
      <c r="Q243" s="6"/>
      <c r="R243" s="6"/>
      <c r="S243" s="6"/>
    </row>
    <row r="244" spans="1:19">
      <c r="A244" s="83"/>
      <c r="B244" s="82"/>
      <c r="C244" s="82"/>
      <c r="D244" s="82"/>
      <c r="E244" s="82"/>
      <c r="F244" s="83"/>
      <c r="G244" s="83"/>
      <c r="H244" s="83"/>
      <c r="I244" s="6"/>
      <c r="J244" s="6"/>
      <c r="K244" s="6"/>
      <c r="L244" s="6"/>
      <c r="M244" s="6"/>
      <c r="N244" s="6"/>
      <c r="O244" s="6"/>
      <c r="P244" s="6"/>
      <c r="Q244" s="6"/>
      <c r="R244" s="6"/>
      <c r="S244" s="6"/>
    </row>
    <row r="245" spans="1:19">
      <c r="A245" s="83"/>
      <c r="B245" s="82"/>
      <c r="C245" s="82"/>
      <c r="D245" s="82"/>
      <c r="E245" s="82"/>
      <c r="F245" s="83"/>
      <c r="G245" s="83"/>
      <c r="H245" s="83"/>
      <c r="I245" s="6"/>
      <c r="J245" s="6"/>
      <c r="K245" s="6"/>
      <c r="L245" s="6"/>
      <c r="M245" s="6"/>
      <c r="N245" s="6"/>
      <c r="O245" s="6"/>
      <c r="P245" s="6"/>
      <c r="Q245" s="6"/>
      <c r="R245" s="6"/>
      <c r="S245" s="6"/>
    </row>
    <row r="246" spans="1:19">
      <c r="A246" s="83"/>
      <c r="B246" s="82"/>
      <c r="C246" s="82"/>
      <c r="D246" s="82"/>
      <c r="E246" s="82"/>
      <c r="F246" s="83"/>
      <c r="G246" s="83"/>
      <c r="H246" s="83"/>
      <c r="I246" s="6"/>
      <c r="J246" s="6"/>
      <c r="K246" s="6"/>
      <c r="L246" s="6"/>
      <c r="M246" s="6"/>
      <c r="N246" s="6"/>
      <c r="O246" s="6"/>
      <c r="P246" s="6"/>
      <c r="Q246" s="6"/>
      <c r="R246" s="6"/>
      <c r="S246" s="6"/>
    </row>
    <row r="247" spans="1:19">
      <c r="A247" s="83"/>
      <c r="B247" s="82"/>
      <c r="C247" s="82"/>
      <c r="D247" s="82"/>
      <c r="E247" s="82"/>
      <c r="F247" s="83"/>
      <c r="G247" s="83"/>
      <c r="H247" s="83"/>
      <c r="I247" s="6"/>
      <c r="J247" s="6"/>
      <c r="K247" s="6"/>
      <c r="L247" s="6"/>
      <c r="M247" s="6"/>
      <c r="N247" s="6"/>
      <c r="O247" s="6"/>
      <c r="P247" s="6"/>
      <c r="Q247" s="6"/>
      <c r="R247" s="6"/>
      <c r="S247" s="6"/>
    </row>
    <row r="248" spans="1:19">
      <c r="A248" s="83"/>
      <c r="B248" s="82"/>
      <c r="C248" s="82"/>
      <c r="D248" s="82"/>
      <c r="E248" s="82"/>
      <c r="F248" s="83"/>
      <c r="G248" s="83"/>
      <c r="H248" s="83"/>
      <c r="I248" s="6"/>
      <c r="J248" s="6"/>
      <c r="K248" s="6"/>
      <c r="L248" s="6"/>
      <c r="M248" s="6"/>
      <c r="N248" s="6"/>
      <c r="O248" s="6"/>
      <c r="P248" s="6"/>
      <c r="Q248" s="6"/>
      <c r="R248" s="6"/>
      <c r="S248" s="6"/>
    </row>
    <row r="249" spans="1:19">
      <c r="A249" s="83"/>
      <c r="B249" s="82"/>
      <c r="C249" s="82"/>
      <c r="D249" s="82"/>
      <c r="E249" s="82"/>
      <c r="F249" s="83"/>
      <c r="G249" s="83"/>
      <c r="H249" s="83"/>
      <c r="I249" s="6"/>
      <c r="J249" s="6"/>
      <c r="K249" s="6"/>
      <c r="L249" s="6"/>
      <c r="M249" s="6"/>
      <c r="N249" s="6"/>
      <c r="O249" s="6"/>
      <c r="P249" s="6"/>
      <c r="Q249" s="6"/>
      <c r="R249" s="6"/>
      <c r="S249" s="6"/>
    </row>
    <row r="250" spans="1:19">
      <c r="A250" s="83"/>
      <c r="B250" s="82"/>
      <c r="C250" s="82"/>
      <c r="D250" s="82"/>
      <c r="E250" s="82"/>
      <c r="F250" s="83"/>
      <c r="G250" s="83"/>
      <c r="H250" s="83"/>
      <c r="I250" s="6"/>
      <c r="J250" s="6"/>
      <c r="K250" s="6"/>
      <c r="L250" s="6"/>
      <c r="M250" s="6"/>
      <c r="N250" s="6"/>
      <c r="O250" s="6"/>
      <c r="P250" s="6"/>
      <c r="Q250" s="6"/>
      <c r="R250" s="6"/>
      <c r="S250" s="6"/>
    </row>
    <row r="251" spans="1:19">
      <c r="A251" s="83"/>
      <c r="B251" s="82"/>
      <c r="C251" s="82"/>
      <c r="D251" s="82"/>
      <c r="E251" s="82"/>
      <c r="F251" s="83"/>
      <c r="G251" s="83"/>
      <c r="H251" s="83"/>
      <c r="I251" s="6"/>
      <c r="J251" s="6"/>
      <c r="K251" s="6"/>
      <c r="L251" s="6"/>
      <c r="M251" s="6"/>
      <c r="N251" s="6"/>
      <c r="O251" s="6"/>
      <c r="P251" s="6"/>
      <c r="Q251" s="6"/>
      <c r="R251" s="6"/>
      <c r="S251" s="6"/>
    </row>
    <row r="252" spans="1:19">
      <c r="A252" s="83"/>
      <c r="B252" s="82"/>
      <c r="C252" s="82"/>
      <c r="D252" s="82"/>
      <c r="E252" s="82"/>
      <c r="F252" s="83"/>
      <c r="G252" s="83"/>
      <c r="H252" s="83"/>
      <c r="I252" s="6"/>
      <c r="J252" s="6"/>
      <c r="K252" s="6"/>
      <c r="L252" s="6"/>
      <c r="M252" s="6"/>
      <c r="N252" s="6"/>
      <c r="O252" s="6"/>
      <c r="P252" s="6"/>
      <c r="Q252" s="6"/>
      <c r="R252" s="6"/>
      <c r="S252" s="6"/>
    </row>
    <row r="253" spans="1:19">
      <c r="A253" s="83"/>
      <c r="B253" s="82"/>
      <c r="C253" s="82"/>
      <c r="D253" s="82"/>
      <c r="E253" s="82"/>
      <c r="F253" s="83"/>
      <c r="G253" s="83"/>
      <c r="H253" s="83"/>
      <c r="I253" s="6"/>
      <c r="J253" s="6"/>
      <c r="K253" s="6"/>
      <c r="L253" s="6"/>
      <c r="M253" s="6"/>
      <c r="N253" s="6"/>
      <c r="O253" s="6"/>
      <c r="P253" s="6"/>
      <c r="Q253" s="6"/>
      <c r="R253" s="6"/>
      <c r="S253" s="6"/>
    </row>
    <row r="254" spans="1:19">
      <c r="A254" s="83"/>
      <c r="B254" s="82"/>
      <c r="C254" s="82"/>
      <c r="D254" s="82"/>
      <c r="E254" s="82"/>
      <c r="F254" s="83"/>
      <c r="G254" s="83"/>
      <c r="H254" s="83"/>
      <c r="I254" s="6"/>
      <c r="J254" s="6"/>
      <c r="K254" s="6"/>
      <c r="L254" s="6"/>
      <c r="M254" s="6"/>
      <c r="N254" s="6"/>
      <c r="O254" s="6"/>
      <c r="P254" s="6"/>
      <c r="Q254" s="6"/>
      <c r="R254" s="6"/>
      <c r="S254" s="6"/>
    </row>
    <row r="255" spans="1:19">
      <c r="A255" s="83"/>
      <c r="B255" s="82"/>
      <c r="C255" s="82"/>
      <c r="D255" s="82"/>
      <c r="E255" s="82"/>
      <c r="F255" s="83"/>
      <c r="G255" s="83"/>
      <c r="H255" s="83"/>
      <c r="I255" s="6"/>
      <c r="J255" s="6"/>
      <c r="K255" s="6"/>
      <c r="L255" s="6"/>
      <c r="M255" s="6"/>
      <c r="N255" s="6"/>
      <c r="O255" s="6"/>
      <c r="P255" s="6"/>
      <c r="Q255" s="6"/>
      <c r="R255" s="6"/>
      <c r="S255" s="6"/>
    </row>
    <row r="256" spans="1:19">
      <c r="A256" s="83"/>
      <c r="B256" s="82"/>
      <c r="C256" s="82"/>
      <c r="D256" s="82"/>
      <c r="E256" s="82"/>
      <c r="F256" s="83"/>
      <c r="G256" s="83"/>
      <c r="H256" s="83"/>
      <c r="I256" s="6"/>
      <c r="J256" s="6"/>
      <c r="K256" s="6"/>
      <c r="L256" s="6"/>
      <c r="M256" s="6"/>
      <c r="N256" s="6"/>
      <c r="O256" s="6"/>
      <c r="P256" s="6"/>
      <c r="Q256" s="6"/>
      <c r="R256" s="6"/>
      <c r="S256" s="6"/>
    </row>
    <row r="257" spans="1:19">
      <c r="A257" s="83"/>
      <c r="B257" s="82"/>
      <c r="C257" s="82"/>
      <c r="D257" s="82"/>
      <c r="E257" s="82"/>
      <c r="F257" s="83"/>
      <c r="G257" s="83"/>
      <c r="H257" s="83"/>
      <c r="I257" s="6"/>
      <c r="J257" s="6"/>
      <c r="K257" s="6"/>
      <c r="L257" s="6"/>
      <c r="M257" s="6"/>
      <c r="N257" s="6"/>
      <c r="O257" s="6"/>
      <c r="P257" s="6"/>
      <c r="Q257" s="6"/>
      <c r="R257" s="6"/>
      <c r="S257" s="6"/>
    </row>
    <row r="258" spans="1:19">
      <c r="A258" s="83"/>
      <c r="B258" s="82"/>
      <c r="C258" s="82"/>
      <c r="D258" s="82"/>
      <c r="E258" s="82"/>
      <c r="F258" s="83"/>
      <c r="G258" s="83"/>
      <c r="H258" s="83"/>
      <c r="I258" s="6"/>
      <c r="J258" s="6"/>
      <c r="K258" s="6"/>
      <c r="L258" s="6"/>
      <c r="M258" s="6"/>
      <c r="N258" s="6"/>
      <c r="O258" s="6"/>
      <c r="P258" s="6"/>
      <c r="Q258" s="6"/>
      <c r="R258" s="6"/>
      <c r="S258" s="6"/>
    </row>
    <row r="259" spans="1:19">
      <c r="A259" s="83"/>
      <c r="B259" s="82"/>
      <c r="C259" s="82"/>
      <c r="D259" s="82"/>
      <c r="E259" s="82"/>
      <c r="F259" s="83"/>
      <c r="G259" s="83"/>
      <c r="H259" s="83"/>
      <c r="I259" s="6"/>
      <c r="J259" s="6"/>
      <c r="K259" s="6"/>
      <c r="L259" s="6"/>
      <c r="M259" s="6"/>
      <c r="N259" s="6"/>
      <c r="O259" s="6"/>
      <c r="P259" s="6"/>
      <c r="Q259" s="6"/>
      <c r="R259" s="6"/>
      <c r="S259" s="6"/>
    </row>
    <row r="260" spans="1:19">
      <c r="A260" s="83"/>
      <c r="B260" s="82"/>
      <c r="C260" s="82"/>
      <c r="D260" s="82"/>
      <c r="E260" s="82"/>
      <c r="F260" s="83"/>
      <c r="G260" s="83"/>
      <c r="H260" s="83"/>
      <c r="I260" s="6"/>
      <c r="J260" s="6"/>
      <c r="K260" s="6"/>
      <c r="L260" s="6"/>
      <c r="M260" s="6"/>
      <c r="N260" s="6"/>
      <c r="O260" s="6"/>
      <c r="P260" s="6"/>
      <c r="Q260" s="6"/>
      <c r="R260" s="6"/>
      <c r="S260" s="6"/>
    </row>
    <row r="261" spans="1:19">
      <c r="A261" s="83"/>
      <c r="B261" s="82"/>
      <c r="C261" s="82"/>
      <c r="D261" s="82"/>
      <c r="E261" s="82"/>
      <c r="F261" s="83"/>
      <c r="G261" s="83"/>
      <c r="H261" s="83"/>
      <c r="I261" s="6"/>
      <c r="J261" s="6"/>
      <c r="K261" s="6"/>
      <c r="L261" s="6"/>
      <c r="M261" s="6"/>
      <c r="N261" s="6"/>
      <c r="O261" s="6"/>
      <c r="P261" s="6"/>
      <c r="Q261" s="6"/>
      <c r="R261" s="6"/>
      <c r="S261" s="6"/>
    </row>
    <row r="262" spans="1:19">
      <c r="A262" s="83"/>
      <c r="B262" s="82"/>
      <c r="C262" s="82"/>
      <c r="D262" s="82"/>
      <c r="E262" s="82"/>
      <c r="F262" s="83"/>
      <c r="G262" s="83"/>
      <c r="H262" s="83"/>
      <c r="I262" s="6"/>
      <c r="J262" s="6"/>
      <c r="K262" s="6"/>
      <c r="L262" s="6"/>
      <c r="M262" s="6"/>
      <c r="N262" s="6"/>
      <c r="O262" s="6"/>
      <c r="P262" s="6"/>
      <c r="Q262" s="6"/>
      <c r="R262" s="6"/>
      <c r="S262" s="6"/>
    </row>
    <row r="263" spans="1:19">
      <c r="A263" s="83"/>
      <c r="B263" s="82"/>
      <c r="C263" s="82"/>
      <c r="D263" s="82"/>
      <c r="E263" s="82"/>
      <c r="F263" s="83"/>
      <c r="G263" s="83"/>
      <c r="H263" s="83"/>
      <c r="I263" s="6"/>
      <c r="J263" s="6"/>
      <c r="K263" s="6"/>
      <c r="L263" s="6"/>
      <c r="M263" s="6"/>
      <c r="N263" s="6"/>
      <c r="O263" s="6"/>
      <c r="P263" s="6"/>
      <c r="Q263" s="6"/>
      <c r="R263" s="6"/>
      <c r="S263" s="6"/>
    </row>
    <row r="264" spans="1:19">
      <c r="A264" s="83"/>
      <c r="B264" s="82"/>
      <c r="C264" s="82"/>
      <c r="D264" s="82"/>
      <c r="E264" s="82"/>
      <c r="F264" s="83"/>
      <c r="G264" s="83"/>
      <c r="H264" s="83"/>
      <c r="I264" s="6"/>
      <c r="J264" s="6"/>
      <c r="K264" s="6"/>
      <c r="L264" s="6"/>
      <c r="M264" s="6"/>
      <c r="N264" s="6"/>
      <c r="O264" s="6"/>
      <c r="P264" s="6"/>
      <c r="Q264" s="6"/>
      <c r="R264" s="6"/>
      <c r="S264" s="6"/>
    </row>
    <row r="265" spans="1:19">
      <c r="A265" s="83"/>
      <c r="B265" s="82"/>
      <c r="C265" s="82"/>
      <c r="D265" s="82"/>
      <c r="E265" s="82"/>
      <c r="F265" s="83"/>
      <c r="G265" s="83"/>
      <c r="H265" s="83"/>
      <c r="I265" s="6"/>
      <c r="J265" s="6"/>
      <c r="K265" s="6"/>
      <c r="L265" s="6"/>
      <c r="M265" s="6"/>
      <c r="N265" s="6"/>
      <c r="O265" s="6"/>
      <c r="P265" s="6"/>
      <c r="Q265" s="6"/>
      <c r="R265" s="6"/>
      <c r="S265" s="6"/>
    </row>
    <row r="266" spans="1:19">
      <c r="A266" s="83"/>
      <c r="B266" s="82"/>
      <c r="C266" s="82"/>
      <c r="D266" s="82"/>
      <c r="E266" s="82"/>
      <c r="F266" s="83"/>
      <c r="G266" s="83"/>
      <c r="H266" s="83"/>
      <c r="I266" s="6"/>
      <c r="J266" s="6"/>
      <c r="K266" s="6"/>
      <c r="L266" s="6"/>
      <c r="M266" s="6"/>
      <c r="N266" s="6"/>
      <c r="O266" s="6"/>
      <c r="P266" s="6"/>
      <c r="Q266" s="6"/>
      <c r="R266" s="6"/>
      <c r="S266" s="6"/>
    </row>
    <row r="267" spans="1:19">
      <c r="A267" s="83"/>
      <c r="B267" s="82"/>
      <c r="C267" s="82"/>
      <c r="D267" s="82"/>
      <c r="E267" s="82"/>
      <c r="F267" s="83"/>
      <c r="G267" s="83"/>
      <c r="H267" s="83"/>
      <c r="I267" s="6"/>
      <c r="J267" s="6"/>
      <c r="K267" s="6"/>
      <c r="L267" s="6"/>
      <c r="M267" s="6"/>
      <c r="N267" s="6"/>
      <c r="O267" s="6"/>
      <c r="P267" s="6"/>
      <c r="Q267" s="6"/>
      <c r="R267" s="6"/>
      <c r="S267" s="6"/>
    </row>
    <row r="268" spans="1:19">
      <c r="A268" s="83"/>
      <c r="B268" s="82"/>
      <c r="C268" s="82"/>
      <c r="D268" s="82"/>
      <c r="E268" s="82"/>
      <c r="F268" s="83"/>
      <c r="G268" s="83"/>
      <c r="H268" s="83"/>
      <c r="I268" s="6"/>
      <c r="J268" s="6"/>
      <c r="K268" s="6"/>
      <c r="L268" s="6"/>
      <c r="M268" s="6"/>
      <c r="N268" s="6"/>
      <c r="O268" s="6"/>
      <c r="P268" s="6"/>
      <c r="Q268" s="6"/>
      <c r="R268" s="6"/>
      <c r="S268" s="6"/>
    </row>
    <row r="269" spans="1:19">
      <c r="A269" s="83"/>
      <c r="B269" s="82"/>
      <c r="C269" s="82"/>
      <c r="D269" s="82"/>
      <c r="E269" s="82"/>
      <c r="F269" s="83"/>
      <c r="G269" s="83"/>
      <c r="H269" s="83"/>
      <c r="I269" s="6"/>
      <c r="J269" s="6"/>
      <c r="K269" s="6"/>
      <c r="L269" s="6"/>
      <c r="M269" s="6"/>
      <c r="N269" s="6"/>
      <c r="O269" s="6"/>
      <c r="P269" s="6"/>
      <c r="Q269" s="6"/>
      <c r="R269" s="6"/>
      <c r="S269" s="6"/>
    </row>
    <row r="270" spans="1:19">
      <c r="A270" s="83"/>
      <c r="B270" s="82"/>
      <c r="C270" s="82"/>
      <c r="D270" s="82"/>
      <c r="E270" s="82"/>
      <c r="F270" s="83"/>
      <c r="G270" s="83"/>
      <c r="H270" s="83"/>
      <c r="I270" s="6"/>
      <c r="J270" s="6"/>
      <c r="K270" s="6"/>
      <c r="L270" s="6"/>
      <c r="M270" s="6"/>
      <c r="N270" s="6"/>
      <c r="O270" s="6"/>
      <c r="P270" s="6"/>
      <c r="Q270" s="6"/>
      <c r="R270" s="6"/>
      <c r="S270" s="6"/>
    </row>
    <row r="271" spans="1:19">
      <c r="A271" s="83"/>
      <c r="B271" s="82"/>
      <c r="C271" s="82"/>
      <c r="D271" s="82"/>
      <c r="E271" s="82"/>
      <c r="F271" s="83"/>
      <c r="G271" s="83"/>
      <c r="H271" s="83"/>
      <c r="I271" s="6"/>
      <c r="J271" s="6"/>
      <c r="K271" s="6"/>
      <c r="L271" s="6"/>
      <c r="M271" s="6"/>
      <c r="N271" s="6"/>
      <c r="O271" s="6"/>
      <c r="P271" s="6"/>
      <c r="Q271" s="6"/>
      <c r="R271" s="6"/>
      <c r="S271" s="6"/>
    </row>
    <row r="272" spans="1:19">
      <c r="A272" s="83"/>
      <c r="B272" s="82"/>
      <c r="C272" s="82"/>
      <c r="D272" s="82"/>
      <c r="E272" s="82"/>
      <c r="F272" s="83"/>
      <c r="G272" s="83"/>
      <c r="H272" s="83"/>
      <c r="I272" s="6"/>
      <c r="J272" s="6"/>
      <c r="K272" s="6"/>
      <c r="L272" s="6"/>
      <c r="M272" s="6"/>
      <c r="N272" s="6"/>
      <c r="O272" s="6"/>
      <c r="P272" s="6"/>
      <c r="Q272" s="6"/>
      <c r="R272" s="6"/>
      <c r="S272" s="6"/>
    </row>
    <row r="273" spans="1:19">
      <c r="A273" s="83"/>
      <c r="B273" s="82"/>
      <c r="C273" s="82"/>
      <c r="D273" s="82"/>
      <c r="E273" s="82"/>
      <c r="F273" s="83"/>
      <c r="G273" s="83"/>
      <c r="H273" s="83"/>
      <c r="I273" s="6"/>
      <c r="J273" s="6"/>
      <c r="K273" s="6"/>
      <c r="L273" s="6"/>
      <c r="M273" s="6"/>
      <c r="N273" s="6"/>
      <c r="O273" s="6"/>
      <c r="P273" s="6"/>
      <c r="Q273" s="6"/>
      <c r="R273" s="6"/>
      <c r="S273" s="6"/>
    </row>
    <row r="274" spans="1:19">
      <c r="A274" s="83"/>
      <c r="B274" s="82"/>
      <c r="C274" s="82"/>
      <c r="D274" s="82"/>
      <c r="E274" s="82"/>
      <c r="F274" s="83"/>
      <c r="G274" s="83"/>
      <c r="H274" s="83"/>
      <c r="I274" s="6"/>
      <c r="J274" s="6"/>
      <c r="K274" s="6"/>
      <c r="L274" s="6"/>
      <c r="M274" s="6"/>
      <c r="N274" s="6"/>
      <c r="O274" s="6"/>
      <c r="P274" s="6"/>
      <c r="Q274" s="6"/>
      <c r="R274" s="6"/>
      <c r="S274" s="6"/>
    </row>
    <row r="275" spans="1:19">
      <c r="A275" s="83"/>
      <c r="B275" s="82"/>
      <c r="C275" s="82"/>
      <c r="D275" s="82"/>
      <c r="E275" s="82"/>
      <c r="F275" s="83"/>
      <c r="G275" s="83"/>
      <c r="H275" s="83"/>
      <c r="I275" s="6"/>
      <c r="J275" s="6"/>
      <c r="K275" s="6"/>
      <c r="L275" s="6"/>
      <c r="M275" s="6"/>
      <c r="N275" s="6"/>
      <c r="O275" s="6"/>
      <c r="P275" s="6"/>
      <c r="Q275" s="6"/>
      <c r="R275" s="6"/>
      <c r="S275" s="6"/>
    </row>
    <row r="276" spans="1:19">
      <c r="A276" s="83"/>
      <c r="B276" s="82"/>
      <c r="C276" s="82"/>
      <c r="D276" s="82"/>
      <c r="E276" s="82"/>
      <c r="F276" s="83"/>
      <c r="G276" s="83"/>
      <c r="H276" s="83"/>
      <c r="I276" s="6"/>
      <c r="J276" s="6"/>
      <c r="K276" s="6"/>
      <c r="L276" s="6"/>
      <c r="M276" s="6"/>
      <c r="N276" s="6"/>
      <c r="O276" s="6"/>
      <c r="P276" s="6"/>
      <c r="Q276" s="6"/>
      <c r="R276" s="6"/>
      <c r="S276" s="6"/>
    </row>
    <row r="277" spans="1:19">
      <c r="A277" s="83"/>
      <c r="B277" s="82"/>
      <c r="C277" s="82"/>
      <c r="D277" s="82"/>
      <c r="E277" s="82"/>
      <c r="F277" s="83"/>
      <c r="G277" s="83"/>
      <c r="H277" s="83"/>
      <c r="I277" s="6"/>
      <c r="J277" s="6"/>
      <c r="K277" s="6"/>
      <c r="L277" s="6"/>
      <c r="M277" s="6"/>
      <c r="N277" s="6"/>
      <c r="O277" s="6"/>
      <c r="P277" s="6"/>
      <c r="Q277" s="6"/>
      <c r="R277" s="6"/>
      <c r="S277" s="6"/>
    </row>
    <row r="278" spans="1:19">
      <c r="A278" s="83"/>
      <c r="B278" s="82"/>
      <c r="C278" s="82"/>
      <c r="D278" s="82"/>
      <c r="E278" s="82"/>
      <c r="F278" s="83"/>
      <c r="G278" s="83"/>
      <c r="H278" s="83"/>
      <c r="I278" s="6"/>
      <c r="J278" s="6"/>
      <c r="K278" s="6"/>
      <c r="L278" s="6"/>
      <c r="M278" s="6"/>
      <c r="N278" s="6"/>
      <c r="O278" s="6"/>
      <c r="P278" s="6"/>
      <c r="Q278" s="6"/>
      <c r="R278" s="6"/>
      <c r="S278" s="6"/>
    </row>
    <row r="279" spans="1:19">
      <c r="A279" s="83"/>
      <c r="B279" s="82"/>
      <c r="C279" s="82"/>
      <c r="D279" s="82"/>
      <c r="E279" s="82"/>
      <c r="F279" s="83"/>
      <c r="G279" s="83"/>
      <c r="H279" s="83"/>
      <c r="I279" s="6"/>
      <c r="J279" s="6"/>
      <c r="K279" s="6"/>
      <c r="L279" s="6"/>
      <c r="M279" s="6"/>
      <c r="N279" s="6"/>
      <c r="O279" s="6"/>
      <c r="P279" s="6"/>
      <c r="Q279" s="6"/>
      <c r="R279" s="6"/>
      <c r="S279" s="6"/>
    </row>
    <row r="280" spans="1:19">
      <c r="A280" s="83"/>
      <c r="B280" s="82"/>
      <c r="C280" s="82"/>
      <c r="D280" s="82"/>
      <c r="E280" s="82"/>
      <c r="F280" s="83"/>
      <c r="G280" s="83"/>
      <c r="H280" s="83"/>
      <c r="I280" s="6"/>
      <c r="J280" s="6"/>
      <c r="K280" s="6"/>
      <c r="L280" s="6"/>
      <c r="M280" s="6"/>
      <c r="N280" s="6"/>
      <c r="O280" s="6"/>
      <c r="P280" s="6"/>
      <c r="Q280" s="6"/>
      <c r="R280" s="6"/>
      <c r="S280" s="6"/>
    </row>
    <row r="281" spans="1:19">
      <c r="A281" s="83"/>
      <c r="B281" s="82"/>
      <c r="C281" s="82"/>
      <c r="D281" s="82"/>
      <c r="E281" s="82"/>
      <c r="F281" s="83"/>
      <c r="G281" s="83"/>
      <c r="H281" s="83"/>
      <c r="I281" s="6"/>
      <c r="J281" s="6"/>
      <c r="K281" s="6"/>
      <c r="L281" s="6"/>
      <c r="M281" s="6"/>
      <c r="N281" s="6"/>
      <c r="O281" s="6"/>
      <c r="P281" s="6"/>
      <c r="Q281" s="6"/>
      <c r="R281" s="6"/>
      <c r="S281" s="6"/>
    </row>
    <row r="282" spans="1:19">
      <c r="A282" s="83"/>
      <c r="B282" s="82"/>
      <c r="C282" s="82"/>
      <c r="D282" s="82"/>
      <c r="E282" s="82"/>
      <c r="F282" s="83"/>
      <c r="G282" s="83"/>
      <c r="H282" s="83"/>
      <c r="I282" s="6"/>
      <c r="J282" s="6"/>
      <c r="K282" s="6"/>
      <c r="L282" s="6"/>
      <c r="M282" s="6"/>
      <c r="N282" s="6"/>
      <c r="O282" s="6"/>
      <c r="P282" s="6"/>
      <c r="Q282" s="6"/>
      <c r="R282" s="6"/>
      <c r="S282" s="6"/>
    </row>
    <row r="283" spans="1:19">
      <c r="A283" s="83"/>
      <c r="B283" s="82"/>
      <c r="C283" s="82"/>
      <c r="D283" s="82"/>
      <c r="E283" s="82"/>
      <c r="F283" s="83"/>
      <c r="G283" s="83"/>
      <c r="H283" s="83"/>
      <c r="I283" s="6"/>
      <c r="J283" s="6"/>
      <c r="K283" s="6"/>
      <c r="L283" s="6"/>
      <c r="M283" s="6"/>
      <c r="N283" s="6"/>
      <c r="O283" s="6"/>
      <c r="P283" s="6"/>
      <c r="Q283" s="6"/>
      <c r="R283" s="6"/>
      <c r="S283" s="6"/>
    </row>
    <row r="284" spans="1:19">
      <c r="A284" s="83"/>
      <c r="B284" s="82"/>
      <c r="C284" s="82"/>
      <c r="D284" s="82"/>
      <c r="E284" s="82"/>
      <c r="F284" s="83"/>
      <c r="G284" s="83"/>
      <c r="H284" s="83"/>
      <c r="I284" s="6"/>
      <c r="J284" s="6"/>
      <c r="K284" s="6"/>
      <c r="L284" s="6"/>
      <c r="M284" s="6"/>
      <c r="N284" s="6"/>
      <c r="O284" s="6"/>
      <c r="P284" s="6"/>
      <c r="Q284" s="6"/>
      <c r="R284" s="6"/>
      <c r="S284" s="6"/>
    </row>
    <row r="285" spans="1:19">
      <c r="A285" s="83"/>
      <c r="B285" s="82"/>
      <c r="C285" s="82"/>
      <c r="D285" s="82"/>
      <c r="E285" s="82"/>
      <c r="F285" s="83"/>
      <c r="G285" s="83"/>
      <c r="H285" s="83"/>
      <c r="I285" s="6"/>
      <c r="J285" s="6"/>
      <c r="K285" s="6"/>
      <c r="L285" s="6"/>
      <c r="M285" s="6"/>
      <c r="N285" s="6"/>
      <c r="O285" s="6"/>
      <c r="P285" s="6"/>
      <c r="Q285" s="6"/>
      <c r="R285" s="6"/>
      <c r="S285" s="6"/>
    </row>
    <row r="286" spans="1:19">
      <c r="A286" s="83"/>
      <c r="B286" s="82"/>
      <c r="C286" s="82"/>
      <c r="D286" s="82"/>
      <c r="E286" s="82"/>
      <c r="F286" s="83"/>
      <c r="G286" s="83"/>
      <c r="H286" s="83"/>
      <c r="I286" s="6"/>
      <c r="J286" s="6"/>
      <c r="K286" s="6"/>
      <c r="L286" s="6"/>
      <c r="M286" s="6"/>
      <c r="N286" s="6"/>
      <c r="O286" s="6"/>
      <c r="P286" s="6"/>
      <c r="Q286" s="6"/>
      <c r="R286" s="6"/>
      <c r="S286" s="6"/>
    </row>
    <row r="287" spans="1:19">
      <c r="A287" s="83"/>
      <c r="B287" s="82"/>
      <c r="C287" s="82"/>
      <c r="D287" s="82"/>
      <c r="E287" s="82"/>
      <c r="F287" s="83"/>
      <c r="G287" s="83"/>
      <c r="H287" s="83"/>
      <c r="I287" s="6"/>
      <c r="J287" s="6"/>
      <c r="K287" s="6"/>
      <c r="L287" s="6"/>
      <c r="M287" s="6"/>
      <c r="N287" s="6"/>
      <c r="O287" s="6"/>
      <c r="P287" s="6"/>
      <c r="Q287" s="6"/>
      <c r="R287" s="6"/>
      <c r="S287" s="6"/>
    </row>
    <row r="288" spans="1:19">
      <c r="A288" s="83"/>
      <c r="B288" s="82"/>
      <c r="C288" s="82"/>
      <c r="D288" s="82"/>
      <c r="E288" s="82"/>
      <c r="F288" s="83"/>
      <c r="G288" s="83"/>
      <c r="H288" s="83"/>
      <c r="I288" s="6"/>
      <c r="J288" s="6"/>
      <c r="K288" s="6"/>
      <c r="L288" s="6"/>
      <c r="M288" s="6"/>
      <c r="N288" s="6"/>
      <c r="O288" s="6"/>
      <c r="P288" s="6"/>
      <c r="Q288" s="6"/>
      <c r="R288" s="6"/>
      <c r="S288" s="6"/>
    </row>
    <row r="289" spans="1:19">
      <c r="A289" s="83"/>
      <c r="B289" s="82"/>
      <c r="C289" s="82"/>
      <c r="D289" s="82"/>
      <c r="E289" s="82"/>
      <c r="F289" s="83"/>
      <c r="G289" s="83"/>
      <c r="H289" s="83"/>
      <c r="I289" s="6"/>
      <c r="J289" s="6"/>
      <c r="K289" s="6"/>
      <c r="L289" s="6"/>
      <c r="M289" s="6"/>
      <c r="N289" s="6"/>
      <c r="O289" s="6"/>
      <c r="P289" s="6"/>
      <c r="Q289" s="6"/>
      <c r="R289" s="6"/>
      <c r="S289" s="6"/>
    </row>
    <row r="290" spans="1:19">
      <c r="A290" s="83"/>
      <c r="B290" s="82"/>
      <c r="C290" s="82"/>
      <c r="D290" s="82"/>
      <c r="E290" s="82"/>
      <c r="F290" s="83"/>
      <c r="G290" s="83"/>
      <c r="H290" s="83"/>
      <c r="I290" s="6"/>
      <c r="J290" s="6"/>
      <c r="K290" s="6"/>
      <c r="L290" s="6"/>
      <c r="M290" s="6"/>
      <c r="N290" s="6"/>
      <c r="O290" s="6"/>
      <c r="P290" s="6"/>
      <c r="Q290" s="6"/>
      <c r="R290" s="6"/>
      <c r="S290" s="6"/>
    </row>
    <row r="291" spans="1:19">
      <c r="A291" s="83"/>
      <c r="B291" s="82"/>
      <c r="C291" s="82"/>
      <c r="D291" s="82"/>
      <c r="E291" s="82"/>
      <c r="F291" s="83"/>
      <c r="G291" s="83"/>
      <c r="H291" s="83"/>
      <c r="I291" s="6"/>
      <c r="J291" s="6"/>
      <c r="K291" s="6"/>
      <c r="L291" s="6"/>
      <c r="M291" s="6"/>
      <c r="N291" s="6"/>
      <c r="O291" s="6"/>
      <c r="P291" s="6"/>
      <c r="Q291" s="6"/>
      <c r="R291" s="6"/>
      <c r="S291" s="6"/>
    </row>
    <row r="292" spans="1:19">
      <c r="A292" s="83"/>
      <c r="B292" s="82"/>
      <c r="C292" s="82"/>
      <c r="D292" s="82"/>
      <c r="E292" s="82"/>
      <c r="F292" s="83"/>
      <c r="G292" s="83"/>
      <c r="H292" s="83"/>
      <c r="I292" s="6"/>
      <c r="J292" s="6"/>
      <c r="K292" s="6"/>
      <c r="L292" s="6"/>
      <c r="M292" s="6"/>
      <c r="N292" s="6"/>
      <c r="O292" s="6"/>
      <c r="P292" s="6"/>
      <c r="Q292" s="6"/>
      <c r="R292" s="6"/>
      <c r="S292" s="6"/>
    </row>
    <row r="293" spans="1:19">
      <c r="A293" s="83"/>
      <c r="B293" s="82"/>
      <c r="C293" s="82"/>
      <c r="D293" s="82"/>
      <c r="E293" s="82"/>
      <c r="F293" s="83"/>
      <c r="G293" s="83"/>
      <c r="H293" s="83"/>
      <c r="I293" s="6"/>
      <c r="J293" s="6"/>
      <c r="K293" s="6"/>
      <c r="L293" s="6"/>
      <c r="M293" s="6"/>
      <c r="N293" s="6"/>
      <c r="O293" s="6"/>
      <c r="P293" s="6"/>
      <c r="Q293" s="6"/>
      <c r="R293" s="6"/>
      <c r="S293" s="6"/>
    </row>
    <row r="294" spans="1:19">
      <c r="A294" s="83"/>
      <c r="B294" s="82"/>
      <c r="C294" s="82"/>
      <c r="D294" s="82"/>
      <c r="E294" s="82"/>
      <c r="F294" s="83"/>
      <c r="G294" s="83"/>
      <c r="H294" s="83"/>
      <c r="I294" s="6"/>
      <c r="J294" s="6"/>
      <c r="K294" s="6"/>
      <c r="L294" s="6"/>
      <c r="M294" s="6"/>
      <c r="N294" s="6"/>
      <c r="O294" s="6"/>
      <c r="P294" s="6"/>
      <c r="Q294" s="6"/>
      <c r="R294" s="6"/>
      <c r="S294" s="6"/>
    </row>
    <row r="295" spans="1:19">
      <c r="A295" s="83"/>
      <c r="B295" s="82"/>
      <c r="C295" s="82"/>
      <c r="D295" s="82"/>
      <c r="E295" s="82"/>
      <c r="F295" s="83"/>
      <c r="G295" s="83"/>
      <c r="H295" s="83"/>
      <c r="I295" s="6"/>
      <c r="J295" s="6"/>
      <c r="K295" s="6"/>
      <c r="L295" s="6"/>
      <c r="M295" s="6"/>
      <c r="N295" s="6"/>
      <c r="O295" s="6"/>
      <c r="P295" s="6"/>
      <c r="Q295" s="6"/>
      <c r="R295" s="6"/>
      <c r="S295" s="6"/>
    </row>
    <row r="296" spans="1:19">
      <c r="A296" s="83"/>
      <c r="B296" s="82"/>
      <c r="C296" s="82"/>
      <c r="D296" s="82"/>
      <c r="E296" s="82"/>
      <c r="F296" s="83"/>
      <c r="G296" s="83"/>
      <c r="H296" s="83"/>
      <c r="I296" s="6"/>
      <c r="J296" s="6"/>
      <c r="K296" s="6"/>
      <c r="L296" s="6"/>
      <c r="M296" s="6"/>
      <c r="N296" s="6"/>
      <c r="O296" s="6"/>
      <c r="P296" s="6"/>
      <c r="Q296" s="6"/>
      <c r="R296" s="6"/>
      <c r="S296" s="6"/>
    </row>
    <row r="297" spans="1:19">
      <c r="A297" s="83"/>
      <c r="B297" s="82"/>
      <c r="C297" s="82"/>
      <c r="D297" s="82"/>
      <c r="E297" s="82"/>
      <c r="F297" s="83"/>
      <c r="G297" s="83"/>
      <c r="H297" s="83"/>
      <c r="I297" s="6"/>
      <c r="J297" s="6"/>
      <c r="K297" s="6"/>
      <c r="L297" s="6"/>
      <c r="M297" s="6"/>
      <c r="N297" s="6"/>
      <c r="O297" s="6"/>
      <c r="P297" s="6"/>
      <c r="Q297" s="6"/>
      <c r="R297" s="6"/>
      <c r="S297" s="6"/>
    </row>
    <row r="298" spans="1:19">
      <c r="A298" s="83"/>
      <c r="B298" s="82"/>
      <c r="C298" s="82"/>
      <c r="D298" s="82"/>
      <c r="E298" s="82"/>
      <c r="F298" s="83"/>
      <c r="G298" s="83"/>
      <c r="H298" s="83"/>
      <c r="I298" s="6"/>
      <c r="J298" s="6"/>
      <c r="K298" s="6"/>
      <c r="L298" s="6"/>
      <c r="M298" s="6"/>
      <c r="N298" s="6"/>
      <c r="O298" s="6"/>
      <c r="P298" s="6"/>
      <c r="Q298" s="6"/>
      <c r="R298" s="6"/>
      <c r="S298" s="6"/>
    </row>
    <row r="299" spans="1:19">
      <c r="A299" s="83"/>
      <c r="B299" s="82"/>
      <c r="C299" s="82"/>
      <c r="D299" s="82"/>
      <c r="E299" s="82"/>
      <c r="F299" s="83"/>
      <c r="G299" s="83"/>
      <c r="H299" s="83"/>
      <c r="I299" s="6"/>
      <c r="J299" s="6"/>
      <c r="K299" s="6"/>
      <c r="L299" s="6"/>
      <c r="M299" s="6"/>
      <c r="N299" s="6"/>
      <c r="O299" s="6"/>
      <c r="P299" s="6"/>
      <c r="Q299" s="6"/>
      <c r="R299" s="6"/>
      <c r="S299" s="6"/>
    </row>
    <row r="300" spans="1:19">
      <c r="A300" s="83"/>
      <c r="B300" s="82"/>
      <c r="C300" s="82"/>
      <c r="D300" s="82"/>
      <c r="E300" s="82"/>
      <c r="F300" s="83"/>
      <c r="G300" s="83"/>
      <c r="H300" s="83"/>
      <c r="I300" s="6"/>
      <c r="J300" s="6"/>
      <c r="K300" s="6"/>
      <c r="L300" s="6"/>
      <c r="M300" s="6"/>
      <c r="N300" s="6"/>
      <c r="O300" s="6"/>
      <c r="P300" s="6"/>
      <c r="Q300" s="6"/>
      <c r="R300" s="6"/>
      <c r="S300" s="6"/>
    </row>
    <row r="301" spans="1:19">
      <c r="A301" s="83"/>
      <c r="B301" s="82"/>
      <c r="C301" s="82"/>
      <c r="D301" s="82"/>
      <c r="E301" s="82"/>
      <c r="F301" s="83"/>
      <c r="G301" s="83"/>
      <c r="H301" s="83"/>
      <c r="I301" s="6"/>
      <c r="J301" s="6"/>
      <c r="K301" s="6"/>
      <c r="L301" s="6"/>
      <c r="M301" s="6"/>
      <c r="N301" s="6"/>
      <c r="O301" s="6"/>
      <c r="P301" s="6"/>
      <c r="Q301" s="6"/>
      <c r="R301" s="6"/>
      <c r="S301" s="6"/>
    </row>
    <row r="302" spans="1:19">
      <c r="A302" s="83"/>
      <c r="B302" s="82"/>
      <c r="C302" s="82"/>
      <c r="D302" s="82"/>
      <c r="E302" s="82"/>
      <c r="F302" s="83"/>
      <c r="G302" s="83"/>
      <c r="H302" s="83"/>
      <c r="I302" s="6"/>
      <c r="J302" s="6"/>
      <c r="K302" s="6"/>
      <c r="L302" s="6"/>
      <c r="M302" s="6"/>
      <c r="N302" s="6"/>
      <c r="O302" s="6"/>
      <c r="P302" s="6"/>
      <c r="Q302" s="6"/>
      <c r="R302" s="6"/>
      <c r="S302" s="6"/>
    </row>
    <row r="303" spans="1:19">
      <c r="A303" s="83"/>
      <c r="B303" s="82"/>
      <c r="C303" s="82"/>
      <c r="D303" s="82"/>
      <c r="E303" s="82"/>
      <c r="F303" s="83"/>
      <c r="G303" s="83"/>
      <c r="H303" s="83"/>
      <c r="I303" s="6"/>
      <c r="J303" s="6"/>
      <c r="K303" s="6"/>
      <c r="L303" s="6"/>
      <c r="M303" s="6"/>
      <c r="N303" s="6"/>
      <c r="O303" s="6"/>
      <c r="P303" s="6"/>
      <c r="Q303" s="6"/>
      <c r="R303" s="6"/>
      <c r="S303" s="6"/>
    </row>
    <row r="304" spans="1:19">
      <c r="A304" s="83"/>
      <c r="B304" s="82"/>
      <c r="C304" s="82"/>
      <c r="D304" s="82"/>
      <c r="E304" s="82"/>
      <c r="F304" s="83"/>
      <c r="G304" s="83"/>
      <c r="H304" s="83"/>
      <c r="I304" s="6"/>
      <c r="J304" s="6"/>
      <c r="K304" s="6"/>
      <c r="L304" s="6"/>
      <c r="M304" s="6"/>
      <c r="N304" s="6"/>
      <c r="O304" s="6"/>
      <c r="P304" s="6"/>
      <c r="Q304" s="6"/>
      <c r="R304" s="6"/>
      <c r="S304" s="6"/>
    </row>
    <row r="305" spans="1:19">
      <c r="A305" s="83"/>
      <c r="B305" s="82"/>
      <c r="C305" s="82"/>
      <c r="D305" s="82"/>
      <c r="E305" s="82"/>
      <c r="F305" s="83"/>
      <c r="G305" s="83"/>
      <c r="H305" s="83"/>
      <c r="I305" s="6"/>
      <c r="J305" s="6"/>
      <c r="K305" s="6"/>
      <c r="L305" s="6"/>
      <c r="M305" s="6"/>
      <c r="N305" s="6"/>
      <c r="O305" s="6"/>
      <c r="P305" s="6"/>
      <c r="Q305" s="6"/>
      <c r="R305" s="6"/>
      <c r="S305" s="6"/>
    </row>
    <row r="306" spans="1:19">
      <c r="A306" s="83"/>
      <c r="B306" s="82"/>
      <c r="C306" s="82"/>
      <c r="D306" s="82"/>
      <c r="E306" s="82"/>
      <c r="F306" s="83"/>
      <c r="G306" s="83"/>
      <c r="H306" s="83"/>
      <c r="I306" s="6"/>
      <c r="J306" s="6"/>
      <c r="K306" s="6"/>
      <c r="L306" s="6"/>
      <c r="M306" s="6"/>
      <c r="N306" s="6"/>
      <c r="O306" s="6"/>
      <c r="P306" s="6"/>
      <c r="Q306" s="6"/>
      <c r="R306" s="6"/>
      <c r="S306" s="6"/>
    </row>
    <row r="307" spans="1:19">
      <c r="A307" s="83"/>
      <c r="B307" s="82"/>
      <c r="C307" s="82"/>
      <c r="D307" s="82"/>
      <c r="E307" s="82"/>
      <c r="F307" s="83"/>
      <c r="G307" s="83"/>
      <c r="H307" s="83"/>
      <c r="I307" s="6"/>
      <c r="J307" s="6"/>
      <c r="K307" s="6"/>
      <c r="L307" s="6"/>
      <c r="M307" s="6"/>
      <c r="N307" s="6"/>
      <c r="O307" s="6"/>
      <c r="P307" s="6"/>
      <c r="Q307" s="6"/>
      <c r="R307" s="6"/>
      <c r="S307" s="6"/>
    </row>
    <row r="308" spans="1:19">
      <c r="A308" s="83"/>
      <c r="B308" s="82"/>
      <c r="C308" s="82"/>
      <c r="D308" s="82"/>
      <c r="E308" s="82"/>
      <c r="F308" s="83"/>
      <c r="G308" s="83"/>
      <c r="H308" s="83"/>
      <c r="I308" s="6"/>
      <c r="J308" s="6"/>
      <c r="K308" s="6"/>
      <c r="L308" s="6"/>
      <c r="M308" s="6"/>
      <c r="N308" s="6"/>
      <c r="O308" s="6"/>
      <c r="P308" s="6"/>
      <c r="Q308" s="6"/>
      <c r="R308" s="6"/>
      <c r="S308" s="6"/>
    </row>
    <row r="309" spans="1:19">
      <c r="A309" s="83"/>
      <c r="B309" s="82"/>
      <c r="C309" s="82"/>
      <c r="D309" s="82"/>
      <c r="E309" s="82"/>
      <c r="F309" s="83"/>
      <c r="G309" s="83"/>
      <c r="H309" s="83"/>
      <c r="I309" s="6"/>
      <c r="J309" s="6"/>
      <c r="K309" s="6"/>
      <c r="L309" s="6"/>
      <c r="M309" s="6"/>
      <c r="N309" s="6"/>
      <c r="O309" s="6"/>
      <c r="P309" s="6"/>
      <c r="Q309" s="6"/>
      <c r="R309" s="6"/>
      <c r="S309" s="6"/>
    </row>
    <row r="310" spans="1:19">
      <c r="A310" s="83"/>
      <c r="B310" s="82"/>
      <c r="C310" s="82"/>
      <c r="D310" s="82"/>
      <c r="E310" s="82"/>
      <c r="F310" s="83"/>
      <c r="G310" s="83"/>
      <c r="H310" s="83"/>
      <c r="I310" s="6"/>
      <c r="J310" s="6"/>
      <c r="K310" s="6"/>
      <c r="L310" s="6"/>
      <c r="M310" s="6"/>
      <c r="N310" s="6"/>
      <c r="O310" s="6"/>
      <c r="P310" s="6"/>
      <c r="Q310" s="6"/>
      <c r="R310" s="6"/>
      <c r="S310" s="6"/>
    </row>
    <row r="311" spans="1:19">
      <c r="A311" s="83"/>
      <c r="B311" s="82"/>
      <c r="C311" s="82"/>
      <c r="D311" s="82"/>
      <c r="E311" s="82"/>
      <c r="F311" s="83"/>
      <c r="G311" s="83"/>
      <c r="H311" s="83"/>
      <c r="I311" s="6"/>
      <c r="J311" s="6"/>
      <c r="K311" s="6"/>
      <c r="L311" s="6"/>
      <c r="M311" s="6"/>
      <c r="N311" s="6"/>
      <c r="O311" s="6"/>
      <c r="P311" s="6"/>
      <c r="Q311" s="6"/>
      <c r="R311" s="6"/>
      <c r="S311" s="6"/>
    </row>
    <row r="312" spans="1:19">
      <c r="A312" s="83"/>
      <c r="B312" s="82"/>
      <c r="C312" s="82"/>
      <c r="D312" s="82"/>
      <c r="E312" s="82"/>
      <c r="F312" s="83"/>
      <c r="G312" s="83"/>
      <c r="H312" s="83"/>
      <c r="I312" s="6"/>
      <c r="J312" s="6"/>
      <c r="K312" s="6"/>
      <c r="L312" s="6"/>
      <c r="M312" s="6"/>
      <c r="N312" s="6"/>
      <c r="O312" s="6"/>
      <c r="P312" s="6"/>
      <c r="Q312" s="6"/>
      <c r="R312" s="6"/>
      <c r="S312" s="6"/>
    </row>
    <row r="313" spans="1:19">
      <c r="A313" s="83"/>
      <c r="B313" s="82"/>
      <c r="C313" s="82"/>
      <c r="D313" s="82"/>
      <c r="E313" s="82"/>
      <c r="F313" s="83"/>
      <c r="G313" s="83"/>
      <c r="H313" s="83"/>
      <c r="I313" s="6"/>
      <c r="J313" s="6"/>
      <c r="K313" s="6"/>
      <c r="L313" s="6"/>
      <c r="M313" s="6"/>
      <c r="N313" s="6"/>
      <c r="O313" s="6"/>
      <c r="P313" s="6"/>
      <c r="Q313" s="6"/>
      <c r="R313" s="6"/>
      <c r="S313" s="6"/>
    </row>
    <row r="314" spans="1:19">
      <c r="A314" s="83"/>
      <c r="B314" s="82"/>
      <c r="C314" s="82"/>
      <c r="D314" s="82"/>
      <c r="E314" s="82"/>
      <c r="F314" s="83"/>
      <c r="G314" s="83"/>
      <c r="H314" s="83"/>
      <c r="I314" s="6"/>
      <c r="J314" s="6"/>
      <c r="K314" s="6"/>
      <c r="L314" s="6"/>
      <c r="M314" s="6"/>
      <c r="N314" s="6"/>
      <c r="O314" s="6"/>
      <c r="P314" s="6"/>
      <c r="Q314" s="6"/>
      <c r="R314" s="6"/>
      <c r="S314" s="6"/>
    </row>
    <row r="315" spans="1:19">
      <c r="A315" s="83"/>
      <c r="B315" s="82"/>
      <c r="C315" s="82"/>
      <c r="D315" s="82"/>
      <c r="E315" s="82"/>
      <c r="F315" s="83"/>
      <c r="G315" s="83"/>
      <c r="H315" s="83"/>
      <c r="I315" s="6"/>
      <c r="J315" s="6"/>
      <c r="K315" s="6"/>
      <c r="L315" s="6"/>
      <c r="M315" s="6"/>
      <c r="N315" s="6"/>
      <c r="O315" s="6"/>
      <c r="P315" s="6"/>
      <c r="Q315" s="6"/>
      <c r="R315" s="6"/>
      <c r="S315" s="6"/>
    </row>
    <row r="316" spans="1:19">
      <c r="A316" s="83"/>
      <c r="B316" s="82"/>
      <c r="C316" s="82"/>
      <c r="D316" s="82"/>
      <c r="E316" s="82"/>
      <c r="F316" s="83"/>
      <c r="G316" s="83"/>
      <c r="H316" s="83"/>
      <c r="I316" s="6"/>
      <c r="J316" s="6"/>
      <c r="K316" s="6"/>
      <c r="L316" s="6"/>
      <c r="M316" s="6"/>
      <c r="N316" s="6"/>
      <c r="O316" s="6"/>
      <c r="P316" s="6"/>
      <c r="Q316" s="6"/>
      <c r="R316" s="6"/>
      <c r="S316" s="6"/>
    </row>
    <row r="317" spans="1:19">
      <c r="A317" s="83"/>
      <c r="B317" s="82"/>
      <c r="C317" s="82"/>
      <c r="D317" s="82"/>
      <c r="E317" s="82"/>
      <c r="F317" s="83"/>
      <c r="G317" s="83"/>
      <c r="H317" s="83"/>
      <c r="I317" s="6"/>
      <c r="J317" s="6"/>
      <c r="K317" s="6"/>
      <c r="L317" s="6"/>
      <c r="M317" s="6"/>
      <c r="N317" s="6"/>
      <c r="O317" s="6"/>
      <c r="P317" s="6"/>
      <c r="Q317" s="6"/>
      <c r="R317" s="6"/>
      <c r="S317" s="6"/>
    </row>
    <row r="318" spans="1:19">
      <c r="A318" s="83"/>
      <c r="B318" s="82"/>
      <c r="C318" s="82"/>
      <c r="D318" s="82"/>
      <c r="E318" s="82"/>
      <c r="F318" s="83"/>
      <c r="G318" s="83"/>
      <c r="H318" s="83"/>
      <c r="I318" s="6"/>
      <c r="J318" s="6"/>
      <c r="K318" s="6"/>
      <c r="L318" s="6"/>
      <c r="M318" s="6"/>
      <c r="N318" s="6"/>
      <c r="O318" s="6"/>
      <c r="P318" s="6"/>
      <c r="Q318" s="6"/>
      <c r="R318" s="6"/>
      <c r="S318" s="6"/>
    </row>
    <row r="319" spans="1:19">
      <c r="A319" s="83"/>
      <c r="B319" s="82"/>
      <c r="C319" s="82"/>
      <c r="D319" s="82"/>
      <c r="E319" s="82"/>
      <c r="F319" s="83"/>
      <c r="G319" s="83"/>
      <c r="H319" s="83"/>
      <c r="I319" s="6"/>
      <c r="J319" s="6"/>
      <c r="K319" s="6"/>
      <c r="L319" s="6"/>
      <c r="M319" s="6"/>
      <c r="N319" s="6"/>
      <c r="O319" s="6"/>
      <c r="P319" s="6"/>
      <c r="Q319" s="6"/>
      <c r="R319" s="6"/>
      <c r="S319" s="6"/>
    </row>
    <row r="320" spans="1:19">
      <c r="A320" s="83"/>
      <c r="B320" s="82"/>
      <c r="C320" s="82"/>
      <c r="D320" s="82"/>
      <c r="E320" s="82"/>
      <c r="F320" s="83"/>
      <c r="G320" s="83"/>
      <c r="H320" s="83"/>
      <c r="I320" s="6"/>
      <c r="J320" s="6"/>
      <c r="K320" s="6"/>
      <c r="L320" s="6"/>
      <c r="M320" s="6"/>
      <c r="N320" s="6"/>
      <c r="O320" s="6"/>
      <c r="P320" s="6"/>
      <c r="Q320" s="6"/>
      <c r="R320" s="6"/>
      <c r="S320" s="6"/>
    </row>
    <row r="321" spans="1:19">
      <c r="A321" s="83"/>
      <c r="B321" s="82"/>
      <c r="C321" s="82"/>
      <c r="D321" s="82"/>
      <c r="E321" s="82"/>
      <c r="F321" s="83"/>
      <c r="G321" s="83"/>
      <c r="H321" s="83"/>
      <c r="I321" s="6"/>
      <c r="J321" s="6"/>
      <c r="K321" s="6"/>
      <c r="L321" s="6"/>
      <c r="M321" s="6"/>
      <c r="N321" s="6"/>
      <c r="O321" s="6"/>
      <c r="P321" s="6"/>
      <c r="Q321" s="6"/>
      <c r="R321" s="6"/>
      <c r="S321" s="6"/>
    </row>
    <row r="322" spans="1:19">
      <c r="A322" s="83"/>
      <c r="B322" s="82"/>
      <c r="C322" s="82"/>
      <c r="D322" s="82"/>
      <c r="E322" s="82"/>
      <c r="F322" s="83"/>
      <c r="G322" s="83"/>
      <c r="H322" s="83"/>
      <c r="I322" s="6"/>
      <c r="J322" s="6"/>
      <c r="K322" s="6"/>
      <c r="L322" s="6"/>
      <c r="M322" s="6"/>
      <c r="N322" s="6"/>
      <c r="O322" s="6"/>
      <c r="P322" s="6"/>
      <c r="Q322" s="6"/>
      <c r="R322" s="6"/>
      <c r="S322" s="6"/>
    </row>
    <row r="323" spans="1:19">
      <c r="A323" s="83"/>
      <c r="B323" s="82"/>
      <c r="C323" s="82"/>
      <c r="D323" s="82"/>
      <c r="E323" s="82"/>
      <c r="F323" s="83"/>
      <c r="G323" s="83"/>
      <c r="H323" s="83"/>
      <c r="I323" s="6"/>
      <c r="J323" s="6"/>
      <c r="K323" s="6"/>
      <c r="L323" s="6"/>
      <c r="M323" s="6"/>
      <c r="N323" s="6"/>
      <c r="O323" s="6"/>
      <c r="P323" s="6"/>
      <c r="Q323" s="6"/>
      <c r="R323" s="6"/>
      <c r="S323" s="6"/>
    </row>
    <row r="324" spans="1:19">
      <c r="A324" s="83"/>
      <c r="B324" s="82"/>
      <c r="C324" s="82"/>
      <c r="D324" s="82"/>
      <c r="E324" s="82"/>
      <c r="F324" s="83"/>
      <c r="G324" s="83"/>
      <c r="H324" s="83"/>
      <c r="I324" s="6"/>
      <c r="J324" s="6"/>
      <c r="K324" s="6"/>
      <c r="L324" s="6"/>
      <c r="M324" s="6"/>
      <c r="N324" s="6"/>
      <c r="O324" s="6"/>
      <c r="P324" s="6"/>
      <c r="Q324" s="6"/>
      <c r="R324" s="6"/>
      <c r="S324" s="6"/>
    </row>
    <row r="325" spans="1:19">
      <c r="A325" s="83"/>
      <c r="B325" s="82"/>
      <c r="C325" s="82"/>
      <c r="D325" s="82"/>
      <c r="E325" s="82"/>
      <c r="F325" s="83"/>
      <c r="G325" s="83"/>
      <c r="H325" s="83"/>
      <c r="I325" s="6"/>
      <c r="J325" s="6"/>
      <c r="K325" s="6"/>
      <c r="L325" s="6"/>
      <c r="M325" s="6"/>
      <c r="N325" s="6"/>
      <c r="O325" s="6"/>
      <c r="P325" s="6"/>
      <c r="Q325" s="6"/>
      <c r="R325" s="6"/>
      <c r="S325" s="6"/>
    </row>
    <row r="326" spans="1:19">
      <c r="A326" s="83"/>
      <c r="B326" s="82"/>
      <c r="C326" s="82"/>
      <c r="D326" s="82"/>
      <c r="E326" s="82"/>
      <c r="F326" s="83"/>
      <c r="G326" s="83"/>
      <c r="H326" s="83"/>
      <c r="I326" s="6"/>
      <c r="J326" s="6"/>
      <c r="K326" s="6"/>
      <c r="L326" s="6"/>
      <c r="M326" s="6"/>
      <c r="N326" s="6"/>
      <c r="O326" s="6"/>
      <c r="P326" s="6"/>
      <c r="Q326" s="6"/>
      <c r="R326" s="6"/>
      <c r="S326" s="6"/>
    </row>
    <row r="327" spans="1:19">
      <c r="A327" s="83"/>
      <c r="B327" s="82"/>
      <c r="C327" s="82"/>
      <c r="D327" s="82"/>
      <c r="E327" s="82"/>
      <c r="F327" s="83"/>
      <c r="G327" s="83"/>
      <c r="H327" s="83"/>
      <c r="I327" s="6"/>
      <c r="J327" s="6"/>
      <c r="K327" s="6"/>
      <c r="L327" s="6"/>
      <c r="M327" s="6"/>
      <c r="N327" s="6"/>
      <c r="O327" s="6"/>
      <c r="P327" s="6"/>
      <c r="Q327" s="6"/>
      <c r="R327" s="6"/>
      <c r="S327" s="6"/>
    </row>
    <row r="328" spans="1:19">
      <c r="A328" s="83"/>
      <c r="B328" s="82"/>
      <c r="C328" s="82"/>
      <c r="D328" s="82"/>
      <c r="E328" s="82"/>
      <c r="F328" s="83"/>
      <c r="G328" s="83"/>
      <c r="H328" s="83"/>
      <c r="I328" s="6"/>
      <c r="J328" s="6"/>
      <c r="K328" s="6"/>
      <c r="L328" s="6"/>
      <c r="M328" s="6"/>
      <c r="N328" s="6"/>
      <c r="O328" s="6"/>
      <c r="P328" s="6"/>
      <c r="Q328" s="6"/>
      <c r="R328" s="6"/>
      <c r="S328" s="6"/>
    </row>
    <row r="329" spans="1:19">
      <c r="A329" s="83"/>
      <c r="B329" s="82"/>
      <c r="C329" s="82"/>
      <c r="D329" s="82"/>
      <c r="E329" s="82"/>
      <c r="F329" s="83"/>
      <c r="G329" s="83"/>
      <c r="H329" s="83"/>
      <c r="I329" s="6"/>
      <c r="J329" s="6"/>
      <c r="K329" s="6"/>
      <c r="L329" s="6"/>
      <c r="M329" s="6"/>
      <c r="N329" s="6"/>
      <c r="O329" s="6"/>
      <c r="P329" s="6"/>
      <c r="Q329" s="6"/>
      <c r="R329" s="6"/>
      <c r="S329" s="6"/>
    </row>
    <row r="330" spans="1:19">
      <c r="A330" s="83"/>
      <c r="B330" s="82"/>
      <c r="C330" s="82"/>
      <c r="D330" s="82"/>
      <c r="E330" s="82"/>
      <c r="F330" s="83"/>
      <c r="G330" s="83"/>
      <c r="H330" s="83"/>
      <c r="I330" s="6"/>
      <c r="J330" s="6"/>
      <c r="K330" s="6"/>
      <c r="L330" s="6"/>
      <c r="M330" s="6"/>
      <c r="N330" s="6"/>
      <c r="O330" s="6"/>
      <c r="P330" s="6"/>
      <c r="Q330" s="6"/>
      <c r="R330" s="6"/>
      <c r="S330" s="6"/>
    </row>
    <row r="331" spans="1:19">
      <c r="A331" s="83"/>
      <c r="B331" s="82"/>
      <c r="C331" s="82"/>
      <c r="D331" s="82"/>
      <c r="E331" s="82"/>
      <c r="F331" s="83"/>
      <c r="G331" s="83"/>
      <c r="H331" s="83"/>
      <c r="I331" s="6"/>
      <c r="J331" s="6"/>
      <c r="K331" s="6"/>
      <c r="L331" s="6"/>
      <c r="M331" s="6"/>
      <c r="N331" s="6"/>
      <c r="O331" s="6"/>
      <c r="P331" s="6"/>
      <c r="Q331" s="6"/>
      <c r="R331" s="6"/>
      <c r="S331" s="6"/>
    </row>
    <row r="332" spans="1:19">
      <c r="A332" s="83"/>
      <c r="B332" s="82"/>
      <c r="C332" s="82"/>
      <c r="D332" s="82"/>
      <c r="E332" s="82"/>
      <c r="F332" s="83"/>
      <c r="G332" s="83"/>
      <c r="H332" s="83"/>
      <c r="I332" s="6"/>
      <c r="J332" s="6"/>
      <c r="K332" s="6"/>
      <c r="L332" s="6"/>
      <c r="M332" s="6"/>
      <c r="N332" s="6"/>
      <c r="O332" s="6"/>
      <c r="P332" s="6"/>
      <c r="Q332" s="6"/>
      <c r="R332" s="6"/>
      <c r="S332" s="6"/>
    </row>
    <row r="333" spans="1:19">
      <c r="A333" s="83"/>
      <c r="B333" s="82"/>
      <c r="C333" s="82"/>
      <c r="D333" s="82"/>
      <c r="E333" s="82"/>
      <c r="F333" s="83"/>
      <c r="G333" s="83"/>
      <c r="H333" s="83"/>
      <c r="I333" s="6"/>
      <c r="J333" s="6"/>
      <c r="K333" s="6"/>
      <c r="L333" s="6"/>
      <c r="M333" s="6"/>
      <c r="N333" s="6"/>
      <c r="O333" s="6"/>
      <c r="P333" s="6"/>
      <c r="Q333" s="6"/>
      <c r="R333" s="6"/>
      <c r="S333" s="6"/>
    </row>
    <row r="334" spans="1:19">
      <c r="A334" s="83"/>
      <c r="B334" s="82"/>
      <c r="C334" s="82"/>
      <c r="D334" s="82"/>
      <c r="E334" s="82"/>
      <c r="F334" s="83"/>
      <c r="G334" s="83"/>
      <c r="H334" s="83"/>
      <c r="I334" s="6"/>
      <c r="J334" s="6"/>
      <c r="K334" s="6"/>
      <c r="L334" s="6"/>
      <c r="M334" s="6"/>
      <c r="N334" s="6"/>
      <c r="O334" s="6"/>
      <c r="P334" s="6"/>
      <c r="Q334" s="6"/>
      <c r="R334" s="6"/>
      <c r="S334" s="6"/>
    </row>
    <row r="335" spans="1:19">
      <c r="A335" s="83"/>
      <c r="B335" s="82"/>
      <c r="C335" s="82"/>
      <c r="D335" s="82"/>
      <c r="E335" s="82"/>
      <c r="F335" s="83"/>
      <c r="G335" s="83"/>
      <c r="H335" s="83"/>
      <c r="I335" s="6"/>
      <c r="J335" s="6"/>
      <c r="K335" s="6"/>
      <c r="L335" s="6"/>
      <c r="M335" s="6"/>
      <c r="N335" s="6"/>
      <c r="O335" s="6"/>
      <c r="P335" s="6"/>
      <c r="Q335" s="6"/>
      <c r="R335" s="6"/>
      <c r="S335" s="6"/>
    </row>
    <row r="336" spans="1:19">
      <c r="A336" s="83"/>
      <c r="B336" s="82"/>
      <c r="C336" s="82"/>
      <c r="D336" s="82"/>
      <c r="E336" s="82"/>
      <c r="F336" s="83"/>
      <c r="G336" s="83"/>
      <c r="H336" s="83"/>
      <c r="I336" s="6"/>
      <c r="J336" s="6"/>
      <c r="K336" s="6"/>
      <c r="L336" s="6"/>
      <c r="M336" s="6"/>
      <c r="N336" s="6"/>
      <c r="O336" s="6"/>
      <c r="P336" s="6"/>
      <c r="Q336" s="6"/>
      <c r="R336" s="6"/>
      <c r="S336" s="6"/>
    </row>
    <row r="337" spans="1:19">
      <c r="A337" s="83"/>
      <c r="B337" s="82"/>
      <c r="C337" s="82"/>
      <c r="D337" s="82"/>
      <c r="E337" s="82"/>
      <c r="F337" s="83"/>
      <c r="G337" s="83"/>
      <c r="H337" s="83"/>
      <c r="I337" s="6"/>
      <c r="J337" s="6"/>
      <c r="K337" s="6"/>
      <c r="L337" s="6"/>
      <c r="M337" s="6"/>
      <c r="N337" s="6"/>
      <c r="O337" s="6"/>
      <c r="P337" s="6"/>
      <c r="Q337" s="6"/>
      <c r="R337" s="6"/>
      <c r="S337" s="6"/>
    </row>
    <row r="338" spans="1:19">
      <c r="A338" s="83"/>
      <c r="B338" s="82"/>
      <c r="C338" s="82"/>
      <c r="D338" s="82"/>
      <c r="E338" s="82"/>
      <c r="F338" s="83"/>
      <c r="G338" s="83"/>
      <c r="H338" s="83"/>
      <c r="I338" s="6"/>
      <c r="J338" s="6"/>
      <c r="K338" s="6"/>
      <c r="L338" s="6"/>
      <c r="M338" s="6"/>
      <c r="N338" s="6"/>
      <c r="O338" s="6"/>
      <c r="P338" s="6"/>
      <c r="Q338" s="6"/>
      <c r="R338" s="6"/>
      <c r="S338" s="6"/>
    </row>
    <row r="339" spans="1:19">
      <c r="A339" s="83"/>
      <c r="B339" s="82"/>
      <c r="C339" s="82"/>
      <c r="D339" s="82"/>
      <c r="E339" s="82"/>
      <c r="F339" s="83"/>
      <c r="G339" s="83"/>
      <c r="H339" s="83"/>
      <c r="I339" s="6"/>
      <c r="J339" s="6"/>
      <c r="K339" s="6"/>
      <c r="L339" s="6"/>
      <c r="M339" s="6"/>
      <c r="N339" s="6"/>
      <c r="O339" s="6"/>
      <c r="P339" s="6"/>
      <c r="Q339" s="6"/>
      <c r="R339" s="6"/>
      <c r="S339" s="6"/>
    </row>
    <row r="340" spans="1:19">
      <c r="A340" s="83"/>
      <c r="B340" s="82"/>
      <c r="C340" s="82"/>
      <c r="D340" s="82"/>
      <c r="E340" s="82"/>
      <c r="F340" s="83"/>
      <c r="G340" s="83"/>
      <c r="H340" s="83"/>
      <c r="I340" s="6"/>
      <c r="J340" s="6"/>
      <c r="K340" s="6"/>
      <c r="L340" s="6"/>
      <c r="M340" s="6"/>
      <c r="N340" s="6"/>
      <c r="O340" s="6"/>
      <c r="P340" s="6"/>
      <c r="Q340" s="6"/>
      <c r="R340" s="6"/>
      <c r="S340" s="6"/>
    </row>
    <row r="341" spans="1:19">
      <c r="A341" s="83"/>
      <c r="B341" s="82"/>
      <c r="C341" s="82"/>
      <c r="D341" s="82"/>
      <c r="E341" s="82"/>
      <c r="F341" s="83"/>
      <c r="G341" s="83"/>
      <c r="H341" s="83"/>
      <c r="I341" s="6"/>
      <c r="J341" s="6"/>
      <c r="K341" s="6"/>
      <c r="L341" s="6"/>
      <c r="M341" s="6"/>
      <c r="N341" s="6"/>
      <c r="O341" s="6"/>
      <c r="P341" s="6"/>
      <c r="Q341" s="6"/>
      <c r="R341" s="6"/>
      <c r="S341" s="6"/>
    </row>
    <row r="342" spans="1:19">
      <c r="A342" s="83"/>
      <c r="B342" s="82"/>
      <c r="C342" s="82"/>
      <c r="D342" s="82"/>
      <c r="E342" s="82"/>
      <c r="F342" s="83"/>
      <c r="G342" s="83"/>
      <c r="H342" s="83"/>
      <c r="I342" s="6"/>
      <c r="J342" s="6"/>
      <c r="K342" s="6"/>
      <c r="L342" s="6"/>
      <c r="M342" s="6"/>
      <c r="N342" s="6"/>
      <c r="O342" s="6"/>
      <c r="P342" s="6"/>
      <c r="Q342" s="6"/>
      <c r="R342" s="6"/>
      <c r="S342" s="6"/>
    </row>
    <row r="343" spans="1:19">
      <c r="A343" s="83"/>
      <c r="B343" s="82"/>
      <c r="C343" s="82"/>
      <c r="D343" s="82"/>
      <c r="E343" s="82"/>
      <c r="F343" s="83"/>
      <c r="G343" s="83"/>
      <c r="H343" s="83"/>
      <c r="I343" s="6"/>
      <c r="J343" s="6"/>
      <c r="K343" s="6"/>
      <c r="L343" s="6"/>
      <c r="M343" s="6"/>
      <c r="N343" s="6"/>
      <c r="O343" s="6"/>
      <c r="P343" s="6"/>
      <c r="Q343" s="6"/>
      <c r="R343" s="6"/>
      <c r="S343" s="6"/>
    </row>
    <row r="344" spans="1:19">
      <c r="A344" s="83"/>
      <c r="B344" s="82"/>
      <c r="C344" s="82"/>
      <c r="D344" s="82"/>
      <c r="E344" s="82"/>
      <c r="F344" s="83"/>
      <c r="G344" s="83"/>
      <c r="H344" s="83"/>
      <c r="I344" s="6"/>
      <c r="J344" s="6"/>
      <c r="K344" s="6"/>
      <c r="L344" s="6"/>
      <c r="M344" s="6"/>
      <c r="N344" s="6"/>
      <c r="O344" s="6"/>
      <c r="P344" s="6"/>
      <c r="Q344" s="6"/>
      <c r="R344" s="6"/>
      <c r="S344" s="6"/>
    </row>
    <row r="345" spans="1:19">
      <c r="A345" s="83"/>
      <c r="B345" s="82"/>
      <c r="C345" s="82"/>
      <c r="D345" s="82"/>
      <c r="E345" s="82"/>
      <c r="F345" s="83"/>
      <c r="G345" s="83"/>
      <c r="H345" s="83"/>
      <c r="I345" s="6"/>
      <c r="J345" s="6"/>
      <c r="K345" s="6"/>
      <c r="L345" s="6"/>
      <c r="M345" s="6"/>
      <c r="N345" s="6"/>
      <c r="O345" s="6"/>
      <c r="P345" s="6"/>
      <c r="Q345" s="6"/>
      <c r="R345" s="6"/>
      <c r="S345" s="6"/>
    </row>
    <row r="346" spans="1:19">
      <c r="A346" s="83"/>
      <c r="B346" s="82"/>
      <c r="C346" s="82"/>
      <c r="D346" s="82"/>
      <c r="E346" s="82"/>
      <c r="F346" s="83"/>
      <c r="G346" s="83"/>
      <c r="H346" s="83"/>
      <c r="I346" s="6"/>
      <c r="J346" s="6"/>
      <c r="K346" s="6"/>
      <c r="L346" s="6"/>
      <c r="M346" s="6"/>
      <c r="N346" s="6"/>
      <c r="O346" s="6"/>
      <c r="P346" s="6"/>
      <c r="Q346" s="6"/>
      <c r="R346" s="6"/>
      <c r="S346" s="6"/>
    </row>
    <row r="347" spans="1:19">
      <c r="A347" s="83"/>
      <c r="B347" s="82"/>
      <c r="C347" s="82"/>
      <c r="D347" s="82"/>
      <c r="E347" s="82"/>
      <c r="F347" s="83"/>
      <c r="G347" s="83"/>
      <c r="H347" s="83"/>
      <c r="I347" s="6"/>
      <c r="J347" s="6"/>
      <c r="K347" s="6"/>
      <c r="L347" s="6"/>
      <c r="M347" s="6"/>
      <c r="N347" s="6"/>
      <c r="O347" s="6"/>
      <c r="P347" s="6"/>
      <c r="Q347" s="6"/>
      <c r="R347" s="6"/>
      <c r="S347" s="6"/>
    </row>
    <row r="348" spans="1:19">
      <c r="A348" s="83"/>
      <c r="B348" s="82"/>
      <c r="C348" s="82"/>
      <c r="D348" s="82"/>
      <c r="E348" s="82"/>
      <c r="F348" s="83"/>
      <c r="G348" s="83"/>
      <c r="H348" s="83"/>
      <c r="I348" s="6"/>
      <c r="J348" s="6"/>
      <c r="K348" s="6"/>
      <c r="L348" s="6"/>
      <c r="M348" s="6"/>
      <c r="N348" s="6"/>
      <c r="O348" s="6"/>
      <c r="P348" s="6"/>
      <c r="Q348" s="6"/>
      <c r="R348" s="6"/>
      <c r="S348" s="6"/>
    </row>
    <row r="349" spans="1:19">
      <c r="A349" s="83"/>
      <c r="B349" s="82"/>
      <c r="C349" s="82"/>
      <c r="D349" s="82"/>
      <c r="E349" s="82"/>
      <c r="F349" s="83"/>
      <c r="G349" s="83"/>
      <c r="H349" s="83"/>
      <c r="I349" s="6"/>
      <c r="J349" s="6"/>
      <c r="K349" s="6"/>
      <c r="L349" s="6"/>
      <c r="M349" s="6"/>
      <c r="N349" s="6"/>
      <c r="O349" s="6"/>
      <c r="P349" s="6"/>
      <c r="Q349" s="6"/>
      <c r="R349" s="6"/>
      <c r="S349" s="6"/>
    </row>
    <row r="350" spans="1:19">
      <c r="A350" s="83"/>
      <c r="B350" s="82"/>
      <c r="C350" s="82"/>
      <c r="D350" s="82"/>
      <c r="E350" s="82"/>
      <c r="F350" s="83"/>
      <c r="G350" s="83"/>
      <c r="H350" s="83"/>
      <c r="I350" s="6"/>
      <c r="J350" s="6"/>
      <c r="K350" s="6"/>
      <c r="L350" s="6"/>
      <c r="M350" s="6"/>
      <c r="N350" s="6"/>
      <c r="O350" s="6"/>
      <c r="P350" s="6"/>
      <c r="Q350" s="6"/>
      <c r="R350" s="6"/>
      <c r="S350" s="6"/>
    </row>
    <row r="351" spans="1:19">
      <c r="A351" s="83"/>
      <c r="B351" s="82"/>
      <c r="C351" s="82"/>
      <c r="D351" s="82"/>
      <c r="E351" s="82"/>
      <c r="F351" s="83"/>
      <c r="G351" s="83"/>
      <c r="H351" s="83"/>
      <c r="I351" s="6"/>
      <c r="J351" s="6"/>
      <c r="K351" s="6"/>
      <c r="L351" s="6"/>
      <c r="M351" s="6"/>
      <c r="N351" s="6"/>
      <c r="O351" s="6"/>
      <c r="P351" s="6"/>
      <c r="Q351" s="6"/>
      <c r="R351" s="6"/>
      <c r="S351" s="6"/>
    </row>
    <row r="352" spans="1:19">
      <c r="A352" s="83"/>
      <c r="B352" s="82"/>
      <c r="C352" s="82"/>
      <c r="D352" s="82"/>
      <c r="E352" s="82"/>
      <c r="F352" s="83"/>
      <c r="G352" s="83"/>
      <c r="H352" s="83"/>
      <c r="I352" s="6"/>
      <c r="J352" s="6"/>
      <c r="K352" s="6"/>
      <c r="L352" s="6"/>
      <c r="M352" s="6"/>
      <c r="N352" s="6"/>
      <c r="O352" s="6"/>
      <c r="P352" s="6"/>
      <c r="Q352" s="6"/>
      <c r="R352" s="6"/>
      <c r="S352" s="6"/>
    </row>
    <row r="353" spans="1:19">
      <c r="A353" s="83"/>
      <c r="B353" s="82"/>
      <c r="C353" s="82"/>
      <c r="D353" s="82"/>
      <c r="E353" s="82"/>
      <c r="F353" s="83"/>
      <c r="G353" s="83"/>
      <c r="H353" s="83"/>
      <c r="I353" s="6"/>
      <c r="J353" s="6"/>
      <c r="K353" s="6"/>
      <c r="L353" s="6"/>
      <c r="M353" s="6"/>
      <c r="N353" s="6"/>
      <c r="O353" s="6"/>
      <c r="P353" s="6"/>
      <c r="Q353" s="6"/>
      <c r="R353" s="6"/>
      <c r="S353" s="6"/>
    </row>
    <row r="354" spans="1:19">
      <c r="A354" s="83"/>
      <c r="B354" s="82"/>
      <c r="C354" s="82"/>
      <c r="D354" s="82"/>
      <c r="E354" s="82"/>
      <c r="F354" s="83"/>
      <c r="G354" s="83"/>
      <c r="H354" s="83"/>
      <c r="I354" s="6"/>
      <c r="J354" s="6"/>
      <c r="K354" s="6"/>
      <c r="L354" s="6"/>
      <c r="M354" s="6"/>
      <c r="N354" s="6"/>
      <c r="O354" s="6"/>
      <c r="P354" s="6"/>
      <c r="Q354" s="6"/>
      <c r="R354" s="6"/>
      <c r="S354" s="6"/>
    </row>
    <row r="355" spans="1:19">
      <c r="A355" s="83"/>
      <c r="B355" s="82"/>
      <c r="C355" s="82"/>
      <c r="D355" s="82"/>
      <c r="E355" s="82"/>
      <c r="F355" s="83"/>
      <c r="G355" s="83"/>
      <c r="H355" s="83"/>
      <c r="I355" s="6"/>
      <c r="J355" s="6"/>
      <c r="K355" s="6"/>
      <c r="L355" s="6"/>
      <c r="M355" s="6"/>
      <c r="N355" s="6"/>
      <c r="O355" s="6"/>
      <c r="P355" s="6"/>
      <c r="Q355" s="6"/>
      <c r="R355" s="6"/>
      <c r="S355" s="6"/>
    </row>
    <row r="356" spans="1:19">
      <c r="A356" s="83"/>
      <c r="B356" s="82"/>
      <c r="C356" s="82"/>
      <c r="D356" s="82"/>
      <c r="E356" s="82"/>
      <c r="F356" s="83"/>
      <c r="G356" s="83"/>
      <c r="H356" s="83"/>
      <c r="I356" s="6"/>
      <c r="J356" s="6"/>
      <c r="K356" s="6"/>
      <c r="L356" s="6"/>
      <c r="M356" s="6"/>
      <c r="N356" s="6"/>
      <c r="O356" s="6"/>
      <c r="P356" s="6"/>
      <c r="Q356" s="6"/>
      <c r="R356" s="6"/>
      <c r="S356" s="6"/>
    </row>
    <row r="357" spans="1:19">
      <c r="A357" s="83"/>
      <c r="B357" s="82"/>
      <c r="C357" s="82"/>
      <c r="D357" s="82"/>
      <c r="E357" s="82"/>
      <c r="F357" s="83"/>
      <c r="G357" s="83"/>
      <c r="H357" s="83"/>
      <c r="I357" s="6"/>
      <c r="J357" s="6"/>
      <c r="K357" s="6"/>
      <c r="L357" s="6"/>
      <c r="M357" s="6"/>
      <c r="N357" s="6"/>
      <c r="O357" s="6"/>
      <c r="P357" s="6"/>
      <c r="Q357" s="6"/>
      <c r="R357" s="6"/>
      <c r="S357" s="6"/>
    </row>
    <row r="358" spans="1:19">
      <c r="A358" s="83"/>
      <c r="B358" s="82"/>
      <c r="C358" s="82"/>
      <c r="D358" s="82"/>
      <c r="E358" s="82"/>
      <c r="F358" s="83"/>
      <c r="G358" s="83"/>
      <c r="H358" s="83"/>
      <c r="I358" s="6"/>
      <c r="J358" s="6"/>
      <c r="K358" s="6"/>
      <c r="L358" s="6"/>
      <c r="M358" s="6"/>
      <c r="N358" s="6"/>
      <c r="O358" s="6"/>
      <c r="P358" s="6"/>
      <c r="Q358" s="6"/>
      <c r="R358" s="6"/>
      <c r="S358" s="6"/>
    </row>
    <row r="359" spans="1:19">
      <c r="A359" s="83"/>
      <c r="B359" s="82"/>
      <c r="C359" s="82"/>
      <c r="D359" s="82"/>
      <c r="E359" s="82"/>
      <c r="F359" s="83"/>
      <c r="G359" s="83"/>
      <c r="H359" s="83"/>
      <c r="I359" s="6"/>
      <c r="J359" s="6"/>
      <c r="K359" s="6"/>
      <c r="L359" s="6"/>
      <c r="M359" s="6"/>
      <c r="N359" s="6"/>
      <c r="O359" s="6"/>
      <c r="P359" s="6"/>
      <c r="Q359" s="6"/>
      <c r="R359" s="6"/>
      <c r="S359" s="6"/>
    </row>
    <row r="360" spans="1:19">
      <c r="A360" s="83"/>
      <c r="B360" s="82"/>
      <c r="C360" s="82"/>
      <c r="D360" s="82"/>
      <c r="E360" s="82"/>
      <c r="F360" s="83"/>
      <c r="G360" s="83"/>
      <c r="H360" s="83"/>
      <c r="I360" s="6"/>
      <c r="J360" s="6"/>
      <c r="K360" s="6"/>
      <c r="L360" s="6"/>
      <c r="M360" s="6"/>
      <c r="N360" s="6"/>
      <c r="O360" s="6"/>
      <c r="P360" s="6"/>
      <c r="Q360" s="6"/>
      <c r="R360" s="6"/>
      <c r="S360" s="6"/>
    </row>
    <row r="361" spans="1:19">
      <c r="A361" s="83"/>
      <c r="B361" s="82"/>
      <c r="C361" s="82"/>
      <c r="D361" s="82"/>
      <c r="E361" s="82"/>
      <c r="F361" s="83"/>
      <c r="G361" s="83"/>
      <c r="H361" s="83"/>
      <c r="I361" s="6"/>
      <c r="J361" s="6"/>
      <c r="K361" s="6"/>
      <c r="L361" s="6"/>
      <c r="M361" s="6"/>
      <c r="N361" s="6"/>
      <c r="O361" s="6"/>
      <c r="P361" s="6"/>
      <c r="Q361" s="6"/>
      <c r="R361" s="6"/>
      <c r="S361" s="6"/>
    </row>
    <row r="362" spans="1:19">
      <c r="A362" s="83"/>
      <c r="B362" s="82"/>
      <c r="C362" s="82"/>
      <c r="D362" s="82"/>
      <c r="E362" s="82"/>
      <c r="F362" s="83"/>
      <c r="G362" s="83"/>
      <c r="H362" s="83"/>
      <c r="I362" s="6"/>
      <c r="J362" s="6"/>
      <c r="K362" s="6"/>
      <c r="L362" s="6"/>
      <c r="M362" s="6"/>
      <c r="N362" s="6"/>
      <c r="O362" s="6"/>
      <c r="P362" s="6"/>
      <c r="Q362" s="6"/>
      <c r="R362" s="6"/>
      <c r="S362" s="6"/>
    </row>
    <row r="363" spans="1:19">
      <c r="A363" s="83"/>
      <c r="B363" s="82"/>
      <c r="C363" s="82"/>
      <c r="D363" s="82"/>
      <c r="E363" s="82"/>
      <c r="F363" s="83"/>
      <c r="G363" s="83"/>
      <c r="H363" s="83"/>
      <c r="I363" s="6"/>
      <c r="J363" s="6"/>
      <c r="K363" s="6"/>
      <c r="L363" s="6"/>
      <c r="M363" s="6"/>
      <c r="N363" s="6"/>
      <c r="O363" s="6"/>
      <c r="P363" s="6"/>
      <c r="Q363" s="6"/>
      <c r="R363" s="6"/>
      <c r="S363" s="6"/>
    </row>
    <row r="364" spans="1:19">
      <c r="A364" s="83"/>
      <c r="B364" s="82"/>
      <c r="C364" s="82"/>
      <c r="D364" s="82"/>
      <c r="E364" s="82"/>
      <c r="F364" s="83"/>
      <c r="G364" s="83"/>
      <c r="H364" s="83"/>
      <c r="I364" s="6"/>
      <c r="J364" s="6"/>
      <c r="K364" s="6"/>
      <c r="L364" s="6"/>
      <c r="M364" s="6"/>
      <c r="N364" s="6"/>
      <c r="O364" s="6"/>
      <c r="P364" s="6"/>
      <c r="Q364" s="6"/>
      <c r="R364" s="6"/>
      <c r="S364" s="6"/>
    </row>
    <row r="365" spans="1:19">
      <c r="A365" s="83"/>
      <c r="B365" s="82"/>
      <c r="C365" s="82"/>
      <c r="D365" s="82"/>
      <c r="E365" s="82"/>
      <c r="F365" s="83"/>
      <c r="G365" s="83"/>
      <c r="H365" s="83"/>
      <c r="I365" s="6"/>
      <c r="J365" s="6"/>
      <c r="K365" s="6"/>
      <c r="L365" s="6"/>
      <c r="M365" s="6"/>
      <c r="N365" s="6"/>
      <c r="O365" s="6"/>
      <c r="P365" s="6"/>
      <c r="Q365" s="6"/>
      <c r="R365" s="6"/>
      <c r="S365" s="6"/>
    </row>
    <row r="366" spans="1:19">
      <c r="A366" s="83"/>
      <c r="B366" s="82"/>
      <c r="C366" s="82"/>
      <c r="D366" s="82"/>
      <c r="E366" s="82"/>
      <c r="F366" s="83"/>
      <c r="G366" s="83"/>
      <c r="H366" s="83"/>
      <c r="I366" s="6"/>
      <c r="J366" s="6"/>
      <c r="K366" s="6"/>
      <c r="L366" s="6"/>
      <c r="M366" s="6"/>
      <c r="N366" s="6"/>
      <c r="O366" s="6"/>
      <c r="P366" s="6"/>
      <c r="Q366" s="6"/>
      <c r="R366" s="6"/>
      <c r="S366" s="6"/>
    </row>
    <row r="367" spans="1:19">
      <c r="A367" s="83"/>
      <c r="B367" s="82"/>
      <c r="C367" s="82"/>
      <c r="D367" s="82"/>
      <c r="E367" s="82"/>
      <c r="F367" s="83"/>
      <c r="G367" s="83"/>
      <c r="H367" s="83"/>
      <c r="I367" s="6"/>
      <c r="J367" s="6"/>
      <c r="K367" s="6"/>
      <c r="L367" s="6"/>
      <c r="M367" s="6"/>
      <c r="N367" s="6"/>
      <c r="O367" s="6"/>
      <c r="P367" s="6"/>
      <c r="Q367" s="6"/>
      <c r="R367" s="6"/>
      <c r="S367" s="6"/>
    </row>
    <row r="368" spans="1:19">
      <c r="A368" s="83"/>
      <c r="B368" s="82"/>
      <c r="C368" s="82"/>
      <c r="D368" s="82"/>
      <c r="E368" s="82"/>
      <c r="F368" s="83"/>
      <c r="G368" s="83"/>
      <c r="H368" s="83"/>
      <c r="I368" s="6"/>
      <c r="J368" s="6"/>
      <c r="K368" s="6"/>
      <c r="L368" s="6"/>
      <c r="M368" s="6"/>
      <c r="N368" s="6"/>
      <c r="O368" s="6"/>
      <c r="P368" s="6"/>
      <c r="Q368" s="6"/>
      <c r="R368" s="6"/>
      <c r="S368" s="6"/>
    </row>
    <row r="369" spans="1:19">
      <c r="A369" s="83"/>
      <c r="B369" s="82"/>
      <c r="C369" s="82"/>
      <c r="D369" s="82"/>
      <c r="E369" s="82"/>
      <c r="F369" s="83"/>
      <c r="G369" s="83"/>
      <c r="H369" s="83"/>
      <c r="I369" s="6"/>
      <c r="J369" s="6"/>
      <c r="K369" s="6"/>
      <c r="L369" s="6"/>
      <c r="M369" s="6"/>
      <c r="N369" s="6"/>
      <c r="O369" s="6"/>
      <c r="P369" s="6"/>
      <c r="Q369" s="6"/>
      <c r="R369" s="6"/>
      <c r="S369" s="6"/>
    </row>
    <row r="370" spans="1:19">
      <c r="A370" s="83"/>
      <c r="B370" s="82"/>
      <c r="C370" s="82"/>
      <c r="D370" s="82"/>
      <c r="E370" s="82"/>
      <c r="F370" s="83"/>
      <c r="G370" s="83"/>
      <c r="H370" s="83"/>
      <c r="I370" s="6"/>
      <c r="J370" s="6"/>
      <c r="K370" s="6"/>
      <c r="L370" s="6"/>
      <c r="M370" s="6"/>
      <c r="N370" s="6"/>
      <c r="O370" s="6"/>
      <c r="P370" s="6"/>
      <c r="Q370" s="6"/>
      <c r="R370" s="6"/>
      <c r="S370" s="6"/>
    </row>
    <row r="371" spans="1:19">
      <c r="A371" s="83"/>
      <c r="B371" s="82"/>
      <c r="C371" s="82"/>
      <c r="D371" s="82"/>
      <c r="E371" s="82"/>
      <c r="F371" s="83"/>
      <c r="G371" s="83"/>
      <c r="H371" s="83"/>
      <c r="I371" s="6"/>
      <c r="J371" s="6"/>
      <c r="K371" s="6"/>
      <c r="L371" s="6"/>
      <c r="M371" s="6"/>
      <c r="N371" s="6"/>
      <c r="O371" s="6"/>
      <c r="P371" s="6"/>
      <c r="Q371" s="6"/>
      <c r="R371" s="6"/>
      <c r="S371" s="6"/>
    </row>
    <row r="372" spans="1:19">
      <c r="A372" s="83"/>
      <c r="B372" s="82"/>
      <c r="C372" s="82"/>
      <c r="D372" s="82"/>
      <c r="E372" s="82"/>
      <c r="F372" s="83"/>
      <c r="G372" s="83"/>
      <c r="H372" s="83"/>
      <c r="I372" s="6"/>
      <c r="J372" s="6"/>
      <c r="K372" s="6"/>
      <c r="L372" s="6"/>
      <c r="M372" s="6"/>
      <c r="N372" s="6"/>
      <c r="O372" s="6"/>
      <c r="P372" s="6"/>
      <c r="Q372" s="6"/>
      <c r="R372" s="6"/>
      <c r="S372" s="6"/>
    </row>
    <row r="373" spans="1:19">
      <c r="A373" s="83"/>
      <c r="B373" s="82"/>
      <c r="C373" s="82"/>
      <c r="D373" s="82"/>
      <c r="E373" s="82"/>
      <c r="F373" s="83"/>
      <c r="G373" s="83"/>
      <c r="H373" s="83"/>
      <c r="I373" s="6"/>
      <c r="J373" s="6"/>
      <c r="K373" s="6"/>
      <c r="L373" s="6"/>
      <c r="M373" s="6"/>
      <c r="N373" s="6"/>
      <c r="O373" s="6"/>
      <c r="P373" s="6"/>
      <c r="Q373" s="6"/>
      <c r="R373" s="6"/>
      <c r="S373" s="6"/>
    </row>
    <row r="374" spans="1:19">
      <c r="A374" s="83"/>
      <c r="B374" s="82"/>
      <c r="C374" s="82"/>
      <c r="D374" s="82"/>
      <c r="E374" s="82"/>
      <c r="F374" s="83"/>
      <c r="G374" s="83"/>
      <c r="H374" s="83"/>
      <c r="I374" s="6"/>
      <c r="J374" s="6"/>
      <c r="K374" s="6"/>
      <c r="L374" s="6"/>
      <c r="M374" s="6"/>
      <c r="N374" s="6"/>
      <c r="O374" s="6"/>
      <c r="P374" s="6"/>
      <c r="Q374" s="6"/>
      <c r="R374" s="6"/>
      <c r="S374" s="6"/>
    </row>
    <row r="375" spans="1:19">
      <c r="A375" s="83"/>
      <c r="B375" s="82"/>
      <c r="C375" s="82"/>
      <c r="D375" s="82"/>
      <c r="E375" s="82"/>
      <c r="F375" s="83"/>
      <c r="G375" s="83"/>
      <c r="H375" s="83"/>
      <c r="I375" s="6"/>
      <c r="J375" s="6"/>
      <c r="K375" s="6"/>
      <c r="L375" s="6"/>
      <c r="M375" s="6"/>
      <c r="N375" s="6"/>
      <c r="O375" s="6"/>
      <c r="P375" s="6"/>
      <c r="Q375" s="6"/>
      <c r="R375" s="6"/>
      <c r="S375" s="6"/>
    </row>
    <row r="376" spans="1:19">
      <c r="A376" s="83"/>
      <c r="B376" s="82"/>
      <c r="C376" s="82"/>
      <c r="D376" s="82"/>
      <c r="E376" s="82"/>
      <c r="F376" s="83"/>
      <c r="G376" s="83"/>
      <c r="H376" s="83"/>
      <c r="I376" s="6"/>
      <c r="J376" s="6"/>
      <c r="K376" s="6"/>
      <c r="L376" s="6"/>
      <c r="M376" s="6"/>
      <c r="N376" s="6"/>
      <c r="O376" s="6"/>
      <c r="P376" s="6"/>
      <c r="Q376" s="6"/>
      <c r="R376" s="6"/>
      <c r="S376" s="6"/>
    </row>
    <row r="377" spans="1:19">
      <c r="A377" s="83"/>
      <c r="B377" s="82"/>
      <c r="C377" s="82"/>
      <c r="D377" s="82"/>
      <c r="E377" s="82"/>
      <c r="F377" s="83"/>
      <c r="G377" s="83"/>
      <c r="H377" s="83"/>
      <c r="I377" s="6"/>
      <c r="J377" s="6"/>
      <c r="K377" s="6"/>
      <c r="L377" s="6"/>
      <c r="M377" s="6"/>
      <c r="N377" s="6"/>
      <c r="O377" s="6"/>
      <c r="P377" s="6"/>
      <c r="Q377" s="6"/>
      <c r="R377" s="6"/>
      <c r="S377" s="6"/>
    </row>
    <row r="378" spans="1:19">
      <c r="A378" s="83"/>
      <c r="B378" s="82"/>
      <c r="C378" s="82"/>
      <c r="D378" s="82"/>
      <c r="E378" s="82"/>
      <c r="F378" s="83"/>
      <c r="G378" s="83"/>
      <c r="H378" s="83"/>
      <c r="I378" s="6"/>
      <c r="J378" s="6"/>
      <c r="K378" s="6"/>
      <c r="L378" s="6"/>
      <c r="M378" s="6"/>
      <c r="N378" s="6"/>
      <c r="O378" s="6"/>
      <c r="P378" s="6"/>
      <c r="Q378" s="6"/>
      <c r="R378" s="6"/>
      <c r="S378" s="6"/>
    </row>
    <row r="379" spans="1:19">
      <c r="A379" s="83"/>
      <c r="B379" s="82"/>
      <c r="C379" s="82"/>
      <c r="D379" s="82"/>
      <c r="E379" s="82"/>
      <c r="F379" s="83"/>
      <c r="G379" s="83"/>
      <c r="H379" s="83"/>
      <c r="I379" s="6"/>
      <c r="J379" s="6"/>
      <c r="K379" s="6"/>
      <c r="L379" s="6"/>
      <c r="M379" s="6"/>
      <c r="N379" s="6"/>
      <c r="O379" s="6"/>
      <c r="P379" s="6"/>
      <c r="Q379" s="6"/>
      <c r="R379" s="6"/>
      <c r="S379" s="6"/>
    </row>
    <row r="380" spans="1:19">
      <c r="A380" s="83"/>
      <c r="B380" s="82"/>
      <c r="C380" s="82"/>
      <c r="D380" s="82"/>
      <c r="E380" s="82"/>
      <c r="F380" s="83"/>
      <c r="G380" s="83"/>
      <c r="H380" s="83"/>
      <c r="I380" s="6"/>
      <c r="J380" s="6"/>
      <c r="K380" s="6"/>
      <c r="L380" s="6"/>
      <c r="M380" s="6"/>
      <c r="N380" s="6"/>
      <c r="O380" s="6"/>
      <c r="P380" s="6"/>
      <c r="Q380" s="6"/>
      <c r="R380" s="6"/>
      <c r="S380" s="6"/>
    </row>
    <row r="381" spans="1:19">
      <c r="A381" s="83"/>
      <c r="B381" s="82"/>
      <c r="C381" s="82"/>
      <c r="D381" s="82"/>
      <c r="E381" s="82"/>
      <c r="F381" s="83"/>
      <c r="G381" s="83"/>
      <c r="H381" s="83"/>
      <c r="I381" s="6"/>
      <c r="J381" s="6"/>
      <c r="K381" s="6"/>
      <c r="L381" s="6"/>
      <c r="M381" s="6"/>
      <c r="N381" s="6"/>
      <c r="O381" s="6"/>
      <c r="P381" s="6"/>
      <c r="Q381" s="6"/>
      <c r="R381" s="6"/>
      <c r="S381" s="6"/>
    </row>
    <row r="382" spans="1:19">
      <c r="A382" s="83"/>
      <c r="B382" s="82"/>
      <c r="C382" s="82"/>
      <c r="D382" s="82"/>
      <c r="E382" s="82"/>
      <c r="F382" s="83"/>
      <c r="G382" s="83"/>
      <c r="H382" s="83"/>
      <c r="I382" s="6"/>
      <c r="J382" s="6"/>
      <c r="K382" s="6"/>
      <c r="L382" s="6"/>
      <c r="M382" s="6"/>
      <c r="N382" s="6"/>
      <c r="O382" s="6"/>
      <c r="P382" s="6"/>
      <c r="Q382" s="6"/>
      <c r="R382" s="6"/>
      <c r="S382" s="6"/>
    </row>
    <row r="383" spans="1:19">
      <c r="A383" s="83"/>
      <c r="B383" s="82"/>
      <c r="C383" s="82"/>
      <c r="D383" s="82"/>
      <c r="E383" s="82"/>
      <c r="F383" s="83"/>
      <c r="G383" s="83"/>
      <c r="H383" s="83"/>
      <c r="I383" s="6"/>
      <c r="J383" s="6"/>
      <c r="K383" s="6"/>
      <c r="L383" s="6"/>
      <c r="M383" s="6"/>
      <c r="N383" s="6"/>
      <c r="O383" s="6"/>
      <c r="P383" s="6"/>
      <c r="Q383" s="6"/>
      <c r="R383" s="6"/>
      <c r="S383" s="6"/>
    </row>
    <row r="384" spans="1:19">
      <c r="A384" s="83"/>
      <c r="B384" s="82"/>
      <c r="C384" s="82"/>
      <c r="D384" s="82"/>
      <c r="E384" s="82"/>
      <c r="F384" s="83"/>
      <c r="G384" s="83"/>
      <c r="H384" s="83"/>
      <c r="I384" s="6"/>
      <c r="J384" s="6"/>
      <c r="K384" s="6"/>
      <c r="L384" s="6"/>
      <c r="M384" s="6"/>
      <c r="N384" s="6"/>
      <c r="O384" s="6"/>
      <c r="P384" s="6"/>
      <c r="Q384" s="6"/>
      <c r="R384" s="6"/>
      <c r="S384" s="6"/>
    </row>
    <row r="385" spans="1:19">
      <c r="A385" s="83"/>
      <c r="B385" s="82"/>
      <c r="C385" s="82"/>
      <c r="D385" s="82"/>
      <c r="E385" s="82"/>
      <c r="F385" s="83"/>
      <c r="G385" s="83"/>
      <c r="H385" s="83"/>
      <c r="I385" s="6"/>
      <c r="J385" s="6"/>
      <c r="K385" s="6"/>
      <c r="L385" s="6"/>
      <c r="M385" s="6"/>
      <c r="N385" s="6"/>
      <c r="O385" s="6"/>
      <c r="P385" s="6"/>
      <c r="Q385" s="6"/>
      <c r="R385" s="6"/>
      <c r="S385" s="6"/>
    </row>
    <row r="386" spans="1:19">
      <c r="A386" s="83"/>
      <c r="B386" s="82"/>
      <c r="C386" s="82"/>
      <c r="D386" s="82"/>
      <c r="E386" s="82"/>
      <c r="F386" s="83"/>
      <c r="G386" s="83"/>
      <c r="H386" s="83"/>
      <c r="I386" s="6"/>
      <c r="J386" s="6"/>
      <c r="K386" s="6"/>
      <c r="L386" s="6"/>
      <c r="M386" s="6"/>
      <c r="N386" s="6"/>
      <c r="O386" s="6"/>
      <c r="P386" s="6"/>
      <c r="Q386" s="6"/>
      <c r="R386" s="6"/>
      <c r="S386" s="6"/>
    </row>
    <row r="387" spans="1:19">
      <c r="A387" s="83"/>
      <c r="B387" s="82"/>
      <c r="C387" s="82"/>
      <c r="D387" s="82"/>
      <c r="E387" s="82"/>
      <c r="F387" s="83"/>
      <c r="G387" s="83"/>
      <c r="H387" s="83"/>
      <c r="I387" s="6"/>
      <c r="J387" s="6"/>
      <c r="K387" s="6"/>
      <c r="L387" s="6"/>
      <c r="M387" s="6"/>
      <c r="N387" s="6"/>
      <c r="O387" s="6"/>
      <c r="P387" s="6"/>
      <c r="Q387" s="6"/>
      <c r="R387" s="6"/>
      <c r="S387" s="6"/>
    </row>
    <row r="388" spans="1:19">
      <c r="A388" s="83"/>
      <c r="B388" s="82"/>
      <c r="C388" s="82"/>
      <c r="D388" s="82"/>
      <c r="E388" s="82"/>
      <c r="F388" s="83"/>
      <c r="G388" s="83"/>
      <c r="H388" s="83"/>
      <c r="I388" s="6"/>
      <c r="J388" s="6"/>
      <c r="K388" s="6"/>
      <c r="L388" s="6"/>
      <c r="M388" s="6"/>
      <c r="N388" s="6"/>
      <c r="O388" s="6"/>
      <c r="P388" s="6"/>
      <c r="Q388" s="6"/>
      <c r="R388" s="6"/>
      <c r="S388" s="6"/>
    </row>
    <row r="389" spans="1:19">
      <c r="A389" s="83"/>
      <c r="B389" s="82"/>
      <c r="C389" s="82"/>
      <c r="D389" s="82"/>
      <c r="E389" s="82"/>
      <c r="F389" s="83"/>
      <c r="G389" s="83"/>
      <c r="H389" s="83"/>
      <c r="I389" s="6"/>
      <c r="J389" s="6"/>
      <c r="K389" s="6"/>
      <c r="L389" s="6"/>
      <c r="M389" s="6"/>
      <c r="N389" s="6"/>
      <c r="O389" s="6"/>
      <c r="P389" s="6"/>
      <c r="Q389" s="6"/>
      <c r="R389" s="6"/>
      <c r="S389" s="6"/>
    </row>
    <row r="390" spans="1:19">
      <c r="A390" s="83"/>
      <c r="B390" s="82"/>
      <c r="C390" s="82"/>
      <c r="D390" s="82"/>
      <c r="E390" s="82"/>
      <c r="F390" s="83"/>
      <c r="G390" s="83"/>
      <c r="H390" s="83"/>
      <c r="I390" s="6"/>
      <c r="J390" s="6"/>
      <c r="K390" s="6"/>
      <c r="L390" s="6"/>
      <c r="M390" s="6"/>
      <c r="N390" s="6"/>
      <c r="O390" s="6"/>
      <c r="P390" s="6"/>
      <c r="Q390" s="6"/>
      <c r="R390" s="6"/>
      <c r="S390" s="6"/>
    </row>
    <row r="391" spans="1:19">
      <c r="A391" s="83"/>
      <c r="B391" s="82"/>
      <c r="C391" s="82"/>
      <c r="D391" s="82"/>
      <c r="E391" s="82"/>
      <c r="F391" s="83"/>
      <c r="G391" s="83"/>
      <c r="H391" s="83"/>
      <c r="I391" s="6"/>
      <c r="J391" s="6"/>
      <c r="K391" s="6"/>
      <c r="L391" s="6"/>
      <c r="M391" s="6"/>
      <c r="N391" s="6"/>
      <c r="O391" s="6"/>
      <c r="P391" s="6"/>
      <c r="Q391" s="6"/>
      <c r="R391" s="6"/>
      <c r="S391" s="6"/>
    </row>
    <row r="392" spans="1:19">
      <c r="A392" s="83"/>
      <c r="B392" s="82"/>
      <c r="C392" s="82"/>
      <c r="D392" s="82"/>
      <c r="E392" s="82"/>
      <c r="F392" s="83"/>
      <c r="G392" s="83"/>
      <c r="H392" s="83"/>
      <c r="I392" s="6"/>
      <c r="J392" s="6"/>
      <c r="K392" s="6"/>
      <c r="L392" s="6"/>
      <c r="M392" s="6"/>
      <c r="N392" s="6"/>
      <c r="O392" s="6"/>
      <c r="P392" s="6"/>
      <c r="Q392" s="6"/>
      <c r="R392" s="6"/>
      <c r="S392" s="6"/>
    </row>
    <row r="393" spans="1:19">
      <c r="A393" s="83"/>
      <c r="B393" s="82"/>
      <c r="C393" s="82"/>
      <c r="D393" s="82"/>
      <c r="E393" s="82"/>
      <c r="F393" s="83"/>
      <c r="G393" s="83"/>
      <c r="H393" s="83"/>
      <c r="I393" s="6"/>
      <c r="J393" s="6"/>
      <c r="K393" s="6"/>
      <c r="L393" s="6"/>
      <c r="M393" s="6"/>
      <c r="N393" s="6"/>
      <c r="O393" s="6"/>
      <c r="P393" s="6"/>
      <c r="Q393" s="6"/>
      <c r="R393" s="6"/>
      <c r="S393" s="6"/>
    </row>
    <row r="394" spans="1:19">
      <c r="A394" s="83"/>
      <c r="B394" s="82"/>
      <c r="C394" s="82"/>
      <c r="D394" s="82"/>
      <c r="E394" s="82"/>
      <c r="F394" s="83"/>
      <c r="G394" s="83"/>
      <c r="H394" s="83"/>
      <c r="I394" s="6"/>
      <c r="J394" s="6"/>
      <c r="K394" s="6"/>
      <c r="L394" s="6"/>
      <c r="M394" s="6"/>
      <c r="N394" s="6"/>
      <c r="O394" s="6"/>
      <c r="P394" s="6"/>
      <c r="Q394" s="6"/>
      <c r="R394" s="6"/>
      <c r="S394" s="6"/>
    </row>
    <row r="395" spans="1:19">
      <c r="A395" s="83"/>
      <c r="B395" s="82"/>
      <c r="C395" s="82"/>
      <c r="D395" s="82"/>
      <c r="E395" s="82"/>
      <c r="F395" s="83"/>
      <c r="G395" s="83"/>
      <c r="H395" s="83"/>
      <c r="I395" s="6"/>
      <c r="J395" s="6"/>
      <c r="K395" s="6"/>
      <c r="L395" s="6"/>
      <c r="M395" s="6"/>
      <c r="N395" s="6"/>
      <c r="O395" s="6"/>
      <c r="P395" s="6"/>
      <c r="Q395" s="6"/>
      <c r="R395" s="6"/>
      <c r="S395" s="6"/>
    </row>
    <row r="396" spans="1:19">
      <c r="A396" s="83"/>
      <c r="B396" s="82"/>
      <c r="C396" s="82"/>
      <c r="D396" s="82"/>
      <c r="E396" s="82"/>
      <c r="F396" s="83"/>
      <c r="G396" s="83"/>
      <c r="H396" s="83"/>
      <c r="I396" s="6"/>
      <c r="J396" s="6"/>
      <c r="K396" s="6"/>
      <c r="L396" s="6"/>
      <c r="M396" s="6"/>
      <c r="N396" s="6"/>
      <c r="O396" s="6"/>
      <c r="P396" s="6"/>
      <c r="Q396" s="6"/>
      <c r="R396" s="6"/>
      <c r="S396" s="6"/>
    </row>
    <row r="397" spans="1:19">
      <c r="A397" s="83"/>
      <c r="B397" s="82"/>
      <c r="C397" s="82"/>
      <c r="D397" s="82"/>
      <c r="E397" s="82"/>
      <c r="F397" s="83"/>
      <c r="G397" s="83"/>
      <c r="H397" s="83"/>
      <c r="I397" s="6"/>
      <c r="J397" s="6"/>
      <c r="K397" s="6"/>
      <c r="L397" s="6"/>
      <c r="M397" s="6"/>
      <c r="N397" s="6"/>
      <c r="O397" s="6"/>
      <c r="P397" s="6"/>
      <c r="Q397" s="6"/>
      <c r="R397" s="6"/>
      <c r="S397" s="6"/>
    </row>
    <row r="398" spans="1:19">
      <c r="A398" s="83"/>
      <c r="B398" s="82"/>
      <c r="C398" s="82"/>
      <c r="D398" s="82"/>
      <c r="E398" s="82"/>
      <c r="F398" s="83"/>
      <c r="G398" s="83"/>
      <c r="H398" s="83"/>
      <c r="I398" s="6"/>
      <c r="J398" s="6"/>
      <c r="K398" s="6"/>
      <c r="L398" s="6"/>
      <c r="M398" s="6"/>
      <c r="N398" s="6"/>
      <c r="O398" s="6"/>
      <c r="P398" s="6"/>
      <c r="Q398" s="6"/>
      <c r="R398" s="6"/>
      <c r="S398" s="6"/>
    </row>
    <row r="399" spans="1:19">
      <c r="A399" s="83"/>
      <c r="B399" s="82"/>
      <c r="C399" s="82"/>
      <c r="D399" s="82"/>
      <c r="E399" s="82"/>
      <c r="F399" s="83"/>
      <c r="G399" s="83"/>
      <c r="H399" s="83"/>
      <c r="I399" s="6"/>
      <c r="J399" s="6"/>
      <c r="K399" s="6"/>
      <c r="L399" s="6"/>
      <c r="M399" s="6"/>
      <c r="N399" s="6"/>
      <c r="O399" s="6"/>
      <c r="P399" s="6"/>
      <c r="Q399" s="6"/>
      <c r="R399" s="6"/>
      <c r="S399" s="6"/>
    </row>
    <row r="400" spans="1:19">
      <c r="A400" s="83"/>
      <c r="B400" s="82"/>
      <c r="C400" s="82"/>
      <c r="D400" s="82"/>
      <c r="E400" s="82"/>
      <c r="F400" s="83"/>
      <c r="G400" s="83"/>
      <c r="H400" s="83"/>
      <c r="I400" s="6"/>
      <c r="J400" s="6"/>
      <c r="K400" s="6"/>
      <c r="L400" s="6"/>
      <c r="M400" s="6"/>
      <c r="N400" s="6"/>
      <c r="O400" s="6"/>
      <c r="P400" s="6"/>
      <c r="Q400" s="6"/>
      <c r="R400" s="6"/>
      <c r="S400" s="6"/>
    </row>
    <row r="401" spans="1:19">
      <c r="A401" s="83"/>
      <c r="B401" s="82"/>
      <c r="C401" s="82"/>
      <c r="D401" s="82"/>
      <c r="E401" s="82"/>
      <c r="F401" s="83"/>
      <c r="G401" s="83"/>
      <c r="H401" s="83"/>
      <c r="I401" s="6"/>
      <c r="J401" s="6"/>
      <c r="K401" s="6"/>
      <c r="L401" s="6"/>
      <c r="M401" s="6"/>
      <c r="N401" s="6"/>
      <c r="O401" s="6"/>
      <c r="P401" s="6"/>
      <c r="Q401" s="6"/>
      <c r="R401" s="6"/>
      <c r="S401" s="6"/>
    </row>
    <row r="402" spans="1:19">
      <c r="A402" s="83"/>
      <c r="B402" s="82"/>
      <c r="C402" s="82"/>
      <c r="D402" s="82"/>
      <c r="E402" s="82"/>
      <c r="F402" s="83"/>
      <c r="G402" s="83"/>
      <c r="H402" s="83"/>
      <c r="I402" s="6"/>
      <c r="J402" s="6"/>
      <c r="K402" s="6"/>
      <c r="L402" s="6"/>
      <c r="M402" s="6"/>
      <c r="N402" s="6"/>
      <c r="O402" s="6"/>
      <c r="P402" s="6"/>
      <c r="Q402" s="6"/>
      <c r="R402" s="6"/>
      <c r="S402" s="6"/>
    </row>
    <row r="403" spans="1:19">
      <c r="A403" s="83"/>
      <c r="B403" s="82"/>
      <c r="C403" s="82"/>
      <c r="D403" s="82"/>
      <c r="E403" s="82"/>
      <c r="F403" s="83"/>
      <c r="G403" s="83"/>
      <c r="H403" s="83"/>
      <c r="I403" s="6"/>
      <c r="J403" s="6"/>
      <c r="K403" s="6"/>
      <c r="L403" s="6"/>
      <c r="M403" s="6"/>
      <c r="N403" s="6"/>
      <c r="O403" s="6"/>
      <c r="P403" s="6"/>
      <c r="Q403" s="6"/>
      <c r="R403" s="6"/>
      <c r="S403" s="6"/>
    </row>
    <row r="404" spans="1:19">
      <c r="A404" s="83"/>
      <c r="B404" s="82"/>
      <c r="C404" s="82"/>
      <c r="D404" s="82"/>
      <c r="E404" s="82"/>
      <c r="F404" s="83"/>
      <c r="G404" s="83"/>
      <c r="H404" s="83"/>
      <c r="I404" s="6"/>
      <c r="J404" s="6"/>
      <c r="K404" s="6"/>
      <c r="L404" s="6"/>
      <c r="M404" s="6"/>
      <c r="N404" s="6"/>
      <c r="O404" s="6"/>
      <c r="P404" s="6"/>
      <c r="Q404" s="6"/>
      <c r="R404" s="6"/>
      <c r="S404" s="6"/>
    </row>
    <row r="405" spans="1:19">
      <c r="A405" s="83"/>
      <c r="B405" s="82"/>
      <c r="C405" s="82"/>
      <c r="D405" s="82"/>
      <c r="E405" s="82"/>
      <c r="F405" s="83"/>
      <c r="G405" s="83"/>
      <c r="H405" s="83"/>
      <c r="I405" s="6"/>
      <c r="J405" s="6"/>
      <c r="K405" s="6"/>
      <c r="L405" s="6"/>
      <c r="M405" s="6"/>
      <c r="N405" s="6"/>
      <c r="O405" s="6"/>
      <c r="P405" s="6"/>
      <c r="Q405" s="6"/>
      <c r="R405" s="6"/>
      <c r="S405" s="6"/>
    </row>
    <row r="406" spans="1:19">
      <c r="A406" s="83"/>
      <c r="B406" s="82"/>
      <c r="C406" s="82"/>
      <c r="D406" s="82"/>
      <c r="E406" s="82"/>
      <c r="F406" s="83"/>
      <c r="G406" s="83"/>
      <c r="H406" s="83"/>
      <c r="I406" s="6"/>
      <c r="J406" s="6"/>
      <c r="K406" s="6"/>
      <c r="L406" s="6"/>
      <c r="M406" s="6"/>
      <c r="N406" s="6"/>
      <c r="O406" s="6"/>
      <c r="P406" s="6"/>
      <c r="Q406" s="6"/>
      <c r="R406" s="6"/>
      <c r="S406" s="6"/>
    </row>
    <row r="407" spans="1:19">
      <c r="A407" s="83"/>
      <c r="B407" s="82"/>
      <c r="C407" s="82"/>
      <c r="D407" s="82"/>
      <c r="E407" s="82"/>
      <c r="F407" s="83"/>
      <c r="G407" s="83"/>
      <c r="H407" s="83"/>
      <c r="I407" s="6"/>
      <c r="J407" s="6"/>
      <c r="K407" s="6"/>
      <c r="L407" s="6"/>
      <c r="M407" s="6"/>
      <c r="N407" s="6"/>
      <c r="O407" s="6"/>
      <c r="P407" s="6"/>
      <c r="Q407" s="6"/>
      <c r="R407" s="6"/>
      <c r="S407" s="6"/>
    </row>
    <row r="408" spans="1:19">
      <c r="A408" s="83"/>
      <c r="B408" s="82"/>
      <c r="C408" s="82"/>
      <c r="D408" s="82"/>
      <c r="E408" s="82"/>
      <c r="F408" s="83"/>
      <c r="G408" s="83"/>
      <c r="H408" s="83"/>
      <c r="I408" s="6"/>
      <c r="J408" s="6"/>
      <c r="K408" s="6"/>
      <c r="L408" s="6"/>
      <c r="M408" s="6"/>
      <c r="N408" s="6"/>
      <c r="O408" s="6"/>
      <c r="P408" s="6"/>
      <c r="Q408" s="6"/>
      <c r="R408" s="6"/>
      <c r="S408" s="6"/>
    </row>
    <row r="409" spans="1:19">
      <c r="A409" s="83"/>
      <c r="B409" s="82"/>
      <c r="C409" s="82"/>
      <c r="D409" s="82"/>
      <c r="E409" s="82"/>
      <c r="F409" s="83"/>
      <c r="G409" s="83"/>
      <c r="H409" s="83"/>
      <c r="I409" s="6"/>
      <c r="J409" s="6"/>
      <c r="K409" s="6"/>
      <c r="L409" s="6"/>
      <c r="M409" s="6"/>
      <c r="N409" s="6"/>
      <c r="O409" s="6"/>
      <c r="P409" s="6"/>
      <c r="Q409" s="6"/>
      <c r="R409" s="6"/>
      <c r="S409" s="6"/>
    </row>
    <row r="410" spans="1:19">
      <c r="A410" s="83"/>
      <c r="B410" s="82"/>
      <c r="C410" s="82"/>
      <c r="D410" s="82"/>
      <c r="E410" s="82"/>
      <c r="F410" s="83"/>
      <c r="G410" s="83"/>
      <c r="H410" s="83"/>
      <c r="I410" s="6"/>
      <c r="J410" s="6"/>
      <c r="K410" s="6"/>
      <c r="L410" s="6"/>
      <c r="M410" s="6"/>
      <c r="N410" s="6"/>
      <c r="O410" s="6"/>
      <c r="P410" s="6"/>
      <c r="Q410" s="6"/>
      <c r="R410" s="6"/>
      <c r="S410" s="6"/>
    </row>
    <row r="411" spans="1:19">
      <c r="A411" s="83"/>
      <c r="B411" s="82"/>
      <c r="C411" s="82"/>
      <c r="D411" s="82"/>
      <c r="E411" s="82"/>
      <c r="F411" s="83"/>
      <c r="G411" s="83"/>
      <c r="H411" s="83"/>
      <c r="I411" s="6"/>
      <c r="J411" s="6"/>
      <c r="K411" s="6"/>
      <c r="L411" s="6"/>
      <c r="M411" s="6"/>
      <c r="N411" s="6"/>
      <c r="O411" s="6"/>
      <c r="P411" s="6"/>
      <c r="Q411" s="6"/>
      <c r="R411" s="6"/>
      <c r="S411" s="6"/>
    </row>
    <row r="412" spans="1:19">
      <c r="A412" s="83"/>
      <c r="B412" s="82"/>
      <c r="C412" s="82"/>
      <c r="D412" s="82"/>
      <c r="E412" s="82"/>
      <c r="F412" s="83"/>
      <c r="G412" s="83"/>
      <c r="H412" s="83"/>
      <c r="I412" s="6"/>
      <c r="J412" s="6"/>
      <c r="K412" s="6"/>
      <c r="L412" s="6"/>
      <c r="M412" s="6"/>
      <c r="N412" s="6"/>
      <c r="O412" s="6"/>
      <c r="P412" s="6"/>
      <c r="Q412" s="6"/>
      <c r="R412" s="6"/>
      <c r="S412" s="6"/>
    </row>
    <row r="413" spans="1:19">
      <c r="A413" s="83"/>
      <c r="B413" s="82"/>
      <c r="C413" s="82"/>
      <c r="D413" s="82"/>
      <c r="E413" s="82"/>
      <c r="F413" s="83"/>
      <c r="G413" s="83"/>
      <c r="H413" s="83"/>
      <c r="I413" s="6"/>
      <c r="J413" s="6"/>
      <c r="K413" s="6"/>
      <c r="L413" s="6"/>
      <c r="M413" s="6"/>
      <c r="N413" s="6"/>
      <c r="O413" s="6"/>
      <c r="P413" s="6"/>
      <c r="Q413" s="6"/>
      <c r="R413" s="6"/>
      <c r="S413" s="6"/>
    </row>
    <row r="414" spans="1:19">
      <c r="A414" s="83"/>
      <c r="B414" s="82"/>
      <c r="C414" s="82"/>
      <c r="D414" s="82"/>
      <c r="E414" s="82"/>
      <c r="F414" s="83"/>
      <c r="G414" s="83"/>
      <c r="H414" s="83"/>
      <c r="I414" s="6"/>
      <c r="J414" s="6"/>
      <c r="K414" s="6"/>
      <c r="L414" s="6"/>
      <c r="M414" s="6"/>
      <c r="N414" s="6"/>
      <c r="O414" s="6"/>
      <c r="P414" s="6"/>
      <c r="Q414" s="6"/>
      <c r="R414" s="6"/>
      <c r="S414" s="6"/>
    </row>
    <row r="415" spans="1:19">
      <c r="A415" s="83"/>
      <c r="B415" s="82"/>
      <c r="C415" s="82"/>
      <c r="D415" s="82"/>
      <c r="E415" s="82"/>
      <c r="F415" s="83"/>
      <c r="G415" s="83"/>
      <c r="H415" s="83"/>
      <c r="I415" s="6"/>
      <c r="J415" s="6"/>
      <c r="K415" s="6"/>
      <c r="L415" s="6"/>
      <c r="M415" s="6"/>
      <c r="N415" s="6"/>
      <c r="O415" s="6"/>
      <c r="P415" s="6"/>
      <c r="Q415" s="6"/>
      <c r="R415" s="6"/>
      <c r="S415" s="6"/>
    </row>
    <row r="416" spans="1:19">
      <c r="A416" s="83"/>
      <c r="B416" s="82"/>
      <c r="C416" s="82"/>
      <c r="D416" s="82"/>
      <c r="E416" s="82"/>
      <c r="F416" s="83"/>
      <c r="G416" s="83"/>
      <c r="H416" s="83"/>
      <c r="I416" s="6"/>
      <c r="J416" s="6"/>
      <c r="K416" s="6"/>
      <c r="L416" s="6"/>
      <c r="M416" s="6"/>
      <c r="N416" s="6"/>
      <c r="O416" s="6"/>
      <c r="P416" s="6"/>
      <c r="Q416" s="6"/>
      <c r="R416" s="6"/>
      <c r="S416" s="6"/>
    </row>
    <row r="417" spans="1:19">
      <c r="A417" s="83"/>
      <c r="B417" s="82"/>
      <c r="C417" s="82"/>
      <c r="D417" s="82"/>
      <c r="E417" s="82"/>
      <c r="F417" s="83"/>
      <c r="G417" s="83"/>
      <c r="H417" s="83"/>
      <c r="I417" s="6"/>
      <c r="J417" s="6"/>
      <c r="K417" s="6"/>
      <c r="L417" s="6"/>
      <c r="M417" s="6"/>
      <c r="N417" s="6"/>
      <c r="O417" s="6"/>
      <c r="P417" s="6"/>
      <c r="Q417" s="6"/>
      <c r="R417" s="6"/>
      <c r="S417" s="6"/>
    </row>
    <row r="418" spans="1:19">
      <c r="A418" s="83"/>
      <c r="B418" s="82"/>
      <c r="C418" s="82"/>
      <c r="D418" s="82"/>
      <c r="E418" s="82"/>
      <c r="F418" s="83"/>
      <c r="G418" s="83"/>
      <c r="H418" s="83"/>
      <c r="I418" s="6"/>
      <c r="J418" s="6"/>
      <c r="K418" s="6"/>
      <c r="L418" s="6"/>
      <c r="M418" s="6"/>
      <c r="N418" s="6"/>
      <c r="O418" s="6"/>
      <c r="P418" s="6"/>
      <c r="Q418" s="6"/>
      <c r="R418" s="6"/>
      <c r="S418" s="6"/>
    </row>
    <row r="419" spans="1:19">
      <c r="A419" s="83"/>
      <c r="B419" s="82"/>
      <c r="C419" s="82"/>
      <c r="D419" s="82"/>
      <c r="E419" s="82"/>
      <c r="F419" s="83"/>
      <c r="G419" s="83"/>
      <c r="H419" s="83"/>
      <c r="I419" s="6"/>
      <c r="J419" s="6"/>
      <c r="K419" s="6"/>
      <c r="L419" s="6"/>
      <c r="M419" s="6"/>
      <c r="N419" s="6"/>
      <c r="O419" s="6"/>
      <c r="P419" s="6"/>
      <c r="Q419" s="6"/>
      <c r="R419" s="6"/>
      <c r="S419" s="6"/>
    </row>
    <row r="420" spans="1:19">
      <c r="A420" s="83"/>
      <c r="B420" s="82"/>
      <c r="C420" s="82"/>
      <c r="D420" s="82"/>
      <c r="E420" s="82"/>
      <c r="F420" s="83"/>
      <c r="G420" s="83"/>
      <c r="H420" s="83"/>
      <c r="I420" s="6"/>
      <c r="J420" s="6"/>
      <c r="K420" s="6"/>
      <c r="L420" s="6"/>
      <c r="M420" s="6"/>
      <c r="N420" s="6"/>
      <c r="O420" s="6"/>
      <c r="P420" s="6"/>
      <c r="Q420" s="6"/>
      <c r="R420" s="6"/>
      <c r="S420" s="6"/>
    </row>
    <row r="421" spans="1:19">
      <c r="A421" s="83"/>
      <c r="B421" s="82"/>
      <c r="C421" s="82"/>
      <c r="D421" s="82"/>
      <c r="E421" s="82"/>
      <c r="F421" s="83"/>
      <c r="G421" s="83"/>
      <c r="H421" s="83"/>
      <c r="I421" s="6"/>
      <c r="J421" s="6"/>
      <c r="K421" s="6"/>
      <c r="L421" s="6"/>
      <c r="M421" s="6"/>
      <c r="N421" s="6"/>
      <c r="O421" s="6"/>
      <c r="P421" s="6"/>
      <c r="Q421" s="6"/>
      <c r="R421" s="6"/>
      <c r="S421" s="6"/>
    </row>
    <row r="422" spans="1:19">
      <c r="A422" s="83"/>
      <c r="B422" s="82"/>
      <c r="C422" s="82"/>
      <c r="D422" s="82"/>
      <c r="E422" s="82"/>
      <c r="F422" s="83"/>
      <c r="G422" s="83"/>
      <c r="H422" s="83"/>
      <c r="I422" s="6"/>
      <c r="J422" s="6"/>
      <c r="K422" s="6"/>
      <c r="L422" s="6"/>
      <c r="M422" s="6"/>
      <c r="N422" s="6"/>
      <c r="O422" s="6"/>
      <c r="P422" s="6"/>
      <c r="Q422" s="6"/>
      <c r="R422" s="6"/>
      <c r="S422" s="6"/>
    </row>
    <row r="423" spans="1:19">
      <c r="A423" s="83"/>
      <c r="B423" s="82"/>
      <c r="C423" s="82"/>
      <c r="D423" s="82"/>
      <c r="E423" s="82"/>
      <c r="F423" s="83"/>
      <c r="G423" s="83"/>
      <c r="H423" s="83"/>
      <c r="I423" s="6"/>
      <c r="J423" s="6"/>
      <c r="K423" s="6"/>
      <c r="L423" s="6"/>
      <c r="M423" s="6"/>
      <c r="N423" s="6"/>
      <c r="O423" s="6"/>
      <c r="P423" s="6"/>
      <c r="Q423" s="6"/>
      <c r="R423" s="6"/>
      <c r="S423" s="6"/>
    </row>
    <row r="424" spans="1:19">
      <c r="A424" s="83"/>
      <c r="B424" s="82"/>
      <c r="C424" s="82"/>
      <c r="D424" s="82"/>
      <c r="E424" s="82"/>
      <c r="F424" s="83"/>
      <c r="G424" s="83"/>
      <c r="H424" s="83"/>
      <c r="I424" s="6"/>
      <c r="J424" s="6"/>
      <c r="K424" s="6"/>
      <c r="L424" s="6"/>
      <c r="M424" s="6"/>
      <c r="N424" s="6"/>
      <c r="O424" s="6"/>
      <c r="P424" s="6"/>
      <c r="Q424" s="6"/>
      <c r="R424" s="6"/>
      <c r="S424" s="6"/>
    </row>
    <row r="425" spans="1:19">
      <c r="A425" s="83"/>
      <c r="B425" s="82"/>
      <c r="C425" s="82"/>
      <c r="D425" s="82"/>
      <c r="E425" s="82"/>
      <c r="F425" s="83"/>
      <c r="G425" s="83"/>
      <c r="H425" s="83"/>
      <c r="I425" s="6"/>
      <c r="J425" s="6"/>
      <c r="K425" s="6"/>
      <c r="L425" s="6"/>
      <c r="M425" s="6"/>
      <c r="N425" s="6"/>
      <c r="O425" s="6"/>
      <c r="P425" s="6"/>
      <c r="Q425" s="6"/>
      <c r="R425" s="6"/>
      <c r="S425" s="6"/>
    </row>
    <row r="426" spans="1:19">
      <c r="A426" s="83"/>
      <c r="B426" s="82"/>
      <c r="C426" s="82"/>
      <c r="D426" s="82"/>
      <c r="E426" s="82"/>
      <c r="F426" s="83"/>
      <c r="G426" s="83"/>
      <c r="H426" s="83"/>
      <c r="I426" s="6"/>
      <c r="J426" s="6"/>
      <c r="K426" s="6"/>
      <c r="L426" s="6"/>
      <c r="M426" s="6"/>
      <c r="N426" s="6"/>
      <c r="O426" s="6"/>
      <c r="P426" s="6"/>
      <c r="Q426" s="6"/>
      <c r="R426" s="6"/>
      <c r="S426" s="6"/>
    </row>
    <row r="427" spans="1:19">
      <c r="A427" s="83"/>
      <c r="B427" s="82"/>
      <c r="C427" s="82"/>
      <c r="D427" s="82"/>
      <c r="E427" s="82"/>
      <c r="F427" s="83"/>
      <c r="G427" s="83"/>
      <c r="H427" s="83"/>
      <c r="I427" s="6"/>
      <c r="J427" s="6"/>
      <c r="K427" s="6"/>
      <c r="L427" s="6"/>
      <c r="M427" s="6"/>
      <c r="N427" s="6"/>
      <c r="O427" s="6"/>
      <c r="P427" s="6"/>
      <c r="Q427" s="6"/>
      <c r="R427" s="6"/>
      <c r="S427" s="6"/>
    </row>
    <row r="428" spans="1:19">
      <c r="A428" s="83"/>
      <c r="B428" s="82"/>
      <c r="C428" s="82"/>
      <c r="D428" s="82"/>
      <c r="E428" s="82"/>
      <c r="F428" s="83"/>
      <c r="G428" s="83"/>
      <c r="H428" s="83"/>
      <c r="I428" s="6"/>
      <c r="J428" s="6"/>
      <c r="K428" s="6"/>
      <c r="L428" s="6"/>
      <c r="M428" s="6"/>
      <c r="N428" s="6"/>
      <c r="O428" s="6"/>
      <c r="P428" s="6"/>
      <c r="Q428" s="6"/>
      <c r="R428" s="6"/>
      <c r="S428" s="6"/>
    </row>
    <row r="429" spans="1:19">
      <c r="A429" s="83"/>
      <c r="B429" s="82"/>
      <c r="C429" s="82"/>
      <c r="D429" s="82"/>
      <c r="E429" s="82"/>
      <c r="F429" s="83"/>
      <c r="G429" s="83"/>
      <c r="H429" s="83"/>
      <c r="I429" s="6"/>
      <c r="J429" s="6"/>
      <c r="K429" s="6"/>
      <c r="L429" s="6"/>
      <c r="M429" s="6"/>
      <c r="N429" s="6"/>
      <c r="O429" s="6"/>
      <c r="P429" s="6"/>
      <c r="Q429" s="6"/>
      <c r="R429" s="6"/>
      <c r="S429" s="6"/>
    </row>
    <row r="430" spans="1:19">
      <c r="A430" s="83"/>
      <c r="B430" s="82"/>
      <c r="C430" s="82"/>
      <c r="D430" s="82"/>
      <c r="E430" s="82"/>
      <c r="F430" s="83"/>
      <c r="G430" s="83"/>
      <c r="H430" s="83"/>
      <c r="I430" s="6"/>
      <c r="J430" s="6"/>
      <c r="K430" s="6"/>
      <c r="L430" s="6"/>
      <c r="M430" s="6"/>
      <c r="N430" s="6"/>
      <c r="O430" s="6"/>
      <c r="P430" s="6"/>
      <c r="Q430" s="6"/>
      <c r="R430" s="6"/>
      <c r="S430" s="6"/>
    </row>
    <row r="431" spans="1:19">
      <c r="A431" s="83"/>
      <c r="B431" s="82"/>
      <c r="C431" s="82"/>
      <c r="D431" s="82"/>
      <c r="E431" s="82"/>
      <c r="F431" s="83"/>
      <c r="G431" s="83"/>
      <c r="H431" s="83"/>
      <c r="I431" s="6"/>
      <c r="J431" s="6"/>
      <c r="K431" s="6"/>
      <c r="L431" s="6"/>
      <c r="M431" s="6"/>
      <c r="N431" s="6"/>
      <c r="O431" s="6"/>
      <c r="P431" s="6"/>
      <c r="Q431" s="6"/>
      <c r="R431" s="6"/>
      <c r="S431" s="6"/>
    </row>
    <row r="432" spans="1:19">
      <c r="A432" s="83"/>
      <c r="B432" s="82"/>
      <c r="C432" s="82"/>
      <c r="D432" s="82"/>
      <c r="E432" s="82"/>
      <c r="F432" s="83"/>
      <c r="G432" s="83"/>
      <c r="H432" s="83"/>
      <c r="I432" s="6"/>
      <c r="J432" s="6"/>
      <c r="K432" s="6"/>
      <c r="L432" s="6"/>
      <c r="M432" s="6"/>
      <c r="N432" s="6"/>
      <c r="O432" s="6"/>
      <c r="P432" s="6"/>
      <c r="Q432" s="6"/>
      <c r="R432" s="6"/>
      <c r="S432" s="6"/>
    </row>
    <row r="433" spans="1:19">
      <c r="A433" s="83"/>
      <c r="B433" s="82"/>
      <c r="C433" s="82"/>
      <c r="D433" s="82"/>
      <c r="E433" s="82"/>
      <c r="F433" s="83"/>
      <c r="G433" s="83"/>
      <c r="H433" s="83"/>
      <c r="I433" s="6"/>
      <c r="J433" s="6"/>
      <c r="K433" s="6"/>
      <c r="L433" s="6"/>
      <c r="M433" s="6"/>
      <c r="N433" s="6"/>
      <c r="O433" s="6"/>
      <c r="P433" s="6"/>
      <c r="Q433" s="6"/>
      <c r="R433" s="6"/>
      <c r="S433" s="6"/>
    </row>
    <row r="434" spans="1:19">
      <c r="A434" s="83"/>
      <c r="B434" s="82"/>
      <c r="C434" s="82"/>
      <c r="D434" s="82"/>
      <c r="E434" s="82"/>
      <c r="F434" s="83"/>
      <c r="G434" s="83"/>
      <c r="H434" s="83"/>
      <c r="I434" s="6"/>
      <c r="J434" s="6"/>
      <c r="K434" s="6"/>
      <c r="L434" s="6"/>
      <c r="M434" s="6"/>
      <c r="N434" s="6"/>
      <c r="O434" s="6"/>
      <c r="P434" s="6"/>
      <c r="Q434" s="6"/>
      <c r="R434" s="6"/>
      <c r="S434" s="6"/>
    </row>
    <row r="435" spans="1:19">
      <c r="A435" s="83"/>
      <c r="B435" s="82"/>
      <c r="C435" s="82"/>
      <c r="D435" s="82"/>
      <c r="E435" s="82"/>
      <c r="F435" s="83"/>
      <c r="G435" s="83"/>
      <c r="H435" s="83"/>
      <c r="I435" s="6"/>
      <c r="J435" s="6"/>
      <c r="K435" s="6"/>
      <c r="L435" s="6"/>
      <c r="M435" s="6"/>
      <c r="N435" s="6"/>
      <c r="O435" s="6"/>
      <c r="P435" s="6"/>
      <c r="Q435" s="6"/>
      <c r="R435" s="6"/>
      <c r="S435" s="6"/>
    </row>
    <row r="436" spans="1:19">
      <c r="A436" s="83"/>
      <c r="B436" s="82"/>
      <c r="C436" s="82"/>
      <c r="D436" s="82"/>
      <c r="E436" s="82"/>
      <c r="F436" s="83"/>
      <c r="G436" s="83"/>
      <c r="H436" s="83"/>
      <c r="I436" s="6"/>
      <c r="J436" s="6"/>
      <c r="K436" s="6"/>
      <c r="L436" s="6"/>
      <c r="M436" s="6"/>
      <c r="N436" s="6"/>
      <c r="O436" s="6"/>
      <c r="P436" s="6"/>
      <c r="Q436" s="6"/>
      <c r="R436" s="6"/>
      <c r="S436" s="6"/>
    </row>
    <row r="437" spans="1:19">
      <c r="A437" s="83"/>
      <c r="B437" s="82"/>
      <c r="C437" s="82"/>
      <c r="D437" s="82"/>
      <c r="E437" s="82"/>
      <c r="F437" s="83"/>
      <c r="G437" s="83"/>
      <c r="H437" s="83"/>
      <c r="I437" s="6"/>
      <c r="J437" s="6"/>
      <c r="K437" s="6"/>
      <c r="L437" s="6"/>
      <c r="M437" s="6"/>
      <c r="N437" s="6"/>
      <c r="O437" s="6"/>
      <c r="P437" s="6"/>
      <c r="Q437" s="6"/>
      <c r="R437" s="6"/>
      <c r="S437" s="6"/>
    </row>
    <row r="438" spans="1:19">
      <c r="A438" s="83"/>
      <c r="B438" s="82"/>
      <c r="C438" s="82"/>
      <c r="D438" s="82"/>
      <c r="E438" s="82"/>
      <c r="F438" s="83"/>
      <c r="G438" s="83"/>
      <c r="H438" s="83"/>
      <c r="I438" s="6"/>
      <c r="J438" s="6"/>
      <c r="K438" s="6"/>
      <c r="L438" s="6"/>
      <c r="M438" s="6"/>
      <c r="N438" s="6"/>
      <c r="O438" s="6"/>
      <c r="P438" s="6"/>
      <c r="Q438" s="6"/>
      <c r="R438" s="6"/>
      <c r="S438" s="6"/>
    </row>
    <row r="439" spans="1:19">
      <c r="A439" s="83"/>
      <c r="B439" s="82"/>
      <c r="C439" s="82"/>
      <c r="D439" s="82"/>
      <c r="E439" s="82"/>
      <c r="F439" s="83"/>
      <c r="G439" s="83"/>
      <c r="H439" s="83"/>
      <c r="I439" s="6"/>
      <c r="J439" s="6"/>
      <c r="K439" s="6"/>
      <c r="L439" s="6"/>
      <c r="M439" s="6"/>
      <c r="N439" s="6"/>
      <c r="O439" s="6"/>
      <c r="P439" s="6"/>
      <c r="Q439" s="6"/>
      <c r="R439" s="6"/>
      <c r="S439" s="6"/>
    </row>
    <row r="440" spans="1:19">
      <c r="A440" s="83"/>
      <c r="B440" s="82"/>
      <c r="C440" s="82"/>
      <c r="D440" s="82"/>
      <c r="E440" s="82"/>
      <c r="F440" s="83"/>
      <c r="G440" s="83"/>
      <c r="H440" s="83"/>
      <c r="I440" s="6"/>
      <c r="J440" s="6"/>
      <c r="K440" s="6"/>
      <c r="L440" s="6"/>
      <c r="M440" s="6"/>
      <c r="N440" s="6"/>
      <c r="O440" s="6"/>
      <c r="P440" s="6"/>
      <c r="Q440" s="6"/>
      <c r="R440" s="6"/>
      <c r="S440" s="6"/>
    </row>
    <row r="441" spans="1:19">
      <c r="A441" s="83"/>
      <c r="B441" s="82"/>
      <c r="C441" s="82"/>
      <c r="D441" s="82"/>
      <c r="E441" s="82"/>
      <c r="F441" s="83"/>
      <c r="G441" s="83"/>
      <c r="H441" s="83"/>
      <c r="I441" s="6"/>
      <c r="J441" s="6"/>
      <c r="K441" s="6"/>
      <c r="L441" s="6"/>
      <c r="M441" s="6"/>
      <c r="N441" s="6"/>
      <c r="O441" s="6"/>
      <c r="P441" s="6"/>
      <c r="Q441" s="6"/>
      <c r="R441" s="6"/>
      <c r="S441" s="6"/>
    </row>
    <row r="442" spans="1:19">
      <c r="A442" s="83"/>
      <c r="B442" s="82"/>
      <c r="C442" s="82"/>
      <c r="D442" s="82"/>
      <c r="E442" s="82"/>
      <c r="F442" s="83"/>
      <c r="G442" s="83"/>
      <c r="H442" s="83"/>
      <c r="I442" s="6"/>
      <c r="J442" s="6"/>
      <c r="K442" s="6"/>
      <c r="L442" s="6"/>
      <c r="M442" s="6"/>
      <c r="N442" s="6"/>
      <c r="O442" s="6"/>
      <c r="P442" s="6"/>
      <c r="Q442" s="6"/>
      <c r="R442" s="6"/>
      <c r="S442" s="6"/>
    </row>
    <row r="443" spans="1:19">
      <c r="A443" s="83"/>
      <c r="B443" s="82"/>
      <c r="C443" s="82"/>
      <c r="D443" s="82"/>
      <c r="E443" s="82"/>
      <c r="F443" s="83"/>
      <c r="G443" s="83"/>
      <c r="H443" s="83"/>
      <c r="I443" s="6"/>
      <c r="J443" s="6"/>
      <c r="K443" s="6"/>
      <c r="L443" s="6"/>
      <c r="M443" s="6"/>
      <c r="N443" s="6"/>
      <c r="O443" s="6"/>
      <c r="P443" s="6"/>
      <c r="Q443" s="6"/>
      <c r="R443" s="6"/>
      <c r="S443" s="6"/>
    </row>
    <row r="444" spans="1:19">
      <c r="A444" s="83"/>
      <c r="B444" s="82"/>
      <c r="C444" s="82"/>
      <c r="D444" s="82"/>
      <c r="E444" s="82"/>
      <c r="F444" s="83"/>
      <c r="G444" s="83"/>
      <c r="H444" s="83"/>
      <c r="I444" s="6"/>
      <c r="J444" s="6"/>
      <c r="K444" s="6"/>
      <c r="L444" s="6"/>
      <c r="M444" s="6"/>
      <c r="N444" s="6"/>
      <c r="O444" s="6"/>
      <c r="P444" s="6"/>
      <c r="Q444" s="6"/>
      <c r="R444" s="6"/>
      <c r="S444" s="6"/>
    </row>
    <row r="445" spans="1:19">
      <c r="A445" s="83"/>
      <c r="B445" s="82"/>
      <c r="C445" s="82"/>
      <c r="D445" s="82"/>
      <c r="E445" s="82"/>
      <c r="F445" s="83"/>
      <c r="G445" s="83"/>
      <c r="H445" s="83"/>
      <c r="I445" s="6"/>
      <c r="J445" s="6"/>
      <c r="K445" s="6"/>
      <c r="L445" s="6"/>
      <c r="M445" s="6"/>
      <c r="N445" s="6"/>
      <c r="O445" s="6"/>
      <c r="P445" s="6"/>
      <c r="Q445" s="6"/>
      <c r="R445" s="6"/>
      <c r="S445" s="6"/>
    </row>
    <row r="446" spans="1:19">
      <c r="A446" s="83"/>
      <c r="B446" s="82"/>
      <c r="C446" s="82"/>
      <c r="D446" s="82"/>
      <c r="E446" s="82"/>
      <c r="F446" s="83"/>
      <c r="G446" s="83"/>
      <c r="H446" s="83"/>
      <c r="I446" s="6"/>
      <c r="J446" s="6"/>
      <c r="K446" s="6"/>
      <c r="L446" s="6"/>
      <c r="M446" s="6"/>
      <c r="N446" s="6"/>
      <c r="O446" s="6"/>
      <c r="P446" s="6"/>
      <c r="Q446" s="6"/>
      <c r="R446" s="6"/>
      <c r="S446" s="6"/>
    </row>
    <row r="447" spans="1:19">
      <c r="A447" s="83"/>
      <c r="B447" s="82"/>
      <c r="C447" s="82"/>
      <c r="D447" s="82"/>
      <c r="E447" s="82"/>
      <c r="F447" s="83"/>
      <c r="G447" s="83"/>
      <c r="H447" s="83"/>
      <c r="I447" s="6"/>
      <c r="J447" s="6"/>
      <c r="K447" s="6"/>
      <c r="L447" s="6"/>
      <c r="M447" s="6"/>
      <c r="N447" s="6"/>
      <c r="O447" s="6"/>
      <c r="P447" s="6"/>
      <c r="Q447" s="6"/>
      <c r="R447" s="6"/>
      <c r="S447" s="6"/>
    </row>
    <row r="448" spans="1:19">
      <c r="A448" s="83"/>
      <c r="B448" s="82"/>
      <c r="C448" s="82"/>
      <c r="D448" s="82"/>
      <c r="E448" s="82"/>
      <c r="F448" s="83"/>
      <c r="G448" s="83"/>
      <c r="H448" s="83"/>
      <c r="I448" s="6"/>
      <c r="J448" s="6"/>
      <c r="K448" s="6"/>
      <c r="L448" s="6"/>
      <c r="M448" s="6"/>
      <c r="N448" s="6"/>
      <c r="O448" s="6"/>
      <c r="P448" s="6"/>
      <c r="Q448" s="6"/>
      <c r="R448" s="6"/>
      <c r="S448" s="6"/>
    </row>
    <row r="449" spans="1:19">
      <c r="A449" s="83"/>
      <c r="B449" s="82"/>
      <c r="C449" s="82"/>
      <c r="D449" s="82"/>
      <c r="E449" s="82"/>
      <c r="F449" s="83"/>
      <c r="G449" s="83"/>
      <c r="H449" s="83"/>
      <c r="I449" s="6"/>
      <c r="J449" s="6"/>
      <c r="K449" s="6"/>
      <c r="L449" s="6"/>
      <c r="M449" s="6"/>
      <c r="N449" s="6"/>
      <c r="O449" s="6"/>
      <c r="P449" s="6"/>
      <c r="Q449" s="6"/>
      <c r="R449" s="6"/>
      <c r="S449" s="6"/>
    </row>
    <row r="450" spans="1:19">
      <c r="A450" s="83"/>
      <c r="B450" s="82"/>
      <c r="C450" s="82"/>
      <c r="D450" s="82"/>
      <c r="E450" s="82"/>
      <c r="F450" s="83"/>
      <c r="G450" s="83"/>
      <c r="H450" s="83"/>
      <c r="I450" s="6"/>
      <c r="J450" s="6"/>
      <c r="K450" s="6"/>
      <c r="L450" s="6"/>
      <c r="M450" s="6"/>
      <c r="N450" s="6"/>
      <c r="O450" s="6"/>
      <c r="P450" s="6"/>
      <c r="Q450" s="6"/>
      <c r="R450" s="6"/>
      <c r="S450" s="6"/>
    </row>
    <row r="451" spans="1:19">
      <c r="A451" s="83"/>
      <c r="B451" s="82"/>
      <c r="C451" s="82"/>
      <c r="D451" s="82"/>
      <c r="E451" s="82"/>
      <c r="F451" s="83"/>
      <c r="G451" s="83"/>
      <c r="H451" s="83"/>
      <c r="I451" s="6"/>
      <c r="J451" s="6"/>
      <c r="K451" s="6"/>
      <c r="L451" s="6"/>
      <c r="M451" s="6"/>
      <c r="N451" s="6"/>
      <c r="O451" s="6"/>
      <c r="P451" s="6"/>
      <c r="Q451" s="6"/>
      <c r="R451" s="6"/>
      <c r="S451" s="6"/>
    </row>
    <row r="452" spans="1:19">
      <c r="A452" s="83"/>
      <c r="B452" s="82"/>
      <c r="C452" s="82"/>
      <c r="D452" s="82"/>
      <c r="E452" s="82"/>
      <c r="F452" s="83"/>
      <c r="G452" s="83"/>
      <c r="H452" s="83"/>
      <c r="I452" s="6"/>
      <c r="J452" s="6"/>
      <c r="K452" s="6"/>
      <c r="L452" s="6"/>
      <c r="M452" s="6"/>
      <c r="N452" s="6"/>
      <c r="O452" s="6"/>
      <c r="P452" s="6"/>
      <c r="Q452" s="6"/>
      <c r="R452" s="6"/>
      <c r="S452" s="6"/>
    </row>
    <row r="453" spans="1:19">
      <c r="A453" s="83"/>
      <c r="B453" s="82"/>
      <c r="C453" s="82"/>
      <c r="D453" s="82"/>
      <c r="E453" s="82"/>
      <c r="F453" s="83"/>
      <c r="G453" s="83"/>
      <c r="H453" s="83"/>
      <c r="I453" s="6"/>
      <c r="J453" s="6"/>
      <c r="K453" s="6"/>
      <c r="L453" s="6"/>
      <c r="M453" s="6"/>
      <c r="N453" s="6"/>
      <c r="O453" s="6"/>
      <c r="P453" s="6"/>
      <c r="Q453" s="6"/>
      <c r="R453" s="6"/>
      <c r="S453" s="6"/>
    </row>
    <row r="454" spans="1:19">
      <c r="A454" s="83"/>
      <c r="B454" s="82"/>
      <c r="C454" s="82"/>
      <c r="D454" s="82"/>
      <c r="E454" s="82"/>
      <c r="F454" s="83"/>
      <c r="G454" s="83"/>
      <c r="H454" s="83"/>
      <c r="I454" s="6"/>
      <c r="J454" s="6"/>
      <c r="K454" s="6"/>
      <c r="L454" s="6"/>
      <c r="M454" s="6"/>
      <c r="N454" s="6"/>
      <c r="O454" s="6"/>
      <c r="P454" s="6"/>
      <c r="Q454" s="6"/>
      <c r="R454" s="6"/>
      <c r="S454" s="6"/>
    </row>
    <row r="455" spans="1:19">
      <c r="A455" s="83"/>
      <c r="B455" s="82"/>
      <c r="C455" s="82"/>
      <c r="D455" s="82"/>
      <c r="E455" s="82"/>
      <c r="F455" s="83"/>
      <c r="G455" s="83"/>
      <c r="H455" s="83"/>
      <c r="I455" s="6"/>
      <c r="J455" s="6"/>
      <c r="K455" s="6"/>
      <c r="L455" s="6"/>
      <c r="M455" s="6"/>
      <c r="N455" s="6"/>
      <c r="O455" s="6"/>
      <c r="P455" s="6"/>
      <c r="Q455" s="6"/>
      <c r="R455" s="6"/>
      <c r="S455" s="6"/>
    </row>
    <row r="456" spans="1:19">
      <c r="A456" s="83"/>
      <c r="B456" s="82"/>
      <c r="C456" s="82"/>
      <c r="D456" s="82"/>
      <c r="E456" s="82"/>
      <c r="F456" s="83"/>
      <c r="G456" s="83"/>
      <c r="H456" s="83"/>
      <c r="I456" s="6"/>
      <c r="J456" s="6"/>
      <c r="K456" s="6"/>
      <c r="L456" s="6"/>
      <c r="M456" s="6"/>
      <c r="N456" s="6"/>
      <c r="O456" s="6"/>
      <c r="P456" s="6"/>
      <c r="Q456" s="6"/>
      <c r="R456" s="6"/>
      <c r="S456" s="6"/>
    </row>
    <row r="457" spans="1:19">
      <c r="A457" s="83"/>
      <c r="B457" s="82"/>
      <c r="C457" s="82"/>
      <c r="D457" s="82"/>
      <c r="E457" s="82"/>
      <c r="F457" s="83"/>
      <c r="G457" s="83"/>
      <c r="H457" s="83"/>
      <c r="I457" s="6"/>
      <c r="J457" s="6"/>
      <c r="K457" s="6"/>
      <c r="L457" s="6"/>
      <c r="M457" s="6"/>
      <c r="N457" s="6"/>
      <c r="O457" s="6"/>
      <c r="P457" s="6"/>
      <c r="Q457" s="6"/>
      <c r="R457" s="6"/>
      <c r="S457" s="6"/>
    </row>
    <row r="458" spans="1:19">
      <c r="A458" s="83"/>
      <c r="B458" s="82"/>
      <c r="C458" s="82"/>
      <c r="D458" s="82"/>
      <c r="E458" s="82"/>
      <c r="F458" s="83"/>
      <c r="G458" s="83"/>
      <c r="H458" s="83"/>
      <c r="I458" s="6"/>
      <c r="J458" s="6"/>
      <c r="K458" s="6"/>
      <c r="L458" s="6"/>
      <c r="M458" s="6"/>
      <c r="N458" s="6"/>
      <c r="O458" s="6"/>
      <c r="P458" s="6"/>
      <c r="Q458" s="6"/>
      <c r="R458" s="6"/>
      <c r="S458" s="6"/>
    </row>
    <row r="459" spans="1:19">
      <c r="A459" s="83"/>
      <c r="B459" s="82"/>
      <c r="C459" s="82"/>
      <c r="D459" s="82"/>
      <c r="E459" s="82"/>
      <c r="F459" s="83"/>
      <c r="G459" s="83"/>
      <c r="H459" s="83"/>
      <c r="I459" s="6"/>
      <c r="J459" s="6"/>
      <c r="K459" s="6"/>
      <c r="L459" s="6"/>
      <c r="M459" s="6"/>
      <c r="N459" s="6"/>
      <c r="O459" s="6"/>
      <c r="P459" s="6"/>
      <c r="Q459" s="6"/>
      <c r="R459" s="6"/>
      <c r="S459" s="6"/>
    </row>
    <row r="460" spans="1:19">
      <c r="A460" s="83"/>
      <c r="B460" s="82"/>
      <c r="C460" s="82"/>
      <c r="D460" s="82"/>
      <c r="E460" s="82"/>
      <c r="F460" s="83"/>
      <c r="G460" s="83"/>
      <c r="H460" s="83"/>
      <c r="I460" s="6"/>
      <c r="J460" s="6"/>
      <c r="K460" s="6"/>
      <c r="L460" s="6"/>
      <c r="M460" s="6"/>
      <c r="N460" s="6"/>
      <c r="O460" s="6"/>
      <c r="P460" s="6"/>
      <c r="Q460" s="6"/>
      <c r="R460" s="6"/>
      <c r="S460" s="6"/>
    </row>
    <row r="461" spans="1:19">
      <c r="A461" s="83"/>
      <c r="B461" s="82"/>
      <c r="C461" s="82"/>
      <c r="D461" s="82"/>
      <c r="E461" s="82"/>
      <c r="F461" s="83"/>
      <c r="G461" s="83"/>
      <c r="H461" s="83"/>
      <c r="I461" s="6"/>
      <c r="J461" s="6"/>
      <c r="K461" s="6"/>
      <c r="L461" s="6"/>
      <c r="M461" s="6"/>
      <c r="N461" s="6"/>
      <c r="O461" s="6"/>
      <c r="P461" s="6"/>
      <c r="Q461" s="6"/>
      <c r="R461" s="6"/>
      <c r="S461" s="6"/>
    </row>
    <row r="462" spans="1:19">
      <c r="A462" s="83"/>
      <c r="B462" s="82"/>
      <c r="C462" s="82"/>
      <c r="D462" s="82"/>
      <c r="E462" s="82"/>
      <c r="F462" s="83"/>
      <c r="G462" s="83"/>
      <c r="H462" s="83"/>
      <c r="I462" s="6"/>
      <c r="J462" s="6"/>
      <c r="K462" s="6"/>
      <c r="L462" s="6"/>
      <c r="M462" s="6"/>
      <c r="N462" s="6"/>
      <c r="O462" s="6"/>
      <c r="P462" s="6"/>
      <c r="Q462" s="6"/>
      <c r="R462" s="6"/>
      <c r="S462" s="6"/>
    </row>
    <row r="463" spans="1:19">
      <c r="A463" s="83"/>
      <c r="B463" s="82"/>
      <c r="C463" s="82"/>
      <c r="D463" s="82"/>
      <c r="E463" s="82"/>
      <c r="F463" s="83"/>
      <c r="G463" s="83"/>
      <c r="H463" s="83"/>
      <c r="I463" s="6"/>
      <c r="J463" s="6"/>
      <c r="K463" s="6"/>
      <c r="L463" s="6"/>
      <c r="M463" s="6"/>
      <c r="N463" s="6"/>
      <c r="O463" s="6"/>
      <c r="P463" s="6"/>
      <c r="Q463" s="6"/>
      <c r="R463" s="6"/>
      <c r="S463" s="6"/>
    </row>
    <row r="464" spans="1:19">
      <c r="A464" s="83"/>
      <c r="B464" s="82"/>
      <c r="C464" s="82"/>
      <c r="D464" s="82"/>
      <c r="E464" s="82"/>
      <c r="F464" s="83"/>
      <c r="G464" s="83"/>
      <c r="H464" s="83"/>
      <c r="I464" s="6"/>
      <c r="J464" s="6"/>
      <c r="K464" s="6"/>
      <c r="L464" s="6"/>
      <c r="M464" s="6"/>
      <c r="N464" s="6"/>
      <c r="O464" s="6"/>
      <c r="P464" s="6"/>
      <c r="Q464" s="6"/>
      <c r="R464" s="6"/>
      <c r="S464" s="6"/>
    </row>
    <row r="465" spans="1:19">
      <c r="A465" s="83"/>
      <c r="B465" s="82"/>
      <c r="C465" s="82"/>
      <c r="D465" s="82"/>
      <c r="E465" s="82"/>
      <c r="F465" s="83"/>
      <c r="G465" s="83"/>
      <c r="H465" s="83"/>
      <c r="I465" s="6"/>
      <c r="J465" s="6"/>
      <c r="K465" s="6"/>
      <c r="L465" s="6"/>
      <c r="M465" s="6"/>
      <c r="N465" s="6"/>
      <c r="O465" s="6"/>
      <c r="P465" s="6"/>
      <c r="Q465" s="6"/>
      <c r="R465" s="6"/>
      <c r="S465" s="6"/>
    </row>
    <row r="466" spans="1:19">
      <c r="A466" s="83"/>
      <c r="B466" s="82"/>
      <c r="C466" s="82"/>
      <c r="D466" s="82"/>
      <c r="E466" s="82"/>
      <c r="F466" s="83"/>
      <c r="G466" s="83"/>
      <c r="H466" s="83"/>
      <c r="I466" s="6"/>
      <c r="J466" s="6"/>
      <c r="K466" s="6"/>
      <c r="L466" s="6"/>
      <c r="M466" s="6"/>
      <c r="N466" s="6"/>
      <c r="O466" s="6"/>
      <c r="P466" s="6"/>
      <c r="Q466" s="6"/>
      <c r="R466" s="6"/>
      <c r="S466" s="6"/>
    </row>
    <row r="467" spans="1:19">
      <c r="A467" s="83"/>
      <c r="B467" s="82"/>
      <c r="C467" s="82"/>
      <c r="D467" s="82"/>
      <c r="E467" s="82"/>
      <c r="F467" s="83"/>
      <c r="G467" s="83"/>
      <c r="H467" s="83"/>
      <c r="I467" s="6"/>
      <c r="J467" s="6"/>
      <c r="K467" s="6"/>
      <c r="L467" s="6"/>
      <c r="M467" s="6"/>
      <c r="N467" s="6"/>
      <c r="O467" s="6"/>
      <c r="P467" s="6"/>
      <c r="Q467" s="6"/>
      <c r="R467" s="6"/>
      <c r="S467" s="6"/>
    </row>
    <row r="468" spans="1:19">
      <c r="A468" s="83"/>
      <c r="B468" s="82"/>
      <c r="C468" s="82"/>
      <c r="D468" s="82"/>
      <c r="E468" s="82"/>
      <c r="F468" s="83"/>
      <c r="G468" s="83"/>
      <c r="H468" s="83"/>
      <c r="I468" s="6"/>
      <c r="J468" s="6"/>
      <c r="K468" s="6"/>
      <c r="L468" s="6"/>
      <c r="M468" s="6"/>
      <c r="N468" s="6"/>
      <c r="O468" s="6"/>
      <c r="P468" s="6"/>
      <c r="Q468" s="6"/>
      <c r="R468" s="6"/>
      <c r="S468" s="6"/>
    </row>
    <row r="469" spans="1:19">
      <c r="A469" s="83"/>
      <c r="B469" s="82"/>
      <c r="C469" s="82"/>
      <c r="D469" s="82"/>
      <c r="E469" s="82"/>
      <c r="F469" s="83"/>
      <c r="G469" s="83"/>
      <c r="H469" s="83"/>
      <c r="I469" s="6"/>
      <c r="J469" s="6"/>
      <c r="K469" s="6"/>
      <c r="L469" s="6"/>
      <c r="M469" s="6"/>
      <c r="N469" s="6"/>
      <c r="O469" s="6"/>
      <c r="P469" s="6"/>
      <c r="Q469" s="6"/>
      <c r="R469" s="6"/>
      <c r="S469" s="6"/>
    </row>
    <row r="470" spans="1:19">
      <c r="A470" s="83"/>
      <c r="B470" s="82"/>
      <c r="C470" s="82"/>
      <c r="D470" s="82"/>
      <c r="E470" s="82"/>
      <c r="F470" s="83"/>
      <c r="G470" s="83"/>
      <c r="H470" s="83"/>
      <c r="I470" s="6"/>
      <c r="J470" s="6"/>
      <c r="K470" s="6"/>
      <c r="L470" s="6"/>
      <c r="M470" s="6"/>
      <c r="N470" s="6"/>
      <c r="O470" s="6"/>
      <c r="P470" s="6"/>
      <c r="Q470" s="6"/>
      <c r="R470" s="6"/>
      <c r="S470" s="6"/>
    </row>
    <row r="471" spans="1:19">
      <c r="A471" s="83"/>
      <c r="B471" s="82"/>
      <c r="C471" s="82"/>
      <c r="D471" s="82"/>
      <c r="E471" s="82"/>
      <c r="F471" s="83"/>
      <c r="G471" s="83"/>
      <c r="H471" s="83"/>
      <c r="I471" s="6"/>
      <c r="J471" s="6"/>
      <c r="K471" s="6"/>
      <c r="L471" s="6"/>
      <c r="M471" s="6"/>
      <c r="N471" s="6"/>
      <c r="O471" s="6"/>
      <c r="P471" s="6"/>
      <c r="Q471" s="6"/>
      <c r="R471" s="6"/>
      <c r="S471" s="6"/>
    </row>
    <row r="472" spans="1:19">
      <c r="A472" s="83"/>
      <c r="B472" s="82"/>
      <c r="C472" s="82"/>
      <c r="D472" s="82"/>
      <c r="E472" s="82"/>
      <c r="F472" s="83"/>
      <c r="G472" s="83"/>
      <c r="H472" s="83"/>
      <c r="I472" s="6"/>
      <c r="J472" s="6"/>
      <c r="K472" s="6"/>
      <c r="L472" s="6"/>
      <c r="M472" s="6"/>
      <c r="N472" s="6"/>
      <c r="O472" s="6"/>
      <c r="P472" s="6"/>
      <c r="Q472" s="6"/>
      <c r="R472" s="6"/>
      <c r="S472" s="6"/>
    </row>
    <row r="473" spans="1:19">
      <c r="A473" s="83"/>
      <c r="B473" s="82"/>
      <c r="C473" s="82"/>
      <c r="D473" s="82"/>
      <c r="E473" s="82"/>
      <c r="F473" s="83"/>
      <c r="G473" s="83"/>
      <c r="H473" s="83"/>
      <c r="I473" s="6"/>
      <c r="J473" s="6"/>
      <c r="K473" s="6"/>
      <c r="L473" s="6"/>
      <c r="M473" s="6"/>
      <c r="N473" s="6"/>
      <c r="O473" s="6"/>
      <c r="P473" s="6"/>
      <c r="Q473" s="6"/>
      <c r="R473" s="6"/>
      <c r="S473" s="6"/>
    </row>
    <row r="474" spans="1:19">
      <c r="A474" s="83"/>
      <c r="B474" s="82"/>
      <c r="C474" s="82"/>
      <c r="D474" s="82"/>
      <c r="E474" s="82"/>
      <c r="F474" s="83"/>
      <c r="G474" s="83"/>
      <c r="H474" s="83"/>
      <c r="I474" s="6"/>
      <c r="J474" s="6"/>
      <c r="K474" s="6"/>
      <c r="L474" s="6"/>
      <c r="M474" s="6"/>
      <c r="N474" s="6"/>
      <c r="O474" s="6"/>
      <c r="P474" s="6"/>
      <c r="Q474" s="6"/>
      <c r="R474" s="6"/>
      <c r="S474" s="6"/>
    </row>
    <row r="475" spans="1:19">
      <c r="A475" s="83"/>
      <c r="B475" s="82"/>
      <c r="C475" s="82"/>
      <c r="D475" s="82"/>
      <c r="E475" s="82"/>
      <c r="F475" s="83"/>
      <c r="G475" s="83"/>
      <c r="H475" s="83"/>
      <c r="I475" s="6"/>
      <c r="J475" s="6"/>
      <c r="K475" s="6"/>
      <c r="L475" s="6"/>
      <c r="M475" s="6"/>
      <c r="N475" s="6"/>
      <c r="O475" s="6"/>
      <c r="P475" s="6"/>
      <c r="Q475" s="6"/>
      <c r="R475" s="6"/>
      <c r="S475" s="6"/>
    </row>
    <row r="476" spans="1:19">
      <c r="A476" s="83"/>
      <c r="B476" s="82"/>
      <c r="C476" s="82"/>
      <c r="D476" s="82"/>
      <c r="E476" s="82"/>
      <c r="F476" s="83"/>
      <c r="G476" s="83"/>
      <c r="H476" s="83"/>
      <c r="I476" s="6"/>
      <c r="J476" s="6"/>
      <c r="K476" s="6"/>
      <c r="L476" s="6"/>
      <c r="M476" s="6"/>
      <c r="N476" s="6"/>
      <c r="O476" s="6"/>
      <c r="P476" s="6"/>
      <c r="Q476" s="6"/>
      <c r="R476" s="6"/>
      <c r="S476" s="6"/>
    </row>
    <row r="477" spans="1:19">
      <c r="A477" s="83"/>
      <c r="B477" s="82"/>
      <c r="C477" s="82"/>
      <c r="D477" s="82"/>
      <c r="E477" s="82"/>
      <c r="F477" s="83"/>
      <c r="G477" s="83"/>
      <c r="H477" s="83"/>
      <c r="I477" s="6"/>
      <c r="J477" s="6"/>
      <c r="K477" s="6"/>
      <c r="L477" s="6"/>
      <c r="M477" s="6"/>
      <c r="N477" s="6"/>
      <c r="O477" s="6"/>
      <c r="P477" s="6"/>
      <c r="Q477" s="6"/>
      <c r="R477" s="6"/>
      <c r="S477" s="6"/>
    </row>
    <row r="478" spans="1:19">
      <c r="A478" s="83"/>
      <c r="B478" s="82"/>
      <c r="C478" s="82"/>
      <c r="D478" s="82"/>
      <c r="E478" s="82"/>
      <c r="F478" s="83"/>
      <c r="G478" s="83"/>
      <c r="H478" s="83"/>
      <c r="I478" s="6"/>
      <c r="J478" s="6"/>
      <c r="K478" s="6"/>
      <c r="L478" s="6"/>
      <c r="M478" s="6"/>
      <c r="N478" s="6"/>
      <c r="O478" s="6"/>
      <c r="P478" s="6"/>
      <c r="Q478" s="6"/>
      <c r="R478" s="6"/>
      <c r="S478" s="6"/>
    </row>
    <row r="479" spans="1:19">
      <c r="A479" s="83"/>
      <c r="B479" s="82"/>
      <c r="C479" s="82"/>
      <c r="D479" s="82"/>
      <c r="E479" s="82"/>
      <c r="F479" s="83"/>
      <c r="G479" s="83"/>
      <c r="H479" s="83"/>
      <c r="I479" s="6"/>
      <c r="J479" s="6"/>
      <c r="K479" s="6"/>
      <c r="L479" s="6"/>
      <c r="M479" s="6"/>
      <c r="N479" s="6"/>
      <c r="O479" s="6"/>
      <c r="P479" s="6"/>
      <c r="Q479" s="6"/>
      <c r="R479" s="6"/>
      <c r="S479" s="6"/>
    </row>
    <row r="480" spans="1:19">
      <c r="A480" s="83"/>
      <c r="B480" s="82"/>
      <c r="C480" s="82"/>
      <c r="D480" s="82"/>
      <c r="E480" s="82"/>
      <c r="F480" s="83"/>
      <c r="G480" s="83"/>
      <c r="H480" s="83"/>
      <c r="I480" s="6"/>
      <c r="J480" s="6"/>
      <c r="K480" s="6"/>
      <c r="L480" s="6"/>
      <c r="M480" s="6"/>
      <c r="N480" s="6"/>
      <c r="O480" s="6"/>
      <c r="P480" s="6"/>
      <c r="Q480" s="6"/>
      <c r="R480" s="6"/>
      <c r="S480" s="6"/>
    </row>
    <row r="481" spans="1:19">
      <c r="A481" s="83"/>
      <c r="B481" s="82"/>
      <c r="C481" s="82"/>
      <c r="D481" s="82"/>
      <c r="E481" s="82"/>
      <c r="F481" s="83"/>
      <c r="G481" s="83"/>
      <c r="H481" s="83"/>
      <c r="I481" s="6"/>
      <c r="J481" s="6"/>
      <c r="K481" s="6"/>
      <c r="L481" s="6"/>
      <c r="M481" s="6"/>
      <c r="N481" s="6"/>
      <c r="O481" s="6"/>
      <c r="P481" s="6"/>
      <c r="Q481" s="6"/>
      <c r="R481" s="6"/>
      <c r="S481" s="6"/>
    </row>
    <row r="482" spans="1:19">
      <c r="A482" s="83"/>
      <c r="B482" s="82"/>
      <c r="C482" s="82"/>
      <c r="D482" s="82"/>
      <c r="E482" s="82"/>
      <c r="F482" s="83"/>
      <c r="G482" s="83"/>
      <c r="H482" s="83"/>
      <c r="I482" s="6"/>
      <c r="J482" s="6"/>
      <c r="K482" s="6"/>
      <c r="L482" s="6"/>
      <c r="M482" s="6"/>
      <c r="N482" s="6"/>
      <c r="O482" s="6"/>
      <c r="P482" s="6"/>
      <c r="Q482" s="6"/>
      <c r="R482" s="6"/>
      <c r="S482" s="6"/>
    </row>
    <row r="483" spans="1:19">
      <c r="A483" s="83"/>
      <c r="B483" s="82"/>
      <c r="C483" s="82"/>
      <c r="D483" s="82"/>
      <c r="E483" s="82"/>
      <c r="F483" s="83"/>
      <c r="G483" s="83"/>
      <c r="H483" s="83"/>
      <c r="I483" s="6"/>
      <c r="J483" s="6"/>
      <c r="K483" s="6"/>
      <c r="L483" s="6"/>
      <c r="M483" s="6"/>
      <c r="N483" s="6"/>
      <c r="O483" s="6"/>
      <c r="P483" s="6"/>
      <c r="Q483" s="6"/>
      <c r="R483" s="6"/>
      <c r="S483" s="6"/>
    </row>
    <row r="484" spans="1:19">
      <c r="A484" s="83"/>
      <c r="B484" s="82"/>
      <c r="C484" s="82"/>
      <c r="D484" s="82"/>
      <c r="E484" s="82"/>
      <c r="F484" s="83"/>
      <c r="G484" s="83"/>
      <c r="H484" s="83"/>
      <c r="I484" s="6"/>
      <c r="J484" s="6"/>
      <c r="K484" s="6"/>
      <c r="L484" s="6"/>
      <c r="M484" s="6"/>
      <c r="N484" s="6"/>
      <c r="O484" s="6"/>
      <c r="P484" s="6"/>
      <c r="Q484" s="6"/>
      <c r="R484" s="6"/>
      <c r="S484" s="6"/>
    </row>
    <row r="485" spans="1:19">
      <c r="A485" s="83"/>
      <c r="B485" s="82"/>
      <c r="C485" s="82"/>
      <c r="D485" s="82"/>
      <c r="E485" s="82"/>
      <c r="F485" s="83"/>
      <c r="G485" s="83"/>
      <c r="H485" s="83"/>
      <c r="I485" s="6"/>
      <c r="J485" s="6"/>
      <c r="K485" s="6"/>
      <c r="L485" s="6"/>
      <c r="M485" s="6"/>
      <c r="N485" s="6"/>
      <c r="O485" s="6"/>
      <c r="P485" s="6"/>
      <c r="Q485" s="6"/>
      <c r="R485" s="6"/>
      <c r="S485" s="6"/>
    </row>
    <row r="486" spans="1:19">
      <c r="A486" s="83"/>
      <c r="B486" s="82"/>
      <c r="C486" s="82"/>
      <c r="D486" s="82"/>
      <c r="E486" s="82"/>
      <c r="F486" s="83"/>
      <c r="G486" s="83"/>
      <c r="H486" s="83"/>
      <c r="I486" s="6"/>
      <c r="J486" s="6"/>
      <c r="K486" s="6"/>
      <c r="L486" s="6"/>
      <c r="M486" s="6"/>
      <c r="N486" s="6"/>
      <c r="O486" s="6"/>
      <c r="P486" s="6"/>
      <c r="Q486" s="6"/>
      <c r="R486" s="6"/>
      <c r="S486" s="6"/>
    </row>
    <row r="487" spans="1:19">
      <c r="A487" s="83"/>
      <c r="B487" s="82"/>
      <c r="C487" s="82"/>
      <c r="D487" s="82"/>
      <c r="E487" s="82"/>
      <c r="F487" s="83"/>
      <c r="G487" s="83"/>
      <c r="H487" s="83"/>
      <c r="I487" s="6"/>
      <c r="J487" s="6"/>
      <c r="K487" s="6"/>
      <c r="L487" s="6"/>
      <c r="M487" s="6"/>
      <c r="N487" s="6"/>
      <c r="O487" s="6"/>
      <c r="P487" s="6"/>
      <c r="Q487" s="6"/>
      <c r="R487" s="6"/>
      <c r="S487" s="6"/>
    </row>
    <row r="488" spans="1:19">
      <c r="A488" s="83"/>
      <c r="B488" s="82"/>
      <c r="C488" s="82"/>
      <c r="D488" s="82"/>
      <c r="E488" s="82"/>
      <c r="F488" s="83"/>
      <c r="G488" s="83"/>
      <c r="H488" s="83"/>
      <c r="I488" s="6"/>
      <c r="J488" s="6"/>
      <c r="K488" s="6"/>
      <c r="L488" s="6"/>
      <c r="M488" s="6"/>
      <c r="N488" s="6"/>
      <c r="O488" s="6"/>
      <c r="P488" s="6"/>
      <c r="Q488" s="6"/>
      <c r="R488" s="6"/>
      <c r="S488" s="6"/>
    </row>
    <row r="489" spans="1:19">
      <c r="A489" s="83"/>
      <c r="B489" s="82"/>
      <c r="C489" s="82"/>
      <c r="D489" s="82"/>
      <c r="E489" s="82"/>
      <c r="F489" s="83"/>
      <c r="G489" s="83"/>
      <c r="H489" s="83"/>
      <c r="I489" s="6"/>
      <c r="J489" s="6"/>
      <c r="K489" s="6"/>
      <c r="L489" s="6"/>
      <c r="M489" s="6"/>
      <c r="N489" s="6"/>
      <c r="O489" s="6"/>
      <c r="P489" s="6"/>
      <c r="Q489" s="6"/>
      <c r="R489" s="6"/>
      <c r="S489" s="6"/>
    </row>
    <row r="490" spans="1:19">
      <c r="A490" s="83"/>
      <c r="B490" s="82"/>
      <c r="C490" s="82"/>
      <c r="D490" s="82"/>
      <c r="E490" s="82"/>
      <c r="F490" s="83"/>
      <c r="G490" s="83"/>
      <c r="H490" s="83"/>
      <c r="I490" s="6"/>
      <c r="J490" s="6"/>
      <c r="K490" s="6"/>
      <c r="L490" s="6"/>
      <c r="M490" s="6"/>
      <c r="N490" s="6"/>
      <c r="O490" s="6"/>
      <c r="P490" s="6"/>
      <c r="Q490" s="6"/>
      <c r="R490" s="6"/>
      <c r="S490" s="6"/>
    </row>
    <row r="491" spans="1:19">
      <c r="A491" s="83"/>
      <c r="B491" s="82"/>
      <c r="C491" s="82"/>
      <c r="D491" s="82"/>
      <c r="E491" s="82"/>
      <c r="F491" s="83"/>
      <c r="G491" s="83"/>
      <c r="H491" s="83"/>
      <c r="I491" s="6"/>
      <c r="J491" s="6"/>
      <c r="K491" s="6"/>
      <c r="L491" s="6"/>
      <c r="M491" s="6"/>
      <c r="N491" s="6"/>
      <c r="O491" s="6"/>
      <c r="P491" s="6"/>
      <c r="Q491" s="6"/>
      <c r="R491" s="6"/>
      <c r="S491" s="6"/>
    </row>
    <row r="492" spans="1:19">
      <c r="A492" s="83"/>
      <c r="B492" s="82"/>
      <c r="C492" s="82"/>
      <c r="D492" s="82"/>
      <c r="E492" s="82"/>
      <c r="F492" s="83"/>
      <c r="G492" s="83"/>
      <c r="H492" s="83"/>
      <c r="I492" s="6"/>
      <c r="J492" s="6"/>
      <c r="K492" s="6"/>
      <c r="L492" s="6"/>
      <c r="M492" s="6"/>
      <c r="N492" s="6"/>
      <c r="O492" s="6"/>
      <c r="P492" s="6"/>
      <c r="Q492" s="6"/>
      <c r="R492" s="6"/>
      <c r="S492" s="6"/>
    </row>
    <row r="493" spans="1:19">
      <c r="A493" s="83"/>
      <c r="B493" s="82"/>
      <c r="C493" s="82"/>
      <c r="D493" s="82"/>
      <c r="E493" s="82"/>
      <c r="F493" s="83"/>
      <c r="G493" s="83"/>
      <c r="H493" s="83"/>
      <c r="I493" s="6"/>
      <c r="J493" s="6"/>
      <c r="K493" s="6"/>
      <c r="L493" s="6"/>
      <c r="M493" s="6"/>
      <c r="N493" s="6"/>
      <c r="O493" s="6"/>
      <c r="P493" s="6"/>
      <c r="Q493" s="6"/>
      <c r="R493" s="6"/>
      <c r="S493" s="6"/>
    </row>
    <row r="494" spans="1:19">
      <c r="A494" s="83"/>
      <c r="B494" s="82"/>
      <c r="C494" s="82"/>
      <c r="D494" s="82"/>
      <c r="E494" s="82"/>
      <c r="F494" s="83"/>
      <c r="G494" s="83"/>
      <c r="H494" s="83"/>
      <c r="I494" s="6"/>
      <c r="J494" s="6"/>
      <c r="K494" s="6"/>
      <c r="L494" s="6"/>
      <c r="M494" s="6"/>
      <c r="N494" s="6"/>
      <c r="O494" s="6"/>
      <c r="P494" s="6"/>
      <c r="Q494" s="6"/>
      <c r="R494" s="6"/>
      <c r="S494" s="6"/>
    </row>
    <row r="495" spans="1:19">
      <c r="A495" s="83"/>
      <c r="B495" s="82"/>
      <c r="C495" s="82"/>
      <c r="D495" s="82"/>
      <c r="E495" s="82"/>
      <c r="F495" s="83"/>
      <c r="G495" s="83"/>
      <c r="H495" s="83"/>
      <c r="I495" s="6"/>
      <c r="J495" s="6"/>
      <c r="K495" s="6"/>
      <c r="L495" s="6"/>
      <c r="M495" s="6"/>
      <c r="N495" s="6"/>
      <c r="O495" s="6"/>
      <c r="P495" s="6"/>
      <c r="Q495" s="6"/>
      <c r="R495" s="6"/>
      <c r="S495" s="6"/>
    </row>
    <row r="496" spans="1:19">
      <c r="A496" s="83"/>
      <c r="B496" s="82"/>
      <c r="C496" s="82"/>
      <c r="D496" s="82"/>
      <c r="E496" s="82"/>
      <c r="F496" s="83"/>
      <c r="G496" s="83"/>
      <c r="H496" s="83"/>
      <c r="I496" s="6"/>
      <c r="J496" s="6"/>
      <c r="K496" s="6"/>
      <c r="L496" s="6"/>
      <c r="M496" s="6"/>
      <c r="N496" s="6"/>
      <c r="O496" s="6"/>
      <c r="P496" s="6"/>
      <c r="Q496" s="6"/>
      <c r="R496" s="6"/>
      <c r="S496" s="6"/>
    </row>
    <row r="497" spans="1:19">
      <c r="A497" s="83"/>
      <c r="B497" s="82"/>
      <c r="C497" s="82"/>
      <c r="D497" s="82"/>
      <c r="E497" s="82"/>
      <c r="F497" s="83"/>
      <c r="G497" s="83"/>
      <c r="H497" s="83"/>
      <c r="I497" s="6"/>
      <c r="J497" s="6"/>
      <c r="K497" s="6"/>
      <c r="L497" s="6"/>
      <c r="M497" s="6"/>
      <c r="N497" s="6"/>
      <c r="O497" s="6"/>
      <c r="P497" s="6"/>
      <c r="Q497" s="6"/>
      <c r="R497" s="6"/>
      <c r="S497" s="6"/>
    </row>
    <row r="498" spans="1:19">
      <c r="A498" s="83"/>
      <c r="B498" s="82"/>
      <c r="C498" s="82"/>
      <c r="D498" s="82"/>
      <c r="E498" s="82"/>
      <c r="F498" s="83"/>
      <c r="G498" s="83"/>
      <c r="H498" s="83"/>
      <c r="I498" s="6"/>
      <c r="J498" s="6"/>
      <c r="K498" s="6"/>
      <c r="L498" s="6"/>
      <c r="M498" s="6"/>
      <c r="N498" s="6"/>
      <c r="O498" s="6"/>
      <c r="P498" s="6"/>
      <c r="Q498" s="6"/>
      <c r="R498" s="6"/>
      <c r="S498" s="6"/>
    </row>
    <row r="499" spans="1:19">
      <c r="A499" s="83"/>
      <c r="B499" s="82"/>
      <c r="C499" s="82"/>
      <c r="D499" s="82"/>
      <c r="E499" s="82"/>
      <c r="F499" s="83"/>
      <c r="G499" s="83"/>
      <c r="H499" s="83"/>
      <c r="I499" s="6"/>
      <c r="J499" s="6"/>
      <c r="K499" s="6"/>
      <c r="L499" s="6"/>
      <c r="M499" s="6"/>
      <c r="N499" s="6"/>
      <c r="O499" s="6"/>
      <c r="P499" s="6"/>
      <c r="Q499" s="6"/>
      <c r="R499" s="6"/>
      <c r="S499" s="6"/>
    </row>
    <row r="500" spans="1:19">
      <c r="A500" s="83"/>
      <c r="B500" s="82"/>
      <c r="C500" s="82"/>
      <c r="D500" s="82"/>
      <c r="E500" s="82"/>
      <c r="F500" s="83"/>
      <c r="G500" s="83"/>
      <c r="H500" s="83"/>
      <c r="I500" s="6"/>
      <c r="J500" s="6"/>
      <c r="K500" s="6"/>
      <c r="L500" s="6"/>
      <c r="M500" s="6"/>
      <c r="N500" s="6"/>
      <c r="O500" s="6"/>
      <c r="P500" s="6"/>
      <c r="Q500" s="6"/>
      <c r="R500" s="6"/>
      <c r="S500" s="6"/>
    </row>
    <row r="501" spans="1:19">
      <c r="A501" s="83"/>
      <c r="B501" s="82"/>
      <c r="C501" s="82"/>
      <c r="D501" s="82"/>
      <c r="E501" s="82"/>
      <c r="F501" s="83"/>
      <c r="G501" s="83"/>
      <c r="H501" s="83"/>
      <c r="I501" s="6"/>
      <c r="J501" s="6"/>
      <c r="K501" s="6"/>
      <c r="L501" s="6"/>
      <c r="M501" s="6"/>
      <c r="N501" s="6"/>
      <c r="O501" s="6"/>
      <c r="P501" s="6"/>
      <c r="Q501" s="6"/>
      <c r="R501" s="6"/>
      <c r="S501" s="6"/>
    </row>
    <row r="502" spans="1:19">
      <c r="A502" s="83"/>
      <c r="B502" s="82"/>
      <c r="C502" s="82"/>
      <c r="D502" s="82"/>
      <c r="E502" s="82"/>
      <c r="F502" s="83"/>
      <c r="G502" s="83"/>
      <c r="H502" s="83"/>
      <c r="I502" s="6"/>
      <c r="J502" s="6"/>
      <c r="K502" s="6"/>
      <c r="L502" s="6"/>
      <c r="M502" s="6"/>
      <c r="N502" s="6"/>
      <c r="O502" s="6"/>
      <c r="P502" s="6"/>
      <c r="Q502" s="6"/>
      <c r="R502" s="6"/>
      <c r="S502" s="6"/>
    </row>
    <row r="503" spans="1:19">
      <c r="A503" s="83"/>
      <c r="B503" s="82"/>
      <c r="C503" s="82"/>
      <c r="D503" s="82"/>
      <c r="E503" s="82"/>
      <c r="F503" s="83"/>
      <c r="G503" s="83"/>
      <c r="H503" s="83"/>
      <c r="I503" s="6"/>
      <c r="J503" s="6"/>
      <c r="K503" s="6"/>
      <c r="L503" s="6"/>
      <c r="M503" s="6"/>
      <c r="N503" s="6"/>
      <c r="O503" s="6"/>
      <c r="P503" s="6"/>
      <c r="Q503" s="6"/>
      <c r="R503" s="6"/>
      <c r="S503" s="6"/>
    </row>
    <row r="504" spans="1:19">
      <c r="A504" s="83"/>
      <c r="B504" s="82"/>
      <c r="C504" s="82"/>
      <c r="D504" s="82"/>
      <c r="E504" s="82"/>
      <c r="F504" s="83"/>
      <c r="G504" s="83"/>
      <c r="H504" s="83"/>
      <c r="I504" s="6"/>
      <c r="J504" s="6"/>
      <c r="K504" s="6"/>
      <c r="L504" s="6"/>
      <c r="M504" s="6"/>
      <c r="N504" s="6"/>
      <c r="O504" s="6"/>
      <c r="P504" s="6"/>
      <c r="Q504" s="6"/>
      <c r="R504" s="6"/>
      <c r="S504" s="6"/>
    </row>
    <row r="505" spans="1:19">
      <c r="A505" s="83"/>
      <c r="B505" s="82"/>
      <c r="C505" s="82"/>
      <c r="D505" s="82"/>
      <c r="E505" s="82"/>
      <c r="F505" s="83"/>
      <c r="G505" s="83"/>
      <c r="H505" s="83"/>
      <c r="I505" s="6"/>
      <c r="J505" s="6"/>
      <c r="K505" s="6"/>
      <c r="L505" s="6"/>
      <c r="M505" s="6"/>
      <c r="N505" s="6"/>
      <c r="O505" s="6"/>
      <c r="P505" s="6"/>
      <c r="Q505" s="6"/>
      <c r="R505" s="6"/>
      <c r="S505" s="6"/>
    </row>
    <row r="506" spans="1:19">
      <c r="A506" s="83"/>
      <c r="B506" s="82"/>
      <c r="C506" s="82"/>
      <c r="D506" s="82"/>
      <c r="E506" s="82"/>
      <c r="F506" s="83"/>
      <c r="G506" s="83"/>
      <c r="H506" s="83"/>
      <c r="I506" s="6"/>
      <c r="J506" s="6"/>
      <c r="K506" s="6"/>
      <c r="L506" s="6"/>
      <c r="M506" s="6"/>
      <c r="N506" s="6"/>
      <c r="O506" s="6"/>
      <c r="P506" s="6"/>
      <c r="Q506" s="6"/>
      <c r="R506" s="6"/>
      <c r="S506" s="6"/>
    </row>
    <row r="507" spans="1:19">
      <c r="A507" s="83"/>
      <c r="B507" s="82"/>
      <c r="C507" s="82"/>
      <c r="D507" s="82"/>
      <c r="E507" s="82"/>
      <c r="F507" s="83"/>
      <c r="G507" s="83"/>
      <c r="H507" s="83"/>
      <c r="I507" s="6"/>
      <c r="J507" s="6"/>
      <c r="K507" s="6"/>
      <c r="L507" s="6"/>
      <c r="M507" s="6"/>
      <c r="N507" s="6"/>
      <c r="O507" s="6"/>
      <c r="P507" s="6"/>
      <c r="Q507" s="6"/>
      <c r="R507" s="6"/>
      <c r="S507" s="6"/>
    </row>
    <row r="508" spans="1:19">
      <c r="A508" s="83"/>
      <c r="B508" s="82"/>
      <c r="C508" s="82"/>
      <c r="D508" s="82"/>
      <c r="E508" s="82"/>
      <c r="F508" s="83"/>
      <c r="G508" s="83"/>
      <c r="H508" s="83"/>
      <c r="I508" s="6"/>
      <c r="J508" s="6"/>
      <c r="K508" s="6"/>
      <c r="L508" s="6"/>
      <c r="M508" s="6"/>
      <c r="N508" s="6"/>
      <c r="O508" s="6"/>
      <c r="P508" s="6"/>
      <c r="Q508" s="6"/>
      <c r="R508" s="6"/>
      <c r="S508" s="6"/>
    </row>
    <row r="509" spans="1:19">
      <c r="A509" s="83"/>
      <c r="B509" s="82"/>
      <c r="C509" s="82"/>
      <c r="D509" s="82"/>
      <c r="E509" s="82"/>
      <c r="F509" s="83"/>
      <c r="G509" s="83"/>
      <c r="H509" s="83"/>
      <c r="I509" s="6"/>
      <c r="J509" s="6"/>
      <c r="K509" s="6"/>
      <c r="L509" s="6"/>
      <c r="M509" s="6"/>
      <c r="N509" s="6"/>
      <c r="O509" s="6"/>
      <c r="P509" s="6"/>
      <c r="Q509" s="6"/>
      <c r="R509" s="6"/>
      <c r="S509" s="6"/>
    </row>
    <row r="510" spans="1:19">
      <c r="A510" s="83"/>
      <c r="B510" s="82"/>
      <c r="C510" s="82"/>
      <c r="D510" s="82"/>
      <c r="E510" s="82"/>
      <c r="F510" s="83"/>
      <c r="G510" s="83"/>
      <c r="H510" s="83"/>
      <c r="I510" s="6"/>
      <c r="J510" s="6"/>
      <c r="K510" s="6"/>
      <c r="L510" s="6"/>
      <c r="M510" s="6"/>
      <c r="N510" s="6"/>
      <c r="O510" s="6"/>
      <c r="P510" s="6"/>
      <c r="Q510" s="6"/>
      <c r="R510" s="6"/>
      <c r="S510" s="6"/>
    </row>
    <row r="511" spans="1:19">
      <c r="A511" s="83"/>
      <c r="B511" s="82"/>
      <c r="C511" s="82"/>
      <c r="D511" s="82"/>
      <c r="E511" s="82"/>
      <c r="F511" s="83"/>
      <c r="G511" s="83"/>
      <c r="H511" s="83"/>
      <c r="I511" s="6"/>
      <c r="J511" s="6"/>
      <c r="K511" s="6"/>
      <c r="L511" s="6"/>
      <c r="M511" s="6"/>
      <c r="N511" s="6"/>
      <c r="O511" s="6"/>
      <c r="P511" s="6"/>
      <c r="Q511" s="6"/>
      <c r="R511" s="6"/>
      <c r="S511" s="6"/>
    </row>
    <row r="512" spans="1:19">
      <c r="A512" s="83"/>
      <c r="B512" s="82"/>
      <c r="C512" s="82"/>
      <c r="D512" s="82"/>
      <c r="E512" s="82"/>
      <c r="F512" s="83"/>
      <c r="G512" s="83"/>
      <c r="H512" s="83"/>
      <c r="I512" s="6"/>
      <c r="J512" s="6"/>
      <c r="K512" s="6"/>
      <c r="L512" s="6"/>
      <c r="M512" s="6"/>
      <c r="N512" s="6"/>
      <c r="O512" s="6"/>
      <c r="P512" s="6"/>
      <c r="Q512" s="6"/>
      <c r="R512" s="6"/>
      <c r="S512" s="6"/>
    </row>
    <row r="513" spans="1:19">
      <c r="A513" s="83"/>
      <c r="B513" s="82"/>
      <c r="C513" s="82"/>
      <c r="D513" s="82"/>
      <c r="E513" s="82"/>
      <c r="F513" s="83"/>
      <c r="G513" s="83"/>
      <c r="H513" s="83"/>
      <c r="I513" s="6"/>
      <c r="J513" s="6"/>
      <c r="K513" s="6"/>
      <c r="L513" s="6"/>
      <c r="M513" s="6"/>
      <c r="N513" s="6"/>
      <c r="O513" s="6"/>
      <c r="P513" s="6"/>
      <c r="Q513" s="6"/>
      <c r="R513" s="6"/>
      <c r="S513" s="6"/>
    </row>
    <row r="514" spans="1:19">
      <c r="A514" s="83"/>
      <c r="B514" s="82"/>
      <c r="C514" s="82"/>
      <c r="D514" s="82"/>
      <c r="E514" s="82"/>
      <c r="F514" s="83"/>
      <c r="G514" s="83"/>
      <c r="H514" s="83"/>
      <c r="I514" s="6"/>
      <c r="J514" s="6"/>
      <c r="K514" s="6"/>
      <c r="L514" s="6"/>
      <c r="M514" s="6"/>
      <c r="N514" s="6"/>
      <c r="O514" s="6"/>
      <c r="P514" s="6"/>
      <c r="Q514" s="6"/>
      <c r="R514" s="6"/>
      <c r="S514" s="6"/>
    </row>
    <row r="515" spans="1:19">
      <c r="A515" s="83"/>
      <c r="B515" s="82"/>
      <c r="C515" s="82"/>
      <c r="D515" s="82"/>
      <c r="E515" s="82"/>
      <c r="F515" s="83"/>
      <c r="G515" s="83"/>
      <c r="H515" s="83"/>
      <c r="I515" s="6"/>
      <c r="J515" s="6"/>
      <c r="K515" s="6"/>
      <c r="L515" s="6"/>
      <c r="M515" s="6"/>
      <c r="N515" s="6"/>
      <c r="O515" s="6"/>
      <c r="P515" s="6"/>
      <c r="Q515" s="6"/>
      <c r="R515" s="6"/>
      <c r="S515" s="6"/>
    </row>
    <row r="516" spans="1:19">
      <c r="A516" s="83"/>
      <c r="B516" s="82"/>
      <c r="C516" s="82"/>
      <c r="D516" s="82"/>
      <c r="E516" s="82"/>
      <c r="F516" s="83"/>
      <c r="G516" s="83"/>
      <c r="H516" s="83"/>
      <c r="I516" s="6"/>
      <c r="J516" s="6"/>
      <c r="K516" s="6"/>
      <c r="L516" s="6"/>
      <c r="M516" s="6"/>
      <c r="N516" s="6"/>
      <c r="O516" s="6"/>
      <c r="P516" s="6"/>
      <c r="Q516" s="6"/>
      <c r="R516" s="6"/>
      <c r="S516" s="6"/>
    </row>
    <row r="517" spans="1:19">
      <c r="A517" s="83"/>
      <c r="B517" s="82"/>
      <c r="C517" s="82"/>
      <c r="D517" s="82"/>
      <c r="E517" s="82"/>
      <c r="F517" s="83"/>
      <c r="G517" s="83"/>
      <c r="H517" s="83"/>
      <c r="I517" s="6"/>
      <c r="J517" s="6"/>
      <c r="K517" s="6"/>
      <c r="L517" s="6"/>
      <c r="M517" s="6"/>
      <c r="N517" s="6"/>
      <c r="O517" s="6"/>
      <c r="P517" s="6"/>
      <c r="Q517" s="6"/>
      <c r="R517" s="6"/>
      <c r="S517" s="6"/>
    </row>
    <row r="518" spans="1:19">
      <c r="A518" s="83"/>
      <c r="B518" s="82"/>
      <c r="C518" s="82"/>
      <c r="D518" s="82"/>
      <c r="E518" s="82"/>
      <c r="F518" s="83"/>
      <c r="G518" s="83"/>
      <c r="H518" s="83"/>
      <c r="I518" s="6"/>
      <c r="J518" s="6"/>
      <c r="K518" s="6"/>
      <c r="L518" s="6"/>
      <c r="M518" s="6"/>
      <c r="N518" s="6"/>
      <c r="O518" s="6"/>
      <c r="P518" s="6"/>
      <c r="Q518" s="6"/>
      <c r="R518" s="6"/>
      <c r="S518" s="6"/>
    </row>
    <row r="519" spans="1:19">
      <c r="A519" s="83"/>
      <c r="B519" s="82"/>
      <c r="C519" s="82"/>
      <c r="D519" s="82"/>
      <c r="E519" s="82"/>
      <c r="F519" s="83"/>
      <c r="G519" s="83"/>
      <c r="H519" s="83"/>
      <c r="I519" s="6"/>
      <c r="J519" s="6"/>
      <c r="K519" s="6"/>
      <c r="L519" s="6"/>
      <c r="M519" s="6"/>
      <c r="N519" s="6"/>
      <c r="O519" s="6"/>
      <c r="P519" s="6"/>
      <c r="Q519" s="6"/>
      <c r="R519" s="6"/>
      <c r="S519" s="6"/>
    </row>
    <row r="520" spans="1:19">
      <c r="A520" s="83"/>
      <c r="B520" s="82"/>
      <c r="C520" s="82"/>
      <c r="D520" s="82"/>
      <c r="E520" s="82"/>
      <c r="F520" s="83"/>
      <c r="G520" s="83"/>
      <c r="H520" s="83"/>
      <c r="I520" s="6"/>
      <c r="J520" s="6"/>
      <c r="K520" s="6"/>
      <c r="L520" s="6"/>
      <c r="M520" s="6"/>
      <c r="N520" s="6"/>
      <c r="O520" s="6"/>
      <c r="P520" s="6"/>
      <c r="Q520" s="6"/>
      <c r="R520" s="6"/>
      <c r="S520" s="6"/>
    </row>
    <row r="521" spans="1:19">
      <c r="A521" s="83"/>
      <c r="B521" s="82"/>
      <c r="C521" s="82"/>
      <c r="D521" s="82"/>
      <c r="E521" s="82"/>
      <c r="F521" s="83"/>
      <c r="G521" s="83"/>
      <c r="H521" s="83"/>
      <c r="I521" s="6"/>
      <c r="J521" s="6"/>
      <c r="K521" s="6"/>
      <c r="L521" s="6"/>
      <c r="M521" s="6"/>
      <c r="N521" s="6"/>
      <c r="O521" s="6"/>
      <c r="P521" s="6"/>
      <c r="Q521" s="6"/>
      <c r="R521" s="6"/>
      <c r="S521" s="6"/>
    </row>
    <row r="522" spans="1:19">
      <c r="A522" s="83"/>
      <c r="B522" s="82"/>
      <c r="C522" s="82"/>
      <c r="D522" s="82"/>
      <c r="E522" s="82"/>
      <c r="F522" s="83"/>
      <c r="G522" s="83"/>
      <c r="H522" s="83"/>
      <c r="I522" s="6"/>
      <c r="J522" s="6"/>
      <c r="K522" s="6"/>
      <c r="L522" s="6"/>
      <c r="M522" s="6"/>
      <c r="N522" s="6"/>
      <c r="O522" s="6"/>
      <c r="P522" s="6"/>
      <c r="Q522" s="6"/>
      <c r="R522" s="6"/>
      <c r="S522" s="6"/>
    </row>
    <row r="523" spans="1:19">
      <c r="A523" s="83"/>
      <c r="B523" s="82"/>
      <c r="C523" s="82"/>
      <c r="D523" s="82"/>
      <c r="E523" s="82"/>
      <c r="F523" s="83"/>
      <c r="G523" s="83"/>
      <c r="H523" s="83"/>
      <c r="I523" s="6"/>
      <c r="J523" s="6"/>
      <c r="K523" s="6"/>
      <c r="L523" s="6"/>
      <c r="M523" s="6"/>
      <c r="N523" s="6"/>
      <c r="O523" s="6"/>
      <c r="P523" s="6"/>
      <c r="Q523" s="6"/>
      <c r="R523" s="6"/>
      <c r="S523" s="6"/>
    </row>
    <row r="524" spans="1:19">
      <c r="A524" s="83"/>
      <c r="B524" s="82"/>
      <c r="C524" s="82"/>
      <c r="D524" s="82"/>
      <c r="E524" s="82"/>
      <c r="F524" s="83"/>
      <c r="G524" s="83"/>
      <c r="H524" s="83"/>
      <c r="I524" s="6"/>
      <c r="J524" s="6"/>
      <c r="K524" s="6"/>
      <c r="L524" s="6"/>
      <c r="M524" s="6"/>
      <c r="N524" s="6"/>
      <c r="O524" s="6"/>
      <c r="P524" s="6"/>
      <c r="Q524" s="6"/>
      <c r="R524" s="6"/>
      <c r="S524" s="6"/>
    </row>
    <row r="525" spans="1:19">
      <c r="A525" s="83"/>
      <c r="B525" s="82"/>
      <c r="C525" s="82"/>
      <c r="D525" s="82"/>
      <c r="E525" s="82"/>
      <c r="F525" s="83"/>
      <c r="G525" s="83"/>
      <c r="H525" s="83"/>
      <c r="I525" s="6"/>
      <c r="J525" s="6"/>
      <c r="K525" s="6"/>
      <c r="L525" s="6"/>
      <c r="M525" s="6"/>
      <c r="N525" s="6"/>
      <c r="O525" s="6"/>
      <c r="P525" s="6"/>
      <c r="Q525" s="6"/>
      <c r="R525" s="6"/>
      <c r="S525" s="6"/>
    </row>
    <row r="526" spans="1:19">
      <c r="A526" s="83"/>
      <c r="B526" s="82"/>
      <c r="C526" s="82"/>
      <c r="D526" s="82"/>
      <c r="E526" s="82"/>
      <c r="F526" s="83"/>
      <c r="G526" s="83"/>
      <c r="H526" s="83"/>
      <c r="I526" s="6"/>
      <c r="J526" s="6"/>
      <c r="K526" s="6"/>
      <c r="L526" s="6"/>
      <c r="M526" s="6"/>
      <c r="N526" s="6"/>
      <c r="O526" s="6"/>
      <c r="P526" s="6"/>
      <c r="Q526" s="6"/>
      <c r="R526" s="6"/>
      <c r="S526" s="6"/>
    </row>
    <row r="527" spans="1:19">
      <c r="A527" s="83"/>
      <c r="B527" s="82"/>
      <c r="C527" s="82"/>
      <c r="D527" s="82"/>
      <c r="E527" s="82"/>
      <c r="F527" s="83"/>
      <c r="G527" s="83"/>
      <c r="H527" s="83"/>
      <c r="I527" s="6"/>
      <c r="J527" s="6"/>
      <c r="K527" s="6"/>
      <c r="L527" s="6"/>
      <c r="M527" s="6"/>
      <c r="N527" s="6"/>
      <c r="O527" s="6"/>
      <c r="P527" s="6"/>
      <c r="Q527" s="6"/>
      <c r="R527" s="6"/>
      <c r="S527" s="6"/>
    </row>
    <row r="528" spans="1:19">
      <c r="A528" s="83"/>
      <c r="B528" s="82"/>
      <c r="C528" s="82"/>
      <c r="D528" s="82"/>
      <c r="E528" s="82"/>
      <c r="F528" s="83"/>
      <c r="G528" s="83"/>
      <c r="H528" s="83"/>
      <c r="I528" s="6"/>
      <c r="J528" s="6"/>
      <c r="K528" s="6"/>
      <c r="L528" s="6"/>
      <c r="M528" s="6"/>
      <c r="N528" s="6"/>
      <c r="O528" s="6"/>
      <c r="P528" s="6"/>
      <c r="Q528" s="6"/>
      <c r="R528" s="6"/>
      <c r="S528" s="6"/>
    </row>
    <row r="529" spans="1:19">
      <c r="A529" s="83"/>
      <c r="B529" s="82"/>
      <c r="C529" s="82"/>
      <c r="D529" s="82"/>
      <c r="E529" s="82"/>
      <c r="F529" s="83"/>
      <c r="G529" s="83"/>
      <c r="H529" s="83"/>
      <c r="I529" s="6"/>
      <c r="J529" s="6"/>
      <c r="K529" s="6"/>
      <c r="L529" s="6"/>
      <c r="M529" s="6"/>
      <c r="N529" s="6"/>
      <c r="O529" s="6"/>
      <c r="P529" s="6"/>
      <c r="Q529" s="6"/>
      <c r="R529" s="6"/>
      <c r="S529" s="6"/>
    </row>
    <row r="530" spans="1:19">
      <c r="A530" s="83"/>
      <c r="B530" s="82"/>
      <c r="C530" s="82"/>
      <c r="D530" s="82"/>
      <c r="E530" s="82"/>
      <c r="F530" s="83"/>
      <c r="G530" s="83"/>
      <c r="H530" s="83"/>
      <c r="I530" s="6"/>
      <c r="J530" s="6"/>
      <c r="K530" s="6"/>
      <c r="L530" s="6"/>
      <c r="M530" s="6"/>
      <c r="N530" s="6"/>
      <c r="O530" s="6"/>
      <c r="P530" s="6"/>
      <c r="Q530" s="6"/>
      <c r="R530" s="6"/>
      <c r="S530" s="6"/>
    </row>
    <row r="531" spans="1:19">
      <c r="A531" s="83"/>
      <c r="B531" s="82"/>
      <c r="C531" s="82"/>
      <c r="D531" s="82"/>
      <c r="E531" s="82"/>
      <c r="F531" s="83"/>
      <c r="G531" s="83"/>
      <c r="H531" s="83"/>
      <c r="I531" s="6"/>
      <c r="J531" s="6"/>
      <c r="K531" s="6"/>
      <c r="L531" s="6"/>
      <c r="M531" s="6"/>
      <c r="N531" s="6"/>
      <c r="O531" s="6"/>
      <c r="P531" s="6"/>
      <c r="Q531" s="6"/>
      <c r="R531" s="6"/>
      <c r="S531" s="6"/>
    </row>
    <row r="532" spans="1:19">
      <c r="A532" s="83"/>
      <c r="B532" s="82"/>
      <c r="C532" s="82"/>
      <c r="D532" s="82"/>
      <c r="E532" s="82"/>
      <c r="F532" s="83"/>
      <c r="G532" s="83"/>
      <c r="H532" s="83"/>
      <c r="I532" s="6"/>
      <c r="J532" s="6"/>
      <c r="K532" s="6"/>
      <c r="L532" s="6"/>
      <c r="M532" s="6"/>
      <c r="N532" s="6"/>
      <c r="O532" s="6"/>
      <c r="P532" s="6"/>
      <c r="Q532" s="6"/>
      <c r="R532" s="6"/>
      <c r="S532" s="6"/>
    </row>
    <row r="533" spans="1:19">
      <c r="A533" s="83"/>
      <c r="B533" s="82"/>
      <c r="C533" s="82"/>
      <c r="D533" s="82"/>
      <c r="E533" s="82"/>
      <c r="F533" s="83"/>
      <c r="G533" s="83"/>
      <c r="H533" s="83"/>
      <c r="I533" s="6"/>
      <c r="J533" s="6"/>
      <c r="K533" s="6"/>
      <c r="L533" s="6"/>
      <c r="M533" s="6"/>
      <c r="N533" s="6"/>
      <c r="O533" s="6"/>
      <c r="P533" s="6"/>
      <c r="Q533" s="6"/>
      <c r="R533" s="6"/>
      <c r="S533" s="6"/>
    </row>
    <row r="534" spans="1:19">
      <c r="A534" s="83"/>
      <c r="B534" s="82"/>
      <c r="C534" s="82"/>
      <c r="D534" s="82"/>
      <c r="E534" s="82"/>
      <c r="F534" s="83"/>
      <c r="G534" s="83"/>
      <c r="H534" s="83"/>
      <c r="I534" s="6"/>
      <c r="J534" s="6"/>
      <c r="K534" s="6"/>
      <c r="L534" s="6"/>
      <c r="M534" s="6"/>
      <c r="N534" s="6"/>
      <c r="O534" s="6"/>
      <c r="P534" s="6"/>
      <c r="Q534" s="6"/>
      <c r="R534" s="6"/>
      <c r="S534" s="6"/>
    </row>
    <row r="535" spans="1:19">
      <c r="A535" s="83"/>
      <c r="B535" s="82"/>
      <c r="C535" s="82"/>
      <c r="D535" s="82"/>
      <c r="E535" s="82"/>
      <c r="F535" s="83"/>
      <c r="G535" s="83"/>
      <c r="H535" s="83"/>
      <c r="I535" s="6"/>
      <c r="J535" s="6"/>
      <c r="K535" s="6"/>
      <c r="L535" s="6"/>
      <c r="M535" s="6"/>
      <c r="N535" s="6"/>
      <c r="O535" s="6"/>
      <c r="P535" s="6"/>
      <c r="Q535" s="6"/>
      <c r="R535" s="6"/>
      <c r="S535" s="6"/>
    </row>
    <row r="536" spans="1:19">
      <c r="A536" s="83"/>
      <c r="B536" s="82"/>
      <c r="C536" s="82"/>
      <c r="D536" s="82"/>
      <c r="E536" s="82"/>
      <c r="F536" s="83"/>
      <c r="G536" s="83"/>
      <c r="H536" s="83"/>
      <c r="I536" s="6"/>
      <c r="J536" s="6"/>
      <c r="K536" s="6"/>
      <c r="L536" s="6"/>
      <c r="M536" s="6"/>
      <c r="N536" s="6"/>
      <c r="O536" s="6"/>
      <c r="P536" s="6"/>
      <c r="Q536" s="6"/>
      <c r="R536" s="6"/>
      <c r="S536" s="6"/>
    </row>
    <row r="537" spans="1:19">
      <c r="A537" s="83"/>
      <c r="B537" s="82"/>
      <c r="C537" s="82"/>
      <c r="D537" s="82"/>
      <c r="E537" s="82"/>
      <c r="F537" s="83"/>
      <c r="G537" s="83"/>
      <c r="H537" s="83"/>
      <c r="I537" s="6"/>
      <c r="J537" s="6"/>
      <c r="K537" s="6"/>
      <c r="L537" s="6"/>
      <c r="M537" s="6"/>
      <c r="N537" s="6"/>
      <c r="O537" s="6"/>
      <c r="P537" s="6"/>
      <c r="Q537" s="6"/>
      <c r="R537" s="6"/>
      <c r="S537" s="6"/>
    </row>
    <row r="538" spans="1:19">
      <c r="A538" s="83"/>
      <c r="B538" s="82"/>
      <c r="C538" s="82"/>
      <c r="D538" s="82"/>
      <c r="E538" s="82"/>
      <c r="F538" s="83"/>
      <c r="G538" s="83"/>
      <c r="H538" s="83"/>
      <c r="I538" s="6"/>
      <c r="J538" s="6"/>
      <c r="K538" s="6"/>
      <c r="L538" s="6"/>
      <c r="M538" s="6"/>
      <c r="N538" s="6"/>
      <c r="O538" s="6"/>
      <c r="P538" s="6"/>
      <c r="Q538" s="6"/>
      <c r="R538" s="6"/>
      <c r="S538" s="6"/>
    </row>
    <row r="539" spans="1:19">
      <c r="A539" s="83"/>
      <c r="B539" s="82"/>
      <c r="C539" s="82"/>
      <c r="D539" s="82"/>
      <c r="E539" s="82"/>
      <c r="F539" s="83"/>
      <c r="G539" s="83"/>
      <c r="H539" s="83"/>
      <c r="I539" s="6"/>
      <c r="J539" s="6"/>
      <c r="K539" s="6"/>
      <c r="L539" s="6"/>
      <c r="M539" s="6"/>
      <c r="N539" s="6"/>
      <c r="O539" s="6"/>
      <c r="P539" s="6"/>
      <c r="Q539" s="6"/>
      <c r="R539" s="6"/>
      <c r="S539" s="6"/>
    </row>
    <row r="540" spans="1:19">
      <c r="A540" s="83"/>
      <c r="B540" s="82"/>
      <c r="C540" s="82"/>
      <c r="D540" s="82"/>
      <c r="E540" s="82"/>
      <c r="F540" s="83"/>
      <c r="G540" s="83"/>
      <c r="H540" s="83"/>
      <c r="I540" s="6"/>
      <c r="J540" s="6"/>
      <c r="K540" s="6"/>
      <c r="L540" s="6"/>
      <c r="M540" s="6"/>
      <c r="N540" s="6"/>
      <c r="O540" s="6"/>
      <c r="P540" s="6"/>
      <c r="Q540" s="6"/>
      <c r="R540" s="6"/>
      <c r="S540" s="6"/>
    </row>
    <row r="541" spans="1:19">
      <c r="A541" s="83"/>
      <c r="B541" s="82"/>
      <c r="C541" s="82"/>
      <c r="D541" s="82"/>
      <c r="E541" s="82"/>
      <c r="F541" s="83"/>
      <c r="G541" s="83"/>
      <c r="H541" s="83"/>
      <c r="I541" s="6"/>
      <c r="J541" s="6"/>
      <c r="K541" s="6"/>
      <c r="L541" s="6"/>
      <c r="M541" s="6"/>
      <c r="N541" s="6"/>
      <c r="O541" s="6"/>
      <c r="P541" s="6"/>
      <c r="Q541" s="6"/>
      <c r="R541" s="6"/>
      <c r="S541" s="6"/>
    </row>
    <row r="542" spans="1:19">
      <c r="A542" s="83"/>
      <c r="B542" s="82"/>
      <c r="C542" s="82"/>
      <c r="D542" s="82"/>
      <c r="E542" s="82"/>
      <c r="F542" s="83"/>
      <c r="G542" s="83"/>
      <c r="H542" s="83"/>
      <c r="I542" s="6"/>
      <c r="J542" s="6"/>
      <c r="K542" s="6"/>
      <c r="L542" s="6"/>
      <c r="M542" s="6"/>
      <c r="N542" s="6"/>
      <c r="O542" s="6"/>
      <c r="P542" s="6"/>
      <c r="Q542" s="6"/>
      <c r="R542" s="6"/>
      <c r="S542" s="6"/>
    </row>
    <row r="543" spans="1:19">
      <c r="A543" s="83"/>
      <c r="B543" s="82"/>
      <c r="C543" s="82"/>
      <c r="D543" s="82"/>
      <c r="E543" s="82"/>
      <c r="F543" s="83"/>
      <c r="G543" s="83"/>
      <c r="H543" s="83"/>
      <c r="I543" s="6"/>
      <c r="J543" s="6"/>
      <c r="K543" s="6"/>
      <c r="L543" s="6"/>
      <c r="M543" s="6"/>
      <c r="N543" s="6"/>
      <c r="O543" s="6"/>
      <c r="P543" s="6"/>
      <c r="Q543" s="6"/>
      <c r="R543" s="6"/>
      <c r="S543" s="6"/>
    </row>
    <row r="544" spans="1:19">
      <c r="A544" s="83"/>
      <c r="B544" s="82"/>
      <c r="C544" s="82"/>
      <c r="D544" s="82"/>
      <c r="E544" s="82"/>
      <c r="F544" s="83"/>
      <c r="G544" s="83"/>
      <c r="H544" s="83"/>
      <c r="I544" s="6"/>
      <c r="J544" s="6"/>
      <c r="K544" s="6"/>
      <c r="L544" s="6"/>
      <c r="M544" s="6"/>
      <c r="N544" s="6"/>
      <c r="O544" s="6"/>
      <c r="P544" s="6"/>
      <c r="Q544" s="6"/>
      <c r="R544" s="6"/>
      <c r="S544" s="6"/>
    </row>
    <row r="545" spans="1:19">
      <c r="A545" s="83"/>
      <c r="B545" s="82"/>
      <c r="C545" s="82"/>
      <c r="D545" s="82"/>
      <c r="E545" s="82"/>
      <c r="F545" s="83"/>
      <c r="G545" s="83"/>
      <c r="H545" s="83"/>
      <c r="I545" s="6"/>
      <c r="J545" s="6"/>
      <c r="K545" s="6"/>
      <c r="L545" s="6"/>
      <c r="M545" s="6"/>
      <c r="N545" s="6"/>
      <c r="O545" s="6"/>
      <c r="P545" s="6"/>
      <c r="Q545" s="6"/>
      <c r="R545" s="6"/>
      <c r="S545" s="6"/>
    </row>
    <row r="546" spans="1:19">
      <c r="A546" s="83"/>
      <c r="B546" s="82"/>
      <c r="C546" s="82"/>
      <c r="D546" s="82"/>
      <c r="E546" s="82"/>
      <c r="F546" s="83"/>
      <c r="G546" s="83"/>
      <c r="H546" s="83"/>
      <c r="I546" s="6"/>
      <c r="J546" s="6"/>
      <c r="K546" s="6"/>
      <c r="L546" s="6"/>
      <c r="M546" s="6"/>
      <c r="N546" s="6"/>
      <c r="O546" s="6"/>
      <c r="P546" s="6"/>
      <c r="Q546" s="6"/>
      <c r="R546" s="6"/>
      <c r="S546" s="6"/>
    </row>
    <row r="547" spans="1:19">
      <c r="A547" s="83"/>
      <c r="B547" s="82"/>
      <c r="C547" s="82"/>
      <c r="D547" s="82"/>
      <c r="E547" s="82"/>
      <c r="F547" s="83"/>
      <c r="G547" s="83"/>
      <c r="H547" s="83"/>
      <c r="I547" s="6"/>
      <c r="J547" s="6"/>
      <c r="K547" s="6"/>
      <c r="L547" s="6"/>
      <c r="M547" s="6"/>
      <c r="N547" s="6"/>
      <c r="O547" s="6"/>
      <c r="P547" s="6"/>
      <c r="Q547" s="6"/>
      <c r="R547" s="6"/>
      <c r="S547" s="6"/>
    </row>
    <row r="548" spans="1:19">
      <c r="A548" s="83"/>
      <c r="B548" s="82"/>
      <c r="C548" s="82"/>
      <c r="D548" s="82"/>
      <c r="E548" s="82"/>
      <c r="F548" s="83"/>
      <c r="G548" s="83"/>
      <c r="H548" s="83"/>
      <c r="I548" s="6"/>
      <c r="J548" s="6"/>
      <c r="K548" s="6"/>
      <c r="L548" s="6"/>
      <c r="M548" s="6"/>
      <c r="N548" s="6"/>
      <c r="O548" s="6"/>
      <c r="P548" s="6"/>
      <c r="Q548" s="6"/>
      <c r="R548" s="6"/>
      <c r="S548" s="6"/>
    </row>
    <row r="549" spans="1:19">
      <c r="A549" s="83"/>
      <c r="B549" s="82"/>
      <c r="C549" s="82"/>
      <c r="D549" s="82"/>
      <c r="E549" s="82"/>
      <c r="F549" s="83"/>
      <c r="G549" s="83"/>
      <c r="H549" s="83"/>
      <c r="I549" s="6"/>
      <c r="J549" s="6"/>
      <c r="K549" s="6"/>
      <c r="L549" s="6"/>
      <c r="M549" s="6"/>
      <c r="N549" s="6"/>
      <c r="O549" s="6"/>
      <c r="P549" s="6"/>
      <c r="Q549" s="6"/>
      <c r="R549" s="6"/>
      <c r="S549" s="6"/>
    </row>
    <row r="550" spans="1:19">
      <c r="A550" s="83"/>
      <c r="B550" s="82"/>
      <c r="C550" s="82"/>
      <c r="D550" s="82"/>
      <c r="E550" s="82"/>
      <c r="F550" s="83"/>
      <c r="G550" s="83"/>
      <c r="H550" s="83"/>
      <c r="I550" s="6"/>
      <c r="J550" s="6"/>
      <c r="K550" s="6"/>
      <c r="L550" s="6"/>
      <c r="M550" s="6"/>
      <c r="N550" s="6"/>
      <c r="O550" s="6"/>
      <c r="P550" s="6"/>
      <c r="Q550" s="6"/>
      <c r="R550" s="6"/>
      <c r="S550" s="6"/>
    </row>
    <row r="551" spans="1:19">
      <c r="A551" s="83"/>
      <c r="B551" s="82"/>
      <c r="C551" s="82"/>
      <c r="D551" s="82"/>
      <c r="E551" s="82"/>
      <c r="F551" s="83"/>
      <c r="G551" s="83"/>
      <c r="H551" s="83"/>
      <c r="I551" s="6"/>
      <c r="J551" s="6"/>
      <c r="K551" s="6"/>
      <c r="L551" s="6"/>
      <c r="M551" s="6"/>
      <c r="N551" s="6"/>
      <c r="O551" s="6"/>
      <c r="P551" s="6"/>
      <c r="Q551" s="6"/>
      <c r="R551" s="6"/>
      <c r="S551" s="6"/>
    </row>
    <row r="552" spans="1:19">
      <c r="A552" s="83"/>
      <c r="B552" s="82"/>
      <c r="C552" s="82"/>
      <c r="D552" s="82"/>
      <c r="E552" s="82"/>
      <c r="F552" s="83"/>
      <c r="G552" s="83"/>
      <c r="H552" s="83"/>
      <c r="I552" s="6"/>
      <c r="J552" s="6"/>
      <c r="K552" s="6"/>
      <c r="L552" s="6"/>
      <c r="M552" s="6"/>
      <c r="N552" s="6"/>
      <c r="O552" s="6"/>
      <c r="P552" s="6"/>
      <c r="Q552" s="6"/>
      <c r="R552" s="6"/>
      <c r="S552" s="6"/>
    </row>
    <row r="553" spans="1:19">
      <c r="A553" s="83"/>
      <c r="B553" s="82"/>
      <c r="C553" s="82"/>
      <c r="D553" s="82"/>
      <c r="E553" s="82"/>
      <c r="F553" s="83"/>
      <c r="G553" s="83"/>
      <c r="H553" s="83"/>
      <c r="I553" s="6"/>
      <c r="J553" s="6"/>
      <c r="K553" s="6"/>
      <c r="L553" s="6"/>
      <c r="M553" s="6"/>
      <c r="N553" s="6"/>
      <c r="O553" s="6"/>
      <c r="P553" s="6"/>
      <c r="Q553" s="6"/>
      <c r="R553" s="6"/>
      <c r="S553" s="6"/>
    </row>
    <row r="554" spans="1:19">
      <c r="A554" s="83"/>
      <c r="B554" s="82"/>
      <c r="C554" s="82"/>
      <c r="D554" s="82"/>
      <c r="E554" s="82"/>
      <c r="F554" s="83"/>
      <c r="G554" s="83"/>
      <c r="H554" s="83"/>
      <c r="I554" s="6"/>
      <c r="J554" s="6"/>
      <c r="K554" s="6"/>
      <c r="L554" s="6"/>
      <c r="M554" s="6"/>
      <c r="N554" s="6"/>
      <c r="O554" s="6"/>
      <c r="P554" s="6"/>
      <c r="Q554" s="6"/>
      <c r="R554" s="6"/>
      <c r="S554" s="6"/>
    </row>
    <row r="555" spans="1:19">
      <c r="A555" s="83"/>
      <c r="B555" s="82"/>
      <c r="C555" s="82"/>
      <c r="D555" s="82"/>
      <c r="E555" s="82"/>
      <c r="F555" s="83"/>
      <c r="G555" s="83"/>
      <c r="H555" s="83"/>
      <c r="I555" s="6"/>
      <c r="J555" s="6"/>
      <c r="K555" s="6"/>
      <c r="L555" s="6"/>
      <c r="M555" s="6"/>
      <c r="N555" s="6"/>
      <c r="O555" s="6"/>
      <c r="P555" s="6"/>
      <c r="Q555" s="6"/>
      <c r="R555" s="6"/>
      <c r="S555" s="6"/>
    </row>
    <row r="556" spans="1:19">
      <c r="A556" s="83"/>
      <c r="B556" s="82"/>
      <c r="C556" s="82"/>
      <c r="D556" s="82"/>
      <c r="E556" s="82"/>
      <c r="F556" s="83"/>
      <c r="G556" s="83"/>
      <c r="H556" s="83"/>
      <c r="I556" s="6"/>
      <c r="J556" s="6"/>
      <c r="K556" s="6"/>
      <c r="L556" s="6"/>
      <c r="M556" s="6"/>
      <c r="N556" s="6"/>
      <c r="O556" s="6"/>
      <c r="P556" s="6"/>
      <c r="Q556" s="6"/>
      <c r="R556" s="6"/>
      <c r="S556" s="6"/>
    </row>
    <row r="557" spans="1:19">
      <c r="A557" s="83"/>
      <c r="B557" s="82"/>
      <c r="C557" s="82"/>
      <c r="D557" s="82"/>
      <c r="E557" s="82"/>
      <c r="F557" s="83"/>
      <c r="G557" s="83"/>
      <c r="H557" s="83"/>
      <c r="I557" s="6"/>
      <c r="J557" s="6"/>
      <c r="K557" s="6"/>
      <c r="L557" s="6"/>
      <c r="M557" s="6"/>
      <c r="N557" s="6"/>
      <c r="O557" s="6"/>
      <c r="P557" s="6"/>
      <c r="Q557" s="6"/>
      <c r="R557" s="6"/>
      <c r="S557" s="6"/>
    </row>
    <row r="558" spans="1:19">
      <c r="A558" s="83"/>
      <c r="B558" s="82"/>
      <c r="C558" s="82"/>
      <c r="D558" s="82"/>
      <c r="E558" s="82"/>
      <c r="F558" s="83"/>
      <c r="G558" s="83"/>
      <c r="H558" s="83"/>
      <c r="I558" s="6"/>
      <c r="J558" s="6"/>
      <c r="K558" s="6"/>
      <c r="L558" s="6"/>
      <c r="M558" s="6"/>
      <c r="N558" s="6"/>
      <c r="O558" s="6"/>
      <c r="P558" s="6"/>
      <c r="Q558" s="6"/>
      <c r="R558" s="6"/>
      <c r="S558" s="6"/>
    </row>
    <row r="559" spans="1:19">
      <c r="A559" s="83"/>
      <c r="B559" s="82"/>
      <c r="C559" s="82"/>
      <c r="D559" s="82"/>
      <c r="E559" s="82"/>
      <c r="F559" s="83"/>
      <c r="G559" s="83"/>
      <c r="H559" s="83"/>
      <c r="I559" s="6"/>
      <c r="J559" s="6"/>
      <c r="K559" s="6"/>
      <c r="L559" s="6"/>
      <c r="M559" s="6"/>
      <c r="N559" s="6"/>
      <c r="O559" s="6"/>
      <c r="P559" s="6"/>
      <c r="Q559" s="6"/>
      <c r="R559" s="6"/>
      <c r="S559" s="6"/>
    </row>
    <row r="560" spans="1:19">
      <c r="A560" s="83"/>
      <c r="B560" s="82"/>
      <c r="C560" s="82"/>
      <c r="D560" s="82"/>
      <c r="E560" s="82"/>
      <c r="F560" s="83"/>
      <c r="G560" s="83"/>
      <c r="H560" s="83"/>
      <c r="I560" s="6"/>
      <c r="J560" s="6"/>
      <c r="K560" s="6"/>
      <c r="L560" s="6"/>
      <c r="M560" s="6"/>
      <c r="N560" s="6"/>
      <c r="O560" s="6"/>
      <c r="P560" s="6"/>
      <c r="Q560" s="6"/>
      <c r="R560" s="6"/>
      <c r="S560" s="6"/>
    </row>
    <row r="561" spans="1:19">
      <c r="A561" s="83"/>
      <c r="B561" s="82"/>
      <c r="C561" s="82"/>
      <c r="D561" s="82"/>
      <c r="E561" s="82"/>
      <c r="F561" s="83"/>
      <c r="G561" s="83"/>
      <c r="H561" s="83"/>
      <c r="I561" s="6"/>
      <c r="J561" s="6"/>
      <c r="K561" s="6"/>
      <c r="L561" s="6"/>
      <c r="M561" s="6"/>
      <c r="N561" s="6"/>
      <c r="O561" s="6"/>
      <c r="P561" s="6"/>
      <c r="Q561" s="6"/>
      <c r="R561" s="6"/>
      <c r="S561" s="6"/>
    </row>
    <row r="562" spans="1:19">
      <c r="A562" s="83"/>
      <c r="B562" s="82"/>
      <c r="C562" s="82"/>
      <c r="D562" s="82"/>
      <c r="E562" s="82"/>
      <c r="F562" s="83"/>
      <c r="G562" s="83"/>
      <c r="H562" s="83"/>
      <c r="I562" s="6"/>
      <c r="J562" s="6"/>
      <c r="K562" s="6"/>
      <c r="L562" s="6"/>
      <c r="M562" s="6"/>
      <c r="N562" s="6"/>
      <c r="O562" s="6"/>
      <c r="P562" s="6"/>
      <c r="Q562" s="6"/>
      <c r="R562" s="6"/>
      <c r="S562" s="6"/>
    </row>
    <row r="563" spans="1:19">
      <c r="A563" s="83"/>
      <c r="B563" s="82"/>
      <c r="C563" s="82"/>
      <c r="D563" s="82"/>
      <c r="E563" s="82"/>
      <c r="F563" s="83"/>
      <c r="G563" s="83"/>
      <c r="H563" s="83"/>
      <c r="I563" s="6"/>
      <c r="J563" s="6"/>
      <c r="K563" s="6"/>
      <c r="L563" s="6"/>
      <c r="M563" s="6"/>
      <c r="N563" s="6"/>
      <c r="O563" s="6"/>
      <c r="P563" s="6"/>
      <c r="Q563" s="6"/>
      <c r="R563" s="6"/>
      <c r="S563" s="6"/>
    </row>
    <row r="564" spans="1:19">
      <c r="A564" s="83"/>
      <c r="B564" s="82"/>
      <c r="C564" s="82"/>
      <c r="D564" s="82"/>
      <c r="E564" s="82"/>
      <c r="F564" s="83"/>
      <c r="G564" s="83"/>
      <c r="H564" s="83"/>
      <c r="I564" s="6"/>
      <c r="J564" s="6"/>
      <c r="K564" s="6"/>
      <c r="L564" s="6"/>
      <c r="M564" s="6"/>
      <c r="N564" s="6"/>
      <c r="O564" s="6"/>
      <c r="P564" s="6"/>
      <c r="Q564" s="6"/>
      <c r="R564" s="6"/>
      <c r="S564" s="6"/>
    </row>
    <row r="565" spans="1:19">
      <c r="A565" s="83"/>
      <c r="B565" s="82"/>
      <c r="C565" s="82"/>
      <c r="D565" s="82"/>
      <c r="E565" s="82"/>
      <c r="F565" s="83"/>
      <c r="G565" s="83"/>
      <c r="H565" s="83"/>
      <c r="I565" s="6"/>
      <c r="J565" s="6"/>
      <c r="K565" s="6"/>
      <c r="L565" s="6"/>
      <c r="M565" s="6"/>
      <c r="N565" s="6"/>
      <c r="O565" s="6"/>
      <c r="P565" s="6"/>
      <c r="Q565" s="6"/>
      <c r="R565" s="6"/>
      <c r="S565" s="6"/>
    </row>
    <row r="566" spans="1:19">
      <c r="A566" s="83"/>
      <c r="B566" s="82"/>
      <c r="C566" s="82"/>
      <c r="D566" s="82"/>
      <c r="E566" s="82"/>
      <c r="F566" s="83"/>
      <c r="G566" s="83"/>
      <c r="H566" s="83"/>
      <c r="I566" s="6"/>
      <c r="J566" s="6"/>
      <c r="K566" s="6"/>
      <c r="L566" s="6"/>
      <c r="M566" s="6"/>
      <c r="N566" s="6"/>
      <c r="O566" s="6"/>
      <c r="P566" s="6"/>
      <c r="Q566" s="6"/>
      <c r="R566" s="6"/>
      <c r="S566" s="6"/>
    </row>
    <row r="567" spans="1:19">
      <c r="A567" s="83"/>
      <c r="B567" s="82"/>
      <c r="C567" s="82"/>
      <c r="D567" s="82"/>
      <c r="E567" s="82"/>
      <c r="F567" s="83"/>
      <c r="G567" s="83"/>
      <c r="H567" s="83"/>
      <c r="I567" s="6"/>
      <c r="J567" s="6"/>
      <c r="K567" s="6"/>
      <c r="L567" s="6"/>
      <c r="M567" s="6"/>
      <c r="N567" s="6"/>
      <c r="O567" s="6"/>
      <c r="P567" s="6"/>
      <c r="Q567" s="6"/>
      <c r="R567" s="6"/>
      <c r="S567" s="6"/>
    </row>
    <row r="568" spans="1:19">
      <c r="A568" s="83"/>
      <c r="B568" s="82"/>
      <c r="C568" s="82"/>
      <c r="D568" s="82"/>
      <c r="E568" s="82"/>
      <c r="F568" s="83"/>
      <c r="G568" s="83"/>
      <c r="H568" s="83"/>
      <c r="I568" s="6"/>
      <c r="J568" s="6"/>
      <c r="K568" s="6"/>
      <c r="L568" s="6"/>
      <c r="M568" s="6"/>
      <c r="N568" s="6"/>
      <c r="O568" s="6"/>
      <c r="P568" s="6"/>
      <c r="Q568" s="6"/>
      <c r="R568" s="6"/>
      <c r="S568" s="6"/>
    </row>
    <row r="569" spans="1:19">
      <c r="A569" s="83"/>
      <c r="B569" s="82"/>
      <c r="C569" s="82"/>
      <c r="D569" s="82"/>
      <c r="E569" s="82"/>
      <c r="F569" s="83"/>
      <c r="G569" s="83"/>
      <c r="H569" s="83"/>
      <c r="I569" s="6"/>
      <c r="J569" s="6"/>
      <c r="K569" s="6"/>
      <c r="L569" s="6"/>
      <c r="M569" s="6"/>
      <c r="N569" s="6"/>
      <c r="O569" s="6"/>
      <c r="P569" s="6"/>
      <c r="Q569" s="6"/>
      <c r="R569" s="6"/>
      <c r="S569" s="6"/>
    </row>
    <row r="570" spans="1:19">
      <c r="A570" s="83"/>
      <c r="B570" s="82"/>
      <c r="C570" s="82"/>
      <c r="D570" s="82"/>
      <c r="E570" s="82"/>
      <c r="F570" s="83"/>
      <c r="G570" s="83"/>
      <c r="H570" s="83"/>
      <c r="I570" s="6"/>
      <c r="J570" s="6"/>
      <c r="K570" s="6"/>
      <c r="L570" s="6"/>
      <c r="M570" s="6"/>
      <c r="N570" s="6"/>
      <c r="O570" s="6"/>
      <c r="P570" s="6"/>
      <c r="Q570" s="6"/>
      <c r="R570" s="6"/>
      <c r="S570" s="6"/>
    </row>
    <row r="571" spans="1:19">
      <c r="A571" s="83"/>
      <c r="B571" s="82"/>
      <c r="C571" s="82"/>
      <c r="D571" s="82"/>
      <c r="E571" s="82"/>
      <c r="F571" s="83"/>
      <c r="G571" s="83"/>
      <c r="H571" s="83"/>
      <c r="I571" s="6"/>
      <c r="J571" s="6"/>
      <c r="K571" s="6"/>
      <c r="L571" s="6"/>
      <c r="M571" s="6"/>
      <c r="N571" s="6"/>
      <c r="O571" s="6"/>
      <c r="P571" s="6"/>
      <c r="Q571" s="6"/>
      <c r="R571" s="6"/>
      <c r="S571" s="6"/>
    </row>
    <row r="572" spans="1:19">
      <c r="A572" s="83"/>
      <c r="B572" s="82"/>
      <c r="C572" s="82"/>
      <c r="D572" s="82"/>
      <c r="E572" s="82"/>
      <c r="F572" s="83"/>
      <c r="G572" s="83"/>
      <c r="H572" s="83"/>
      <c r="I572" s="6"/>
      <c r="J572" s="6"/>
      <c r="K572" s="6"/>
      <c r="L572" s="6"/>
      <c r="M572" s="6"/>
      <c r="N572" s="6"/>
      <c r="O572" s="6"/>
      <c r="P572" s="6"/>
      <c r="Q572" s="6"/>
      <c r="R572" s="6"/>
      <c r="S572" s="6"/>
    </row>
    <row r="573" spans="1:19">
      <c r="A573" s="83"/>
      <c r="B573" s="82"/>
      <c r="C573" s="82"/>
      <c r="D573" s="82"/>
      <c r="E573" s="82"/>
      <c r="F573" s="83"/>
      <c r="G573" s="83"/>
      <c r="H573" s="83"/>
      <c r="I573" s="6"/>
      <c r="J573" s="6"/>
      <c r="K573" s="6"/>
      <c r="L573" s="6"/>
      <c r="M573" s="6"/>
      <c r="N573" s="6"/>
      <c r="O573" s="6"/>
      <c r="P573" s="6"/>
      <c r="Q573" s="6"/>
      <c r="R573" s="6"/>
      <c r="S573" s="6"/>
    </row>
    <row r="574" spans="1:19">
      <c r="A574" s="83"/>
      <c r="B574" s="82"/>
      <c r="C574" s="82"/>
      <c r="D574" s="82"/>
      <c r="E574" s="82"/>
      <c r="F574" s="83"/>
      <c r="G574" s="83"/>
      <c r="H574" s="83"/>
      <c r="I574" s="6"/>
      <c r="J574" s="6"/>
      <c r="K574" s="6"/>
      <c r="L574" s="6"/>
      <c r="M574" s="6"/>
      <c r="N574" s="6"/>
      <c r="O574" s="6"/>
      <c r="P574" s="6"/>
      <c r="Q574" s="6"/>
      <c r="R574" s="6"/>
      <c r="S574" s="6"/>
    </row>
    <row r="575" spans="1:19">
      <c r="A575" s="83"/>
      <c r="B575" s="82"/>
      <c r="C575" s="82"/>
      <c r="D575" s="82"/>
      <c r="E575" s="82"/>
      <c r="F575" s="83"/>
      <c r="G575" s="83"/>
      <c r="H575" s="83"/>
      <c r="I575" s="6"/>
      <c r="J575" s="6"/>
      <c r="K575" s="6"/>
      <c r="L575" s="6"/>
      <c r="M575" s="6"/>
      <c r="N575" s="6"/>
      <c r="O575" s="6"/>
      <c r="P575" s="6"/>
      <c r="Q575" s="6"/>
      <c r="R575" s="6"/>
      <c r="S575" s="6"/>
    </row>
    <row r="576" spans="1:19">
      <c r="A576" s="83"/>
      <c r="B576" s="82"/>
      <c r="C576" s="82"/>
      <c r="D576" s="82"/>
      <c r="E576" s="82"/>
      <c r="F576" s="83"/>
      <c r="G576" s="83"/>
      <c r="H576" s="83"/>
      <c r="I576" s="6"/>
      <c r="J576" s="6"/>
      <c r="K576" s="6"/>
      <c r="L576" s="6"/>
      <c r="M576" s="6"/>
      <c r="N576" s="6"/>
      <c r="O576" s="6"/>
      <c r="P576" s="6"/>
      <c r="Q576" s="6"/>
      <c r="R576" s="6"/>
      <c r="S576" s="6"/>
    </row>
    <row r="577" spans="1:19">
      <c r="A577" s="83"/>
      <c r="B577" s="82"/>
      <c r="C577" s="82"/>
      <c r="D577" s="82"/>
      <c r="E577" s="82"/>
      <c r="F577" s="83"/>
      <c r="G577" s="83"/>
      <c r="H577" s="83"/>
      <c r="I577" s="6"/>
      <c r="J577" s="6"/>
      <c r="K577" s="6"/>
      <c r="L577" s="6"/>
      <c r="M577" s="6"/>
      <c r="N577" s="6"/>
      <c r="O577" s="6"/>
      <c r="P577" s="6"/>
      <c r="Q577" s="6"/>
      <c r="R577" s="6"/>
      <c r="S577" s="6"/>
    </row>
    <row r="578" spans="1:19">
      <c r="A578" s="83"/>
      <c r="B578" s="82"/>
      <c r="C578" s="82"/>
      <c r="D578" s="82"/>
      <c r="E578" s="82"/>
      <c r="F578" s="83"/>
      <c r="G578" s="83"/>
      <c r="H578" s="83"/>
      <c r="I578" s="6"/>
      <c r="J578" s="6"/>
      <c r="K578" s="6"/>
      <c r="L578" s="6"/>
      <c r="M578" s="6"/>
      <c r="N578" s="6"/>
      <c r="O578" s="6"/>
      <c r="P578" s="6"/>
      <c r="Q578" s="6"/>
      <c r="R578" s="6"/>
      <c r="S578" s="6"/>
    </row>
    <row r="579" spans="1:19">
      <c r="A579" s="83"/>
      <c r="B579" s="82"/>
      <c r="C579" s="82"/>
      <c r="D579" s="82"/>
      <c r="E579" s="82"/>
      <c r="F579" s="83"/>
      <c r="G579" s="83"/>
      <c r="H579" s="83"/>
      <c r="I579" s="6"/>
      <c r="J579" s="6"/>
      <c r="K579" s="6"/>
      <c r="L579" s="6"/>
      <c r="M579" s="6"/>
      <c r="N579" s="6"/>
      <c r="O579" s="6"/>
      <c r="P579" s="6"/>
      <c r="Q579" s="6"/>
      <c r="R579" s="6"/>
      <c r="S579" s="6"/>
    </row>
    <row r="580" spans="1:19">
      <c r="A580" s="83"/>
      <c r="B580" s="82"/>
      <c r="C580" s="82"/>
      <c r="D580" s="82"/>
      <c r="E580" s="82"/>
      <c r="F580" s="83"/>
      <c r="G580" s="83"/>
      <c r="H580" s="83"/>
      <c r="I580" s="6"/>
      <c r="J580" s="6"/>
      <c r="K580" s="6"/>
      <c r="L580" s="6"/>
      <c r="M580" s="6"/>
      <c r="N580" s="6"/>
      <c r="O580" s="6"/>
      <c r="P580" s="6"/>
      <c r="Q580" s="6"/>
      <c r="R580" s="6"/>
      <c r="S580" s="6"/>
    </row>
    <row r="581" spans="1:19">
      <c r="A581" s="83"/>
      <c r="B581" s="82"/>
      <c r="C581" s="82"/>
      <c r="D581" s="82"/>
      <c r="E581" s="82"/>
      <c r="F581" s="83"/>
      <c r="G581" s="83"/>
      <c r="H581" s="83"/>
      <c r="I581" s="6"/>
      <c r="J581" s="6"/>
      <c r="K581" s="6"/>
      <c r="L581" s="6"/>
      <c r="M581" s="6"/>
      <c r="N581" s="6"/>
      <c r="O581" s="6"/>
      <c r="P581" s="6"/>
      <c r="Q581" s="6"/>
      <c r="R581" s="6"/>
      <c r="S581" s="6"/>
    </row>
    <row r="582" spans="1:19">
      <c r="A582" s="83"/>
      <c r="B582" s="82"/>
      <c r="C582" s="82"/>
      <c r="D582" s="82"/>
      <c r="E582" s="82"/>
      <c r="F582" s="83"/>
      <c r="G582" s="83"/>
      <c r="H582" s="83"/>
      <c r="I582" s="6"/>
      <c r="J582" s="6"/>
      <c r="K582" s="6"/>
      <c r="L582" s="6"/>
      <c r="M582" s="6"/>
      <c r="N582" s="6"/>
      <c r="O582" s="6"/>
      <c r="P582" s="6"/>
      <c r="Q582" s="6"/>
      <c r="R582" s="6"/>
      <c r="S582" s="6"/>
    </row>
    <row r="583" spans="1:19">
      <c r="A583" s="83"/>
      <c r="B583" s="82"/>
      <c r="C583" s="82"/>
      <c r="D583" s="82"/>
      <c r="E583" s="82"/>
      <c r="F583" s="83"/>
      <c r="G583" s="83"/>
      <c r="H583" s="83"/>
      <c r="I583" s="6"/>
      <c r="J583" s="6"/>
      <c r="K583" s="6"/>
      <c r="L583" s="6"/>
      <c r="M583" s="6"/>
      <c r="N583" s="6"/>
      <c r="O583" s="6"/>
      <c r="P583" s="6"/>
      <c r="Q583" s="6"/>
      <c r="R583" s="6"/>
      <c r="S583" s="6"/>
    </row>
    <row r="584" spans="1:19">
      <c r="A584" s="83"/>
      <c r="B584" s="82"/>
      <c r="C584" s="82"/>
      <c r="D584" s="82"/>
      <c r="E584" s="82"/>
      <c r="F584" s="83"/>
      <c r="G584" s="83"/>
      <c r="H584" s="83"/>
      <c r="I584" s="6"/>
      <c r="J584" s="6"/>
      <c r="K584" s="6"/>
      <c r="L584" s="6"/>
      <c r="M584" s="6"/>
      <c r="N584" s="6"/>
      <c r="O584" s="6"/>
      <c r="P584" s="6"/>
      <c r="Q584" s="6"/>
      <c r="R584" s="6"/>
      <c r="S584" s="6"/>
    </row>
    <row r="585" spans="1:19">
      <c r="A585" s="83"/>
      <c r="B585" s="82"/>
      <c r="C585" s="82"/>
      <c r="D585" s="82"/>
      <c r="E585" s="82"/>
      <c r="F585" s="83"/>
      <c r="G585" s="83"/>
      <c r="H585" s="83"/>
      <c r="I585" s="6"/>
      <c r="J585" s="6"/>
      <c r="K585" s="6"/>
      <c r="L585" s="6"/>
      <c r="M585" s="6"/>
      <c r="N585" s="6"/>
      <c r="O585" s="6"/>
      <c r="P585" s="6"/>
      <c r="Q585" s="6"/>
      <c r="R585" s="6"/>
      <c r="S585" s="6"/>
    </row>
    <row r="586" spans="1:19">
      <c r="A586" s="83"/>
      <c r="B586" s="82"/>
      <c r="C586" s="82"/>
      <c r="D586" s="82"/>
      <c r="E586" s="82"/>
      <c r="F586" s="83"/>
      <c r="G586" s="83"/>
      <c r="H586" s="83"/>
      <c r="I586" s="6"/>
      <c r="J586" s="6"/>
      <c r="K586" s="6"/>
      <c r="L586" s="6"/>
      <c r="M586" s="6"/>
      <c r="N586" s="6"/>
      <c r="O586" s="6"/>
      <c r="P586" s="6"/>
      <c r="Q586" s="6"/>
      <c r="R586" s="6"/>
      <c r="S586" s="6"/>
    </row>
    <row r="587" spans="1:19">
      <c r="A587" s="83"/>
      <c r="B587" s="82"/>
      <c r="C587" s="82"/>
      <c r="D587" s="82"/>
      <c r="E587" s="82"/>
      <c r="F587" s="83"/>
      <c r="G587" s="83"/>
      <c r="H587" s="83"/>
      <c r="I587" s="6"/>
      <c r="J587" s="6"/>
      <c r="K587" s="6"/>
      <c r="L587" s="6"/>
      <c r="M587" s="6"/>
      <c r="N587" s="6"/>
      <c r="O587" s="6"/>
      <c r="P587" s="6"/>
      <c r="Q587" s="6"/>
      <c r="R587" s="6"/>
      <c r="S587" s="6"/>
    </row>
    <row r="588" spans="1:19">
      <c r="A588" s="83"/>
      <c r="B588" s="82"/>
      <c r="C588" s="82"/>
      <c r="D588" s="82"/>
      <c r="E588" s="82"/>
      <c r="F588" s="83"/>
      <c r="G588" s="83"/>
      <c r="H588" s="83"/>
      <c r="I588" s="6"/>
      <c r="J588" s="6"/>
      <c r="K588" s="6"/>
      <c r="L588" s="6"/>
      <c r="M588" s="6"/>
      <c r="N588" s="6"/>
      <c r="O588" s="6"/>
      <c r="P588" s="6"/>
      <c r="Q588" s="6"/>
      <c r="R588" s="6"/>
      <c r="S588" s="6"/>
    </row>
    <row r="589" spans="1:19">
      <c r="A589" s="83"/>
      <c r="B589" s="82"/>
      <c r="C589" s="82"/>
      <c r="D589" s="82"/>
      <c r="E589" s="82"/>
      <c r="F589" s="83"/>
      <c r="G589" s="83"/>
      <c r="H589" s="83"/>
      <c r="I589" s="6"/>
      <c r="J589" s="6"/>
      <c r="K589" s="6"/>
      <c r="L589" s="6"/>
      <c r="M589" s="6"/>
      <c r="N589" s="6"/>
      <c r="O589" s="6"/>
      <c r="P589" s="6"/>
      <c r="Q589" s="6"/>
      <c r="R589" s="6"/>
      <c r="S589" s="6"/>
    </row>
    <row r="590" spans="1:19">
      <c r="A590" s="83"/>
      <c r="B590" s="82"/>
      <c r="C590" s="82"/>
      <c r="D590" s="82"/>
      <c r="E590" s="82"/>
      <c r="F590" s="83"/>
      <c r="G590" s="83"/>
      <c r="H590" s="83"/>
      <c r="I590" s="6"/>
      <c r="J590" s="6"/>
      <c r="K590" s="6"/>
      <c r="L590" s="6"/>
      <c r="M590" s="6"/>
      <c r="N590" s="6"/>
      <c r="O590" s="6"/>
      <c r="P590" s="6"/>
      <c r="Q590" s="6"/>
      <c r="R590" s="6"/>
      <c r="S590" s="6"/>
    </row>
    <row r="591" spans="1:19">
      <c r="A591" s="83"/>
      <c r="B591" s="82"/>
      <c r="C591" s="82"/>
      <c r="D591" s="82"/>
      <c r="E591" s="82"/>
      <c r="F591" s="83"/>
      <c r="G591" s="83"/>
      <c r="H591" s="83"/>
      <c r="I591" s="6"/>
      <c r="J591" s="6"/>
      <c r="K591" s="6"/>
      <c r="L591" s="6"/>
      <c r="M591" s="6"/>
      <c r="N591" s="6"/>
      <c r="O591" s="6"/>
      <c r="P591" s="6"/>
      <c r="Q591" s="6"/>
      <c r="R591" s="6"/>
      <c r="S591" s="6"/>
    </row>
    <row r="592" spans="1:19">
      <c r="A592" s="83"/>
      <c r="B592" s="82"/>
      <c r="C592" s="82"/>
      <c r="D592" s="82"/>
      <c r="E592" s="82"/>
      <c r="F592" s="83"/>
      <c r="G592" s="83"/>
      <c r="H592" s="83"/>
      <c r="I592" s="6"/>
      <c r="J592" s="6"/>
      <c r="K592" s="6"/>
      <c r="L592" s="6"/>
      <c r="M592" s="6"/>
      <c r="N592" s="6"/>
      <c r="O592" s="6"/>
      <c r="P592" s="6"/>
      <c r="Q592" s="6"/>
      <c r="R592" s="6"/>
      <c r="S592" s="6"/>
    </row>
    <row r="593" spans="1:19">
      <c r="A593" s="83"/>
      <c r="B593" s="82"/>
      <c r="C593" s="82"/>
      <c r="D593" s="82"/>
      <c r="E593" s="82"/>
      <c r="F593" s="83"/>
      <c r="G593" s="83"/>
      <c r="H593" s="83"/>
      <c r="I593" s="6"/>
      <c r="J593" s="6"/>
      <c r="K593" s="6"/>
      <c r="L593" s="6"/>
      <c r="M593" s="6"/>
      <c r="N593" s="6"/>
      <c r="O593" s="6"/>
      <c r="P593" s="6"/>
      <c r="Q593" s="6"/>
      <c r="R593" s="6"/>
      <c r="S593" s="6"/>
    </row>
    <row r="594" spans="1:19">
      <c r="A594" s="83"/>
      <c r="B594" s="82"/>
      <c r="C594" s="82"/>
      <c r="D594" s="82"/>
      <c r="E594" s="82"/>
      <c r="F594" s="83"/>
      <c r="G594" s="83"/>
      <c r="H594" s="83"/>
      <c r="I594" s="6"/>
      <c r="J594" s="6"/>
      <c r="K594" s="6"/>
      <c r="L594" s="6"/>
      <c r="M594" s="6"/>
      <c r="N594" s="6"/>
      <c r="O594" s="6"/>
      <c r="P594" s="6"/>
      <c r="Q594" s="6"/>
      <c r="R594" s="6"/>
      <c r="S594" s="6"/>
    </row>
    <row r="595" spans="1:19">
      <c r="A595" s="83"/>
      <c r="B595" s="82"/>
      <c r="C595" s="82"/>
      <c r="D595" s="82"/>
      <c r="E595" s="82"/>
      <c r="F595" s="83"/>
      <c r="G595" s="83"/>
      <c r="H595" s="83"/>
      <c r="I595" s="6"/>
      <c r="J595" s="6"/>
      <c r="K595" s="6"/>
      <c r="L595" s="6"/>
      <c r="M595" s="6"/>
      <c r="N595" s="6"/>
      <c r="O595" s="6"/>
      <c r="P595" s="6"/>
      <c r="Q595" s="6"/>
      <c r="R595" s="6"/>
      <c r="S595" s="6"/>
    </row>
    <row r="596" spans="1:19">
      <c r="A596" s="83"/>
      <c r="B596" s="82"/>
      <c r="C596" s="82"/>
      <c r="D596" s="82"/>
      <c r="E596" s="82"/>
      <c r="F596" s="83"/>
      <c r="G596" s="83"/>
      <c r="H596" s="83"/>
      <c r="I596" s="6"/>
      <c r="J596" s="6"/>
      <c r="K596" s="6"/>
      <c r="L596" s="6"/>
      <c r="M596" s="6"/>
      <c r="N596" s="6"/>
      <c r="O596" s="6"/>
      <c r="P596" s="6"/>
      <c r="Q596" s="6"/>
      <c r="R596" s="6"/>
      <c r="S596" s="6"/>
    </row>
    <row r="597" spans="1:19">
      <c r="A597" s="83"/>
      <c r="B597" s="82"/>
      <c r="C597" s="82"/>
      <c r="D597" s="82"/>
      <c r="E597" s="82"/>
      <c r="F597" s="83"/>
      <c r="G597" s="83"/>
      <c r="H597" s="83"/>
      <c r="I597" s="6"/>
      <c r="J597" s="6"/>
      <c r="K597" s="6"/>
      <c r="L597" s="6"/>
      <c r="M597" s="6"/>
      <c r="N597" s="6"/>
      <c r="O597" s="6"/>
      <c r="P597" s="6"/>
      <c r="Q597" s="6"/>
      <c r="R597" s="6"/>
      <c r="S597" s="6"/>
    </row>
    <row r="598" spans="1:19">
      <c r="A598" s="83"/>
      <c r="B598" s="82"/>
      <c r="C598" s="82"/>
      <c r="D598" s="82"/>
      <c r="E598" s="82"/>
      <c r="F598" s="83"/>
      <c r="G598" s="83"/>
      <c r="H598" s="83"/>
      <c r="I598" s="6"/>
      <c r="J598" s="6"/>
      <c r="K598" s="6"/>
      <c r="L598" s="6"/>
      <c r="M598" s="6"/>
      <c r="N598" s="6"/>
      <c r="O598" s="6"/>
      <c r="P598" s="6"/>
      <c r="Q598" s="6"/>
      <c r="R598" s="6"/>
      <c r="S598" s="6"/>
    </row>
    <row r="599" spans="1:19">
      <c r="A599" s="83"/>
      <c r="B599" s="82"/>
      <c r="C599" s="82"/>
      <c r="D599" s="82"/>
      <c r="E599" s="82"/>
      <c r="F599" s="83"/>
      <c r="G599" s="83"/>
      <c r="H599" s="83"/>
      <c r="I599" s="6"/>
      <c r="J599" s="6"/>
      <c r="K599" s="6"/>
      <c r="L599" s="6"/>
      <c r="M599" s="6"/>
      <c r="N599" s="6"/>
      <c r="O599" s="6"/>
      <c r="P599" s="6"/>
      <c r="Q599" s="6"/>
      <c r="R599" s="6"/>
      <c r="S599" s="6"/>
    </row>
    <row r="600" spans="1:19">
      <c r="A600" s="83"/>
      <c r="B600" s="82"/>
      <c r="C600" s="82"/>
      <c r="D600" s="82"/>
      <c r="E600" s="82"/>
      <c r="F600" s="83"/>
      <c r="G600" s="83"/>
      <c r="H600" s="83"/>
      <c r="I600" s="6"/>
      <c r="J600" s="6"/>
      <c r="K600" s="6"/>
      <c r="L600" s="6"/>
      <c r="M600" s="6"/>
      <c r="N600" s="6"/>
      <c r="O600" s="6"/>
      <c r="P600" s="6"/>
      <c r="Q600" s="6"/>
      <c r="R600" s="6"/>
      <c r="S600" s="6"/>
    </row>
    <row r="601" spans="1:19">
      <c r="A601" s="83"/>
      <c r="B601" s="82"/>
      <c r="C601" s="82"/>
      <c r="D601" s="82"/>
      <c r="E601" s="82"/>
      <c r="F601" s="83"/>
      <c r="G601" s="83"/>
      <c r="H601" s="83"/>
      <c r="I601" s="6"/>
      <c r="J601" s="6"/>
      <c r="K601" s="6"/>
      <c r="L601" s="6"/>
      <c r="M601" s="6"/>
      <c r="N601" s="6"/>
      <c r="O601" s="6"/>
      <c r="P601" s="6"/>
      <c r="Q601" s="6"/>
      <c r="R601" s="6"/>
      <c r="S601" s="6"/>
    </row>
    <row r="602" spans="1:19">
      <c r="A602" s="83"/>
      <c r="B602" s="82"/>
      <c r="C602" s="82"/>
      <c r="D602" s="82"/>
      <c r="E602" s="82"/>
      <c r="F602" s="83"/>
      <c r="G602" s="83"/>
      <c r="H602" s="83"/>
      <c r="I602" s="6"/>
      <c r="J602" s="6"/>
      <c r="K602" s="6"/>
      <c r="L602" s="6"/>
      <c r="M602" s="6"/>
      <c r="N602" s="6"/>
      <c r="O602" s="6"/>
      <c r="P602" s="6"/>
      <c r="Q602" s="6"/>
      <c r="R602" s="6"/>
      <c r="S602" s="6"/>
    </row>
    <row r="603" spans="1:19">
      <c r="A603" s="83"/>
      <c r="B603" s="82"/>
      <c r="C603" s="82"/>
      <c r="D603" s="82"/>
      <c r="E603" s="82"/>
      <c r="F603" s="83"/>
      <c r="G603" s="83"/>
      <c r="H603" s="83"/>
      <c r="I603" s="6"/>
      <c r="J603" s="6"/>
      <c r="K603" s="6"/>
      <c r="L603" s="6"/>
      <c r="M603" s="6"/>
      <c r="N603" s="6"/>
      <c r="O603" s="6"/>
      <c r="P603" s="6"/>
      <c r="Q603" s="6"/>
      <c r="R603" s="6"/>
      <c r="S603" s="6"/>
    </row>
    <row r="604" spans="1:19">
      <c r="A604" s="83"/>
      <c r="B604" s="82"/>
      <c r="C604" s="82"/>
      <c r="D604" s="82"/>
      <c r="E604" s="82"/>
      <c r="F604" s="83"/>
      <c r="G604" s="83"/>
      <c r="H604" s="83"/>
      <c r="I604" s="6"/>
      <c r="J604" s="6"/>
      <c r="K604" s="6"/>
      <c r="L604" s="6"/>
      <c r="M604" s="6"/>
      <c r="N604" s="6"/>
      <c r="O604" s="6"/>
      <c r="P604" s="6"/>
      <c r="Q604" s="6"/>
      <c r="R604" s="6"/>
      <c r="S604" s="6"/>
    </row>
    <row r="605" spans="1:19">
      <c r="A605" s="83"/>
      <c r="B605" s="82"/>
      <c r="C605" s="82"/>
      <c r="D605" s="82"/>
      <c r="E605" s="82"/>
      <c r="F605" s="83"/>
      <c r="G605" s="83"/>
      <c r="H605" s="83"/>
      <c r="I605" s="6"/>
      <c r="J605" s="6"/>
      <c r="K605" s="6"/>
      <c r="L605" s="6"/>
      <c r="M605" s="6"/>
      <c r="N605" s="6"/>
      <c r="O605" s="6"/>
      <c r="P605" s="6"/>
      <c r="Q605" s="6"/>
      <c r="R605" s="6"/>
      <c r="S605" s="6"/>
    </row>
    <row r="606" spans="1:19">
      <c r="A606" s="83"/>
      <c r="B606" s="82"/>
      <c r="C606" s="82"/>
      <c r="D606" s="82"/>
      <c r="E606" s="82"/>
      <c r="F606" s="83"/>
      <c r="G606" s="83"/>
      <c r="H606" s="83"/>
      <c r="I606" s="6"/>
      <c r="J606" s="6"/>
      <c r="K606" s="6"/>
      <c r="L606" s="6"/>
      <c r="M606" s="6"/>
      <c r="N606" s="6"/>
      <c r="O606" s="6"/>
      <c r="P606" s="6"/>
      <c r="Q606" s="6"/>
      <c r="R606" s="6"/>
      <c r="S606" s="6"/>
    </row>
    <row r="607" spans="1:19">
      <c r="A607" s="83"/>
      <c r="B607" s="82"/>
      <c r="C607" s="82"/>
      <c r="D607" s="82"/>
      <c r="E607" s="82"/>
      <c r="F607" s="83"/>
      <c r="G607" s="83"/>
      <c r="H607" s="83"/>
      <c r="I607" s="6"/>
      <c r="J607" s="6"/>
      <c r="K607" s="6"/>
      <c r="L607" s="6"/>
      <c r="M607" s="6"/>
      <c r="N607" s="6"/>
      <c r="O607" s="6"/>
      <c r="P607" s="6"/>
      <c r="Q607" s="6"/>
      <c r="R607" s="6"/>
      <c r="S607" s="6"/>
    </row>
    <row r="608" spans="1:19">
      <c r="A608" s="83"/>
      <c r="B608" s="82"/>
      <c r="C608" s="82"/>
      <c r="D608" s="82"/>
      <c r="E608" s="82"/>
      <c r="F608" s="83"/>
      <c r="G608" s="83"/>
      <c r="H608" s="83"/>
      <c r="I608" s="6"/>
      <c r="J608" s="6"/>
      <c r="K608" s="6"/>
      <c r="L608" s="6"/>
      <c r="M608" s="6"/>
      <c r="N608" s="6"/>
      <c r="O608" s="6"/>
      <c r="P608" s="6"/>
      <c r="Q608" s="6"/>
      <c r="R608" s="6"/>
      <c r="S608" s="6"/>
    </row>
    <row r="609" spans="1:19">
      <c r="A609" s="83"/>
      <c r="B609" s="82"/>
      <c r="C609" s="82"/>
      <c r="D609" s="82"/>
      <c r="E609" s="82"/>
      <c r="F609" s="83"/>
      <c r="G609" s="83"/>
      <c r="H609" s="83"/>
      <c r="I609" s="6"/>
      <c r="J609" s="6"/>
      <c r="K609" s="6"/>
      <c r="L609" s="6"/>
      <c r="M609" s="6"/>
      <c r="N609" s="6"/>
      <c r="O609" s="6"/>
      <c r="P609" s="6"/>
      <c r="Q609" s="6"/>
      <c r="R609" s="6"/>
      <c r="S609" s="6"/>
    </row>
    <row r="610" spans="1:19">
      <c r="A610" s="83"/>
      <c r="B610" s="82"/>
      <c r="C610" s="82"/>
      <c r="D610" s="82"/>
      <c r="E610" s="82"/>
      <c r="F610" s="83"/>
      <c r="G610" s="83"/>
      <c r="H610" s="83"/>
      <c r="I610" s="6"/>
      <c r="J610" s="6"/>
      <c r="K610" s="6"/>
      <c r="L610" s="6"/>
      <c r="M610" s="6"/>
      <c r="N610" s="6"/>
      <c r="O610" s="6"/>
      <c r="P610" s="6"/>
      <c r="Q610" s="6"/>
      <c r="R610" s="6"/>
      <c r="S610" s="6"/>
    </row>
    <row r="611" spans="1:19">
      <c r="A611" s="83"/>
      <c r="B611" s="82"/>
      <c r="C611" s="82"/>
      <c r="D611" s="82"/>
      <c r="E611" s="82"/>
      <c r="F611" s="83"/>
      <c r="G611" s="83"/>
      <c r="H611" s="83"/>
      <c r="I611" s="6"/>
      <c r="J611" s="6"/>
      <c r="K611" s="6"/>
      <c r="L611" s="6"/>
      <c r="M611" s="6"/>
      <c r="N611" s="6"/>
      <c r="O611" s="6"/>
      <c r="P611" s="6"/>
      <c r="Q611" s="6"/>
      <c r="R611" s="6"/>
      <c r="S611" s="6"/>
    </row>
    <row r="612" spans="1:19">
      <c r="A612" s="83"/>
      <c r="B612" s="82"/>
      <c r="C612" s="82"/>
      <c r="D612" s="82"/>
      <c r="E612" s="82"/>
      <c r="F612" s="83"/>
      <c r="G612" s="83"/>
      <c r="H612" s="83"/>
      <c r="I612" s="6"/>
      <c r="J612" s="6"/>
      <c r="K612" s="6"/>
      <c r="L612" s="6"/>
      <c r="M612" s="6"/>
      <c r="N612" s="6"/>
      <c r="O612" s="6"/>
      <c r="P612" s="6"/>
      <c r="Q612" s="6"/>
      <c r="R612" s="6"/>
      <c r="S612" s="6"/>
    </row>
    <row r="613" spans="1:19">
      <c r="A613" s="83"/>
      <c r="B613" s="82"/>
      <c r="C613" s="82"/>
      <c r="D613" s="82"/>
      <c r="E613" s="82"/>
      <c r="F613" s="83"/>
      <c r="G613" s="83"/>
      <c r="H613" s="83"/>
      <c r="I613" s="6"/>
      <c r="J613" s="6"/>
      <c r="K613" s="6"/>
      <c r="L613" s="6"/>
      <c r="M613" s="6"/>
      <c r="N613" s="6"/>
      <c r="O613" s="6"/>
      <c r="P613" s="6"/>
      <c r="Q613" s="6"/>
      <c r="R613" s="6"/>
      <c r="S613" s="6"/>
    </row>
    <row r="614" spans="1:19">
      <c r="A614" s="83"/>
      <c r="B614" s="82"/>
      <c r="C614" s="82"/>
      <c r="D614" s="82"/>
      <c r="E614" s="82"/>
      <c r="F614" s="83"/>
      <c r="G614" s="83"/>
      <c r="H614" s="83"/>
      <c r="I614" s="6"/>
      <c r="J614" s="6"/>
      <c r="K614" s="6"/>
      <c r="L614" s="6"/>
      <c r="M614" s="6"/>
      <c r="N614" s="6"/>
      <c r="O614" s="6"/>
      <c r="P614" s="6"/>
      <c r="Q614" s="6"/>
      <c r="R614" s="6"/>
      <c r="S614" s="6"/>
    </row>
    <row r="615" spans="1:19">
      <c r="A615" s="83"/>
      <c r="B615" s="82"/>
      <c r="C615" s="82"/>
      <c r="D615" s="82"/>
      <c r="E615" s="82"/>
      <c r="F615" s="83"/>
      <c r="G615" s="83"/>
      <c r="H615" s="83"/>
      <c r="I615" s="6"/>
      <c r="J615" s="6"/>
      <c r="K615" s="6"/>
      <c r="L615" s="6"/>
      <c r="M615" s="6"/>
      <c r="N615" s="6"/>
      <c r="O615" s="6"/>
      <c r="P615" s="6"/>
      <c r="Q615" s="6"/>
      <c r="R615" s="6"/>
      <c r="S615" s="6"/>
    </row>
    <row r="616" spans="1:19">
      <c r="A616" s="83"/>
      <c r="B616" s="82"/>
      <c r="C616" s="82"/>
      <c r="D616" s="82"/>
      <c r="E616" s="82"/>
      <c r="F616" s="83"/>
      <c r="G616" s="83"/>
      <c r="H616" s="83"/>
      <c r="I616" s="6"/>
      <c r="J616" s="6"/>
      <c r="K616" s="6"/>
      <c r="L616" s="6"/>
      <c r="M616" s="6"/>
      <c r="N616" s="6"/>
      <c r="O616" s="6"/>
      <c r="P616" s="6"/>
      <c r="Q616" s="6"/>
      <c r="R616" s="6"/>
      <c r="S616" s="6"/>
    </row>
    <row r="617" spans="1:19">
      <c r="A617" s="83"/>
      <c r="B617" s="82"/>
      <c r="C617" s="82"/>
      <c r="D617" s="82"/>
      <c r="E617" s="82"/>
      <c r="F617" s="83"/>
      <c r="G617" s="83"/>
      <c r="H617" s="83"/>
      <c r="I617" s="6"/>
      <c r="J617" s="6"/>
      <c r="K617" s="6"/>
      <c r="L617" s="6"/>
      <c r="M617" s="6"/>
      <c r="N617" s="6"/>
      <c r="O617" s="6"/>
      <c r="P617" s="6"/>
      <c r="Q617" s="6"/>
      <c r="R617" s="6"/>
      <c r="S617" s="6"/>
    </row>
    <row r="618" spans="1:19">
      <c r="A618" s="83"/>
      <c r="B618" s="82"/>
      <c r="C618" s="82"/>
      <c r="D618" s="82"/>
      <c r="E618" s="82"/>
      <c r="F618" s="83"/>
      <c r="G618" s="83"/>
      <c r="H618" s="83"/>
      <c r="I618" s="6"/>
      <c r="J618" s="6"/>
      <c r="K618" s="6"/>
      <c r="L618" s="6"/>
      <c r="M618" s="6"/>
      <c r="N618" s="6"/>
      <c r="O618" s="6"/>
      <c r="P618" s="6"/>
      <c r="Q618" s="6"/>
      <c r="R618" s="6"/>
      <c r="S618" s="6"/>
    </row>
    <row r="619" spans="1:19">
      <c r="A619" s="83"/>
      <c r="B619" s="82"/>
      <c r="C619" s="82"/>
      <c r="D619" s="82"/>
      <c r="E619" s="82"/>
      <c r="F619" s="83"/>
      <c r="G619" s="83"/>
      <c r="H619" s="83"/>
      <c r="I619" s="6"/>
      <c r="J619" s="6"/>
      <c r="K619" s="6"/>
      <c r="L619" s="6"/>
      <c r="M619" s="6"/>
      <c r="N619" s="6"/>
      <c r="O619" s="6"/>
      <c r="P619" s="6"/>
      <c r="Q619" s="6"/>
      <c r="R619" s="6"/>
      <c r="S619" s="6"/>
    </row>
    <row r="620" spans="1:19">
      <c r="A620" s="83"/>
      <c r="B620" s="82"/>
      <c r="C620" s="82"/>
      <c r="D620" s="82"/>
      <c r="E620" s="82"/>
      <c r="F620" s="83"/>
      <c r="G620" s="83"/>
      <c r="H620" s="83"/>
      <c r="I620" s="6"/>
      <c r="J620" s="6"/>
      <c r="K620" s="6"/>
      <c r="L620" s="6"/>
      <c r="M620" s="6"/>
      <c r="N620" s="6"/>
      <c r="O620" s="6"/>
      <c r="P620" s="6"/>
      <c r="Q620" s="6"/>
      <c r="R620" s="6"/>
      <c r="S620" s="6"/>
    </row>
    <row r="621" spans="1:19">
      <c r="A621" s="83"/>
      <c r="B621" s="82"/>
      <c r="C621" s="82"/>
      <c r="D621" s="82"/>
      <c r="E621" s="82"/>
      <c r="F621" s="83"/>
      <c r="G621" s="83"/>
      <c r="H621" s="83"/>
      <c r="I621" s="6"/>
      <c r="J621" s="6"/>
      <c r="K621" s="6"/>
      <c r="L621" s="6"/>
      <c r="M621" s="6"/>
      <c r="N621" s="6"/>
      <c r="O621" s="6"/>
      <c r="P621" s="6"/>
      <c r="Q621" s="6"/>
      <c r="R621" s="6"/>
      <c r="S621" s="6"/>
    </row>
    <row r="622" spans="1:19">
      <c r="A622" s="83"/>
      <c r="B622" s="82"/>
      <c r="C622" s="82"/>
      <c r="D622" s="82"/>
      <c r="E622" s="82"/>
      <c r="F622" s="83"/>
      <c r="G622" s="83"/>
      <c r="H622" s="83"/>
      <c r="I622" s="6"/>
      <c r="J622" s="6"/>
      <c r="K622" s="6"/>
      <c r="L622" s="6"/>
      <c r="M622" s="6"/>
      <c r="N622" s="6"/>
      <c r="O622" s="6"/>
      <c r="P622" s="6"/>
      <c r="Q622" s="6"/>
      <c r="R622" s="6"/>
      <c r="S622" s="6"/>
    </row>
    <row r="623" spans="1:19">
      <c r="A623" s="83"/>
      <c r="B623" s="82"/>
      <c r="C623" s="82"/>
      <c r="D623" s="82"/>
      <c r="E623" s="82"/>
      <c r="F623" s="83"/>
      <c r="G623" s="83"/>
      <c r="H623" s="83"/>
      <c r="I623" s="6"/>
      <c r="J623" s="6"/>
      <c r="K623" s="6"/>
      <c r="L623" s="6"/>
      <c r="M623" s="6"/>
      <c r="N623" s="6"/>
      <c r="O623" s="6"/>
      <c r="P623" s="6"/>
      <c r="Q623" s="6"/>
      <c r="R623" s="6"/>
      <c r="S623" s="6"/>
    </row>
    <row r="624" spans="1:19">
      <c r="A624" s="83"/>
      <c r="B624" s="82"/>
      <c r="C624" s="82"/>
      <c r="D624" s="82"/>
      <c r="E624" s="82"/>
      <c r="F624" s="83"/>
      <c r="G624" s="83"/>
      <c r="H624" s="83"/>
      <c r="I624" s="6"/>
      <c r="J624" s="6"/>
      <c r="K624" s="6"/>
      <c r="L624" s="6"/>
      <c r="M624" s="6"/>
      <c r="N624" s="6"/>
      <c r="O624" s="6"/>
      <c r="P624" s="6"/>
      <c r="Q624" s="6"/>
      <c r="R624" s="6"/>
      <c r="S624" s="6"/>
    </row>
    <row r="625" spans="1:19">
      <c r="A625" s="83"/>
      <c r="B625" s="82"/>
      <c r="C625" s="82"/>
      <c r="D625" s="82"/>
      <c r="E625" s="82"/>
      <c r="F625" s="83"/>
      <c r="G625" s="83"/>
      <c r="H625" s="83"/>
      <c r="I625" s="6"/>
      <c r="J625" s="6"/>
      <c r="K625" s="6"/>
      <c r="L625" s="6"/>
      <c r="M625" s="6"/>
      <c r="N625" s="6"/>
      <c r="O625" s="6"/>
      <c r="P625" s="6"/>
      <c r="Q625" s="6"/>
      <c r="R625" s="6"/>
      <c r="S625" s="6"/>
    </row>
    <row r="626" spans="1:19">
      <c r="A626" s="83"/>
      <c r="B626" s="82"/>
      <c r="C626" s="82"/>
      <c r="D626" s="82"/>
      <c r="E626" s="82"/>
      <c r="F626" s="83"/>
      <c r="G626" s="83"/>
      <c r="H626" s="83"/>
      <c r="I626" s="6"/>
      <c r="J626" s="6"/>
      <c r="K626" s="6"/>
      <c r="L626" s="6"/>
      <c r="M626" s="6"/>
      <c r="N626" s="6"/>
      <c r="O626" s="6"/>
      <c r="P626" s="6"/>
      <c r="Q626" s="6"/>
      <c r="R626" s="6"/>
      <c r="S626" s="6"/>
    </row>
    <row r="627" spans="1:19">
      <c r="A627" s="83"/>
      <c r="B627" s="82"/>
      <c r="C627" s="82"/>
      <c r="D627" s="82"/>
      <c r="E627" s="82"/>
      <c r="F627" s="83"/>
      <c r="G627" s="83"/>
      <c r="H627" s="83"/>
      <c r="I627" s="6"/>
      <c r="J627" s="6"/>
      <c r="K627" s="6"/>
      <c r="L627" s="6"/>
      <c r="M627" s="6"/>
      <c r="N627" s="6"/>
      <c r="O627" s="6"/>
      <c r="P627" s="6"/>
      <c r="Q627" s="6"/>
      <c r="R627" s="6"/>
      <c r="S627" s="6"/>
    </row>
    <row r="628" spans="1:19">
      <c r="A628" s="83"/>
      <c r="B628" s="82"/>
      <c r="C628" s="82"/>
      <c r="D628" s="82"/>
      <c r="E628" s="82"/>
      <c r="F628" s="83"/>
      <c r="G628" s="83"/>
      <c r="H628" s="83"/>
      <c r="I628" s="6"/>
      <c r="J628" s="6"/>
      <c r="K628" s="6"/>
      <c r="L628" s="6"/>
      <c r="M628" s="6"/>
      <c r="N628" s="6"/>
      <c r="O628" s="6"/>
      <c r="P628" s="6"/>
      <c r="Q628" s="6"/>
      <c r="R628" s="6"/>
      <c r="S628" s="6"/>
    </row>
    <row r="629" spans="1:19">
      <c r="A629" s="83"/>
      <c r="B629" s="82"/>
      <c r="C629" s="82"/>
      <c r="D629" s="82"/>
      <c r="E629" s="82"/>
      <c r="F629" s="83"/>
      <c r="G629" s="83"/>
      <c r="H629" s="83"/>
      <c r="I629" s="6"/>
      <c r="J629" s="6"/>
      <c r="K629" s="6"/>
      <c r="L629" s="6"/>
      <c r="M629" s="6"/>
      <c r="N629" s="6"/>
      <c r="O629" s="6"/>
      <c r="P629" s="6"/>
      <c r="Q629" s="6"/>
      <c r="R629" s="6"/>
      <c r="S629" s="6"/>
    </row>
    <row r="630" spans="1:19">
      <c r="A630" s="83"/>
      <c r="B630" s="82"/>
      <c r="C630" s="82"/>
      <c r="D630" s="82"/>
      <c r="E630" s="82"/>
      <c r="F630" s="83"/>
      <c r="G630" s="83"/>
      <c r="H630" s="83"/>
      <c r="I630" s="6"/>
      <c r="J630" s="6"/>
      <c r="K630" s="6"/>
      <c r="L630" s="6"/>
      <c r="M630" s="6"/>
      <c r="N630" s="6"/>
      <c r="O630" s="6"/>
      <c r="P630" s="6"/>
      <c r="Q630" s="6"/>
      <c r="R630" s="6"/>
      <c r="S630" s="6"/>
    </row>
    <row r="631" spans="1:19">
      <c r="A631" s="83"/>
      <c r="B631" s="82"/>
      <c r="C631" s="82"/>
      <c r="D631" s="82"/>
      <c r="E631" s="82"/>
      <c r="F631" s="83"/>
      <c r="G631" s="83"/>
      <c r="H631" s="83"/>
      <c r="I631" s="6"/>
      <c r="J631" s="6"/>
      <c r="K631" s="6"/>
      <c r="L631" s="6"/>
      <c r="M631" s="6"/>
      <c r="N631" s="6"/>
      <c r="O631" s="6"/>
      <c r="P631" s="6"/>
      <c r="Q631" s="6"/>
      <c r="R631" s="6"/>
      <c r="S631" s="6"/>
    </row>
    <row r="632" spans="1:19">
      <c r="A632" s="83"/>
      <c r="B632" s="82"/>
      <c r="C632" s="82"/>
      <c r="D632" s="82"/>
      <c r="E632" s="82"/>
      <c r="F632" s="83"/>
      <c r="G632" s="83"/>
      <c r="H632" s="83"/>
      <c r="I632" s="6"/>
      <c r="J632" s="6"/>
      <c r="K632" s="6"/>
      <c r="L632" s="6"/>
      <c r="M632" s="6"/>
      <c r="N632" s="6"/>
      <c r="O632" s="6"/>
      <c r="P632" s="6"/>
      <c r="Q632" s="6"/>
      <c r="R632" s="6"/>
      <c r="S632" s="6"/>
    </row>
    <row r="633" spans="1:19">
      <c r="A633" s="83"/>
      <c r="B633" s="82"/>
      <c r="C633" s="82"/>
      <c r="D633" s="82"/>
      <c r="E633" s="82"/>
      <c r="F633" s="83"/>
      <c r="G633" s="83"/>
      <c r="H633" s="83"/>
      <c r="I633" s="6"/>
      <c r="J633" s="6"/>
      <c r="K633" s="6"/>
      <c r="L633" s="6"/>
      <c r="M633" s="6"/>
      <c r="N633" s="6"/>
      <c r="O633" s="6"/>
      <c r="P633" s="6"/>
      <c r="Q633" s="6"/>
      <c r="R633" s="6"/>
      <c r="S633" s="6"/>
    </row>
    <row r="634" spans="1:19">
      <c r="A634" s="83"/>
      <c r="B634" s="82"/>
      <c r="C634" s="82"/>
      <c r="D634" s="82"/>
      <c r="E634" s="82"/>
      <c r="F634" s="83"/>
      <c r="G634" s="83"/>
      <c r="H634" s="83"/>
      <c r="I634" s="6"/>
      <c r="J634" s="6"/>
      <c r="K634" s="6"/>
      <c r="L634" s="6"/>
      <c r="M634" s="6"/>
      <c r="N634" s="6"/>
      <c r="O634" s="6"/>
      <c r="P634" s="6"/>
      <c r="Q634" s="6"/>
      <c r="R634" s="6"/>
      <c r="S634" s="6"/>
    </row>
    <row r="635" spans="1:19">
      <c r="A635" s="83"/>
      <c r="B635" s="82"/>
      <c r="C635" s="82"/>
      <c r="D635" s="82"/>
      <c r="E635" s="82"/>
      <c r="F635" s="83"/>
      <c r="G635" s="83"/>
      <c r="H635" s="83"/>
      <c r="I635" s="6"/>
      <c r="J635" s="6"/>
      <c r="K635" s="6"/>
      <c r="L635" s="6"/>
      <c r="M635" s="6"/>
      <c r="N635" s="6"/>
      <c r="O635" s="6"/>
      <c r="P635" s="6"/>
      <c r="Q635" s="6"/>
      <c r="R635" s="6"/>
      <c r="S635" s="6"/>
    </row>
    <row r="636" spans="1:19">
      <c r="A636" s="83"/>
      <c r="B636" s="82"/>
      <c r="C636" s="82"/>
      <c r="D636" s="82"/>
      <c r="E636" s="82"/>
      <c r="F636" s="83"/>
      <c r="G636" s="83"/>
      <c r="H636" s="83"/>
      <c r="I636" s="6"/>
      <c r="J636" s="6"/>
      <c r="K636" s="6"/>
      <c r="L636" s="6"/>
      <c r="M636" s="6"/>
      <c r="N636" s="6"/>
      <c r="O636" s="6"/>
      <c r="P636" s="6"/>
      <c r="Q636" s="6"/>
      <c r="R636" s="6"/>
      <c r="S636" s="6"/>
    </row>
    <row r="637" spans="1:19">
      <c r="A637" s="83"/>
      <c r="B637" s="82"/>
      <c r="C637" s="82"/>
      <c r="D637" s="82"/>
      <c r="E637" s="82"/>
      <c r="F637" s="83"/>
      <c r="G637" s="83"/>
      <c r="H637" s="83"/>
      <c r="I637" s="6"/>
      <c r="J637" s="6"/>
      <c r="K637" s="6"/>
      <c r="L637" s="6"/>
      <c r="M637" s="6"/>
      <c r="N637" s="6"/>
      <c r="O637" s="6"/>
      <c r="P637" s="6"/>
      <c r="Q637" s="6"/>
      <c r="R637" s="6"/>
      <c r="S637" s="6"/>
    </row>
    <row r="638" spans="1:19">
      <c r="A638" s="83"/>
      <c r="B638" s="82"/>
      <c r="C638" s="82"/>
      <c r="D638" s="82"/>
      <c r="E638" s="82"/>
      <c r="F638" s="83"/>
      <c r="G638" s="83"/>
      <c r="H638" s="83"/>
      <c r="I638" s="6"/>
      <c r="J638" s="6"/>
      <c r="K638" s="6"/>
      <c r="L638" s="6"/>
      <c r="M638" s="6"/>
      <c r="N638" s="6"/>
      <c r="O638" s="6"/>
      <c r="P638" s="6"/>
      <c r="Q638" s="6"/>
      <c r="R638" s="6"/>
      <c r="S638" s="6"/>
    </row>
    <row r="639" spans="1:19">
      <c r="A639" s="83"/>
      <c r="B639" s="82"/>
      <c r="C639" s="82"/>
      <c r="D639" s="82"/>
      <c r="E639" s="82"/>
      <c r="F639" s="83"/>
      <c r="G639" s="83"/>
      <c r="H639" s="83"/>
      <c r="I639" s="6"/>
      <c r="J639" s="6"/>
      <c r="K639" s="6"/>
      <c r="L639" s="6"/>
      <c r="M639" s="6"/>
      <c r="N639" s="6"/>
      <c r="O639" s="6"/>
      <c r="P639" s="6"/>
      <c r="Q639" s="6"/>
      <c r="R639" s="6"/>
      <c r="S639" s="6"/>
    </row>
    <row r="640" spans="1:19">
      <c r="A640" s="83"/>
      <c r="B640" s="82"/>
      <c r="C640" s="82"/>
      <c r="D640" s="82"/>
      <c r="E640" s="82"/>
      <c r="F640" s="83"/>
      <c r="G640" s="83"/>
      <c r="H640" s="83"/>
      <c r="I640" s="6"/>
      <c r="J640" s="6"/>
      <c r="K640" s="6"/>
      <c r="L640" s="6"/>
      <c r="M640" s="6"/>
      <c r="N640" s="6"/>
      <c r="O640" s="6"/>
      <c r="P640" s="6"/>
      <c r="Q640" s="6"/>
      <c r="R640" s="6"/>
      <c r="S640" s="6"/>
    </row>
    <row r="641" spans="1:19">
      <c r="A641" s="83"/>
      <c r="B641" s="82"/>
      <c r="C641" s="82"/>
      <c r="D641" s="82"/>
      <c r="E641" s="82"/>
      <c r="F641" s="83"/>
      <c r="G641" s="83"/>
      <c r="H641" s="83"/>
      <c r="I641" s="6"/>
      <c r="J641" s="6"/>
      <c r="K641" s="6"/>
      <c r="L641" s="6"/>
      <c r="M641" s="6"/>
      <c r="N641" s="6"/>
      <c r="O641" s="6"/>
      <c r="P641" s="6"/>
      <c r="Q641" s="6"/>
      <c r="R641" s="6"/>
      <c r="S641" s="6"/>
    </row>
    <row r="642" spans="1:19">
      <c r="A642" s="83"/>
      <c r="B642" s="82"/>
      <c r="C642" s="82"/>
      <c r="D642" s="82"/>
      <c r="E642" s="82"/>
      <c r="F642" s="83"/>
      <c r="G642" s="83"/>
      <c r="H642" s="83"/>
      <c r="I642" s="6"/>
      <c r="J642" s="6"/>
      <c r="K642" s="6"/>
      <c r="L642" s="6"/>
      <c r="M642" s="6"/>
      <c r="N642" s="6"/>
      <c r="O642" s="6"/>
      <c r="P642" s="6"/>
      <c r="Q642" s="6"/>
      <c r="R642" s="6"/>
      <c r="S642" s="6"/>
    </row>
    <row r="643" spans="1:19">
      <c r="A643" s="83"/>
      <c r="B643" s="82"/>
      <c r="C643" s="82"/>
      <c r="D643" s="82"/>
      <c r="E643" s="82"/>
      <c r="F643" s="83"/>
      <c r="G643" s="83"/>
      <c r="H643" s="83"/>
      <c r="I643" s="6"/>
      <c r="J643" s="6"/>
      <c r="K643" s="6"/>
      <c r="L643" s="6"/>
      <c r="M643" s="6"/>
      <c r="N643" s="6"/>
      <c r="O643" s="6"/>
      <c r="P643" s="6"/>
      <c r="Q643" s="6"/>
      <c r="R643" s="6"/>
      <c r="S643" s="6"/>
    </row>
    <row r="644" spans="1:19">
      <c r="A644" s="83"/>
      <c r="B644" s="82"/>
      <c r="C644" s="82"/>
      <c r="D644" s="82"/>
      <c r="E644" s="82"/>
      <c r="F644" s="83"/>
      <c r="G644" s="83"/>
      <c r="H644" s="83"/>
      <c r="I644" s="6"/>
      <c r="J644" s="6"/>
      <c r="K644" s="6"/>
      <c r="L644" s="6"/>
      <c r="M644" s="6"/>
      <c r="N644" s="6"/>
      <c r="O644" s="6"/>
      <c r="P644" s="6"/>
      <c r="Q644" s="6"/>
      <c r="R644" s="6"/>
      <c r="S644" s="6"/>
    </row>
    <row r="645" spans="1:19">
      <c r="A645" s="83"/>
      <c r="B645" s="82"/>
      <c r="C645" s="82"/>
      <c r="D645" s="82"/>
      <c r="E645" s="82"/>
      <c r="F645" s="83"/>
      <c r="G645" s="83"/>
      <c r="H645" s="83"/>
      <c r="I645" s="6"/>
      <c r="J645" s="6"/>
      <c r="K645" s="6"/>
      <c r="L645" s="6"/>
      <c r="M645" s="6"/>
      <c r="N645" s="6"/>
      <c r="O645" s="6"/>
      <c r="P645" s="6"/>
      <c r="Q645" s="6"/>
      <c r="R645" s="6"/>
      <c r="S645" s="6"/>
    </row>
    <row r="646" spans="1:19">
      <c r="A646" s="83"/>
      <c r="B646" s="82"/>
      <c r="C646" s="82"/>
      <c r="D646" s="82"/>
      <c r="E646" s="82"/>
      <c r="F646" s="83"/>
      <c r="G646" s="83"/>
      <c r="H646" s="83"/>
      <c r="I646" s="6"/>
      <c r="J646" s="6"/>
      <c r="K646" s="6"/>
      <c r="L646" s="6"/>
      <c r="M646" s="6"/>
      <c r="N646" s="6"/>
      <c r="O646" s="6"/>
      <c r="P646" s="6"/>
      <c r="Q646" s="6"/>
      <c r="R646" s="6"/>
      <c r="S646" s="6"/>
    </row>
    <row r="647" spans="1:19">
      <c r="A647" s="83"/>
      <c r="B647" s="82"/>
      <c r="C647" s="82"/>
      <c r="D647" s="82"/>
      <c r="E647" s="82"/>
      <c r="F647" s="83"/>
      <c r="G647" s="83"/>
      <c r="H647" s="83"/>
      <c r="I647" s="6"/>
      <c r="J647" s="6"/>
      <c r="K647" s="6"/>
      <c r="L647" s="6"/>
      <c r="M647" s="6"/>
      <c r="N647" s="6"/>
      <c r="O647" s="6"/>
      <c r="P647" s="6"/>
      <c r="Q647" s="6"/>
      <c r="R647" s="6"/>
      <c r="S647" s="6"/>
    </row>
    <row r="648" spans="1:19">
      <c r="A648" s="83"/>
      <c r="B648" s="82"/>
      <c r="C648" s="82"/>
      <c r="D648" s="82"/>
      <c r="E648" s="82"/>
      <c r="F648" s="83"/>
      <c r="G648" s="83"/>
      <c r="H648" s="83"/>
      <c r="I648" s="6"/>
      <c r="J648" s="6"/>
      <c r="K648" s="6"/>
      <c r="L648" s="6"/>
      <c r="M648" s="6"/>
      <c r="N648" s="6"/>
      <c r="O648" s="6"/>
      <c r="P648" s="6"/>
      <c r="Q648" s="6"/>
      <c r="R648" s="6"/>
      <c r="S648" s="6"/>
    </row>
    <row r="649" spans="1:19">
      <c r="A649" s="83"/>
      <c r="B649" s="82"/>
      <c r="C649" s="82"/>
      <c r="D649" s="82"/>
      <c r="E649" s="82"/>
      <c r="F649" s="83"/>
      <c r="G649" s="83"/>
      <c r="H649" s="83"/>
      <c r="I649" s="6"/>
      <c r="J649" s="6"/>
      <c r="K649" s="6"/>
      <c r="L649" s="6"/>
      <c r="M649" s="6"/>
      <c r="N649" s="6"/>
      <c r="O649" s="6"/>
      <c r="P649" s="6"/>
      <c r="Q649" s="6"/>
      <c r="R649" s="6"/>
      <c r="S649" s="6"/>
    </row>
    <row r="650" spans="1:19">
      <c r="A650" s="83"/>
      <c r="B650" s="82"/>
      <c r="C650" s="82"/>
      <c r="D650" s="82"/>
      <c r="E650" s="82"/>
      <c r="F650" s="83"/>
      <c r="G650" s="83"/>
      <c r="H650" s="83"/>
      <c r="I650" s="6"/>
      <c r="J650" s="6"/>
      <c r="K650" s="6"/>
      <c r="L650" s="6"/>
      <c r="M650" s="6"/>
      <c r="N650" s="6"/>
      <c r="O650" s="6"/>
      <c r="P650" s="6"/>
      <c r="Q650" s="6"/>
      <c r="R650" s="6"/>
      <c r="S650" s="6"/>
    </row>
    <row r="651" spans="1:19">
      <c r="A651" s="83"/>
      <c r="B651" s="82"/>
      <c r="C651" s="82"/>
      <c r="D651" s="82"/>
      <c r="E651" s="82"/>
      <c r="F651" s="83"/>
      <c r="G651" s="83"/>
      <c r="H651" s="83"/>
      <c r="I651" s="6"/>
      <c r="J651" s="6"/>
      <c r="K651" s="6"/>
      <c r="L651" s="6"/>
      <c r="M651" s="6"/>
      <c r="N651" s="6"/>
      <c r="O651" s="6"/>
      <c r="P651" s="6"/>
      <c r="Q651" s="6"/>
      <c r="R651" s="6"/>
      <c r="S651" s="6"/>
    </row>
    <row r="652" spans="1:19">
      <c r="A652" s="83"/>
      <c r="B652" s="82"/>
      <c r="C652" s="82"/>
      <c r="D652" s="82"/>
      <c r="E652" s="82"/>
      <c r="F652" s="83"/>
      <c r="G652" s="83"/>
      <c r="H652" s="83"/>
      <c r="I652" s="6"/>
      <c r="J652" s="6"/>
      <c r="K652" s="6"/>
      <c r="L652" s="6"/>
      <c r="M652" s="6"/>
      <c r="N652" s="6"/>
      <c r="O652" s="6"/>
      <c r="P652" s="6"/>
      <c r="Q652" s="6"/>
      <c r="R652" s="6"/>
      <c r="S652" s="6"/>
    </row>
    <row r="653" spans="1:19">
      <c r="A653" s="83"/>
      <c r="B653" s="82"/>
      <c r="C653" s="82"/>
      <c r="D653" s="82"/>
      <c r="E653" s="82"/>
      <c r="F653" s="83"/>
      <c r="G653" s="83"/>
      <c r="H653" s="83"/>
      <c r="I653" s="6"/>
      <c r="J653" s="6"/>
      <c r="K653" s="6"/>
      <c r="L653" s="6"/>
      <c r="M653" s="6"/>
      <c r="N653" s="6"/>
      <c r="O653" s="6"/>
      <c r="P653" s="6"/>
      <c r="Q653" s="6"/>
      <c r="R653" s="6"/>
      <c r="S653" s="6"/>
    </row>
    <row r="654" spans="1:19">
      <c r="A654" s="83"/>
      <c r="B654" s="82"/>
      <c r="C654" s="82"/>
      <c r="D654" s="82"/>
      <c r="E654" s="82"/>
      <c r="F654" s="83"/>
      <c r="G654" s="83"/>
      <c r="H654" s="83"/>
      <c r="I654" s="6"/>
      <c r="J654" s="6"/>
      <c r="K654" s="6"/>
      <c r="L654" s="6"/>
      <c r="M654" s="6"/>
      <c r="N654" s="6"/>
      <c r="O654" s="6"/>
      <c r="P654" s="6"/>
      <c r="Q654" s="6"/>
      <c r="R654" s="6"/>
      <c r="S654" s="6"/>
    </row>
    <row r="655" spans="1:19">
      <c r="A655" s="83"/>
      <c r="B655" s="82"/>
      <c r="C655" s="82"/>
      <c r="D655" s="82"/>
      <c r="E655" s="82"/>
      <c r="F655" s="83"/>
      <c r="G655" s="83"/>
      <c r="H655" s="83"/>
      <c r="I655" s="6"/>
      <c r="J655" s="6"/>
      <c r="K655" s="6"/>
      <c r="L655" s="6"/>
      <c r="M655" s="6"/>
      <c r="N655" s="6"/>
      <c r="O655" s="6"/>
      <c r="P655" s="6"/>
      <c r="Q655" s="6"/>
      <c r="R655" s="6"/>
      <c r="S655" s="6"/>
    </row>
    <row r="656" spans="1:19">
      <c r="A656" s="83"/>
      <c r="B656" s="82"/>
      <c r="C656" s="82"/>
      <c r="D656" s="82"/>
      <c r="E656" s="82"/>
      <c r="F656" s="83"/>
      <c r="G656" s="83"/>
      <c r="H656" s="83"/>
      <c r="I656" s="6"/>
      <c r="J656" s="6"/>
      <c r="K656" s="6"/>
      <c r="L656" s="6"/>
      <c r="M656" s="6"/>
      <c r="N656" s="6"/>
      <c r="O656" s="6"/>
      <c r="P656" s="6"/>
      <c r="Q656" s="6"/>
      <c r="R656" s="6"/>
      <c r="S656" s="6"/>
    </row>
    <row r="657" spans="1:19">
      <c r="A657" s="83"/>
      <c r="B657" s="82"/>
      <c r="C657" s="82"/>
      <c r="D657" s="82"/>
      <c r="E657" s="82"/>
      <c r="F657" s="83"/>
      <c r="G657" s="83"/>
      <c r="H657" s="83"/>
      <c r="I657" s="6"/>
      <c r="J657" s="6"/>
      <c r="K657" s="6"/>
      <c r="L657" s="6"/>
      <c r="M657" s="6"/>
      <c r="N657" s="6"/>
      <c r="O657" s="6"/>
      <c r="P657" s="6"/>
      <c r="Q657" s="6"/>
      <c r="R657" s="6"/>
      <c r="S657" s="6"/>
    </row>
    <row r="658" spans="1:19">
      <c r="A658" s="83"/>
      <c r="B658" s="82"/>
      <c r="C658" s="82"/>
      <c r="D658" s="82"/>
      <c r="E658" s="82"/>
      <c r="F658" s="83"/>
      <c r="G658" s="83"/>
      <c r="H658" s="83"/>
      <c r="I658" s="6"/>
      <c r="J658" s="6"/>
      <c r="K658" s="6"/>
      <c r="L658" s="6"/>
      <c r="M658" s="6"/>
      <c r="N658" s="6"/>
      <c r="O658" s="6"/>
      <c r="P658" s="6"/>
      <c r="Q658" s="6"/>
      <c r="R658" s="6"/>
      <c r="S658" s="6"/>
    </row>
    <row r="659" spans="1:19">
      <c r="A659" s="83"/>
      <c r="B659" s="82"/>
      <c r="C659" s="82"/>
      <c r="D659" s="82"/>
      <c r="E659" s="82"/>
      <c r="F659" s="83"/>
      <c r="G659" s="83"/>
      <c r="H659" s="83"/>
      <c r="I659" s="6"/>
      <c r="J659" s="6"/>
      <c r="K659" s="6"/>
      <c r="L659" s="6"/>
      <c r="M659" s="6"/>
      <c r="N659" s="6"/>
      <c r="O659" s="6"/>
      <c r="P659" s="6"/>
      <c r="Q659" s="6"/>
      <c r="R659" s="6"/>
      <c r="S659" s="6"/>
    </row>
    <row r="660" spans="1:19">
      <c r="A660" s="83"/>
      <c r="B660" s="82"/>
      <c r="C660" s="82"/>
      <c r="D660" s="82"/>
      <c r="E660" s="82"/>
      <c r="F660" s="83"/>
      <c r="G660" s="83"/>
      <c r="H660" s="83"/>
      <c r="I660" s="6"/>
      <c r="J660" s="6"/>
      <c r="K660" s="6"/>
      <c r="L660" s="6"/>
      <c r="M660" s="6"/>
      <c r="N660" s="6"/>
      <c r="O660" s="6"/>
      <c r="P660" s="6"/>
      <c r="Q660" s="6"/>
      <c r="R660" s="6"/>
      <c r="S660" s="6"/>
    </row>
    <row r="661" spans="1:19">
      <c r="A661" s="83"/>
      <c r="B661" s="82"/>
      <c r="C661" s="82"/>
      <c r="D661" s="82"/>
      <c r="E661" s="82"/>
      <c r="F661" s="83"/>
      <c r="G661" s="83"/>
      <c r="H661" s="83"/>
      <c r="I661" s="6"/>
      <c r="J661" s="6"/>
      <c r="K661" s="6"/>
      <c r="L661" s="6"/>
      <c r="M661" s="6"/>
      <c r="N661" s="6"/>
      <c r="O661" s="6"/>
      <c r="P661" s="6"/>
      <c r="Q661" s="6"/>
      <c r="R661" s="6"/>
      <c r="S661" s="6"/>
    </row>
    <row r="662" spans="1:19">
      <c r="A662" s="83"/>
      <c r="B662" s="82"/>
      <c r="C662" s="82"/>
      <c r="D662" s="82"/>
      <c r="E662" s="82"/>
      <c r="F662" s="83"/>
      <c r="G662" s="83"/>
      <c r="H662" s="83"/>
      <c r="I662" s="6"/>
      <c r="J662" s="6"/>
      <c r="K662" s="6"/>
      <c r="L662" s="6"/>
      <c r="M662" s="6"/>
      <c r="N662" s="6"/>
      <c r="O662" s="6"/>
      <c r="P662" s="6"/>
      <c r="Q662" s="6"/>
      <c r="R662" s="6"/>
      <c r="S662" s="6"/>
    </row>
    <row r="663" spans="1:19">
      <c r="A663" s="83"/>
      <c r="B663" s="82"/>
      <c r="C663" s="82"/>
      <c r="D663" s="82"/>
      <c r="E663" s="82"/>
      <c r="F663" s="83"/>
      <c r="G663" s="83"/>
      <c r="H663" s="83"/>
      <c r="I663" s="6"/>
      <c r="J663" s="6"/>
      <c r="K663" s="6"/>
      <c r="L663" s="6"/>
      <c r="M663" s="6"/>
      <c r="N663" s="6"/>
      <c r="O663" s="6"/>
      <c r="P663" s="6"/>
      <c r="Q663" s="6"/>
      <c r="R663" s="6"/>
      <c r="S663" s="6"/>
    </row>
    <row r="664" spans="1:19">
      <c r="A664" s="83"/>
      <c r="B664" s="82"/>
      <c r="C664" s="82"/>
      <c r="D664" s="82"/>
      <c r="E664" s="82"/>
      <c r="F664" s="83"/>
      <c r="G664" s="83"/>
      <c r="H664" s="83"/>
      <c r="I664" s="6"/>
      <c r="J664" s="6"/>
      <c r="K664" s="6"/>
      <c r="L664" s="6"/>
      <c r="M664" s="6"/>
      <c r="N664" s="6"/>
      <c r="O664" s="6"/>
      <c r="P664" s="6"/>
      <c r="Q664" s="6"/>
      <c r="R664" s="6"/>
      <c r="S664" s="6"/>
    </row>
    <row r="665" spans="1:19">
      <c r="A665" s="83"/>
      <c r="B665" s="82"/>
      <c r="C665" s="82"/>
      <c r="D665" s="82"/>
      <c r="E665" s="82"/>
      <c r="F665" s="83"/>
      <c r="G665" s="83"/>
      <c r="H665" s="83"/>
      <c r="I665" s="6"/>
      <c r="J665" s="6"/>
      <c r="K665" s="6"/>
      <c r="L665" s="6"/>
      <c r="M665" s="6"/>
      <c r="N665" s="6"/>
      <c r="O665" s="6"/>
      <c r="P665" s="6"/>
      <c r="Q665" s="6"/>
      <c r="R665" s="6"/>
      <c r="S665" s="6"/>
    </row>
    <row r="666" spans="1:19">
      <c r="A666" s="83"/>
      <c r="B666" s="82"/>
      <c r="C666" s="82"/>
      <c r="D666" s="82"/>
      <c r="E666" s="82"/>
      <c r="F666" s="83"/>
      <c r="G666" s="83"/>
      <c r="H666" s="83"/>
      <c r="I666" s="6"/>
      <c r="J666" s="6"/>
      <c r="K666" s="6"/>
      <c r="L666" s="6"/>
      <c r="M666" s="6"/>
      <c r="N666" s="6"/>
      <c r="O666" s="6"/>
      <c r="P666" s="6"/>
      <c r="Q666" s="6"/>
      <c r="R666" s="6"/>
      <c r="S666" s="6"/>
    </row>
    <row r="667" spans="1:19">
      <c r="A667" s="83"/>
      <c r="B667" s="82"/>
      <c r="C667" s="82"/>
      <c r="D667" s="82"/>
      <c r="E667" s="82"/>
      <c r="F667" s="83"/>
      <c r="G667" s="83"/>
      <c r="H667" s="83"/>
      <c r="I667" s="6"/>
      <c r="J667" s="6"/>
      <c r="K667" s="6"/>
      <c r="L667" s="6"/>
      <c r="M667" s="6"/>
      <c r="N667" s="6"/>
      <c r="O667" s="6"/>
      <c r="P667" s="6"/>
      <c r="Q667" s="6"/>
      <c r="R667" s="6"/>
      <c r="S667" s="6"/>
    </row>
    <row r="668" spans="1:19">
      <c r="A668" s="83"/>
      <c r="B668" s="82"/>
      <c r="C668" s="82"/>
      <c r="D668" s="82"/>
      <c r="E668" s="82"/>
      <c r="F668" s="83"/>
      <c r="G668" s="83"/>
      <c r="H668" s="83"/>
      <c r="I668" s="6"/>
      <c r="J668" s="6"/>
      <c r="K668" s="6"/>
      <c r="L668" s="6"/>
      <c r="M668" s="6"/>
      <c r="N668" s="6"/>
      <c r="O668" s="6"/>
      <c r="P668" s="6"/>
      <c r="Q668" s="6"/>
      <c r="R668" s="6"/>
      <c r="S668" s="6"/>
    </row>
    <row r="669" spans="1:19">
      <c r="A669" s="83"/>
      <c r="B669" s="82"/>
      <c r="C669" s="82"/>
      <c r="D669" s="82"/>
      <c r="E669" s="82"/>
      <c r="F669" s="83"/>
      <c r="G669" s="83"/>
      <c r="H669" s="83"/>
      <c r="I669" s="6"/>
      <c r="J669" s="6"/>
      <c r="K669" s="6"/>
      <c r="L669" s="6"/>
      <c r="M669" s="6"/>
      <c r="N669" s="6"/>
      <c r="O669" s="6"/>
      <c r="P669" s="6"/>
      <c r="Q669" s="6"/>
      <c r="R669" s="6"/>
      <c r="S669" s="6"/>
    </row>
    <row r="670" spans="1:19">
      <c r="A670" s="83"/>
      <c r="B670" s="82"/>
      <c r="C670" s="82"/>
      <c r="D670" s="82"/>
      <c r="E670" s="82"/>
      <c r="F670" s="83"/>
      <c r="G670" s="83"/>
      <c r="H670" s="83"/>
      <c r="I670" s="6"/>
      <c r="J670" s="6"/>
      <c r="K670" s="6"/>
      <c r="L670" s="6"/>
      <c r="M670" s="6"/>
      <c r="N670" s="6"/>
      <c r="O670" s="6"/>
      <c r="P670" s="6"/>
      <c r="Q670" s="6"/>
      <c r="R670" s="6"/>
      <c r="S670" s="6"/>
    </row>
    <row r="671" spans="1:19">
      <c r="A671" s="83"/>
      <c r="B671" s="82"/>
      <c r="C671" s="82"/>
      <c r="D671" s="82"/>
      <c r="E671" s="82"/>
      <c r="F671" s="83"/>
      <c r="G671" s="83"/>
      <c r="H671" s="83"/>
      <c r="I671" s="6"/>
      <c r="J671" s="6"/>
      <c r="K671" s="6"/>
      <c r="L671" s="6"/>
      <c r="M671" s="6"/>
      <c r="N671" s="6"/>
      <c r="O671" s="6"/>
      <c r="P671" s="6"/>
      <c r="Q671" s="6"/>
      <c r="R671" s="6"/>
      <c r="S671" s="6"/>
    </row>
    <row r="672" spans="1:19">
      <c r="A672" s="83"/>
      <c r="B672" s="82"/>
      <c r="C672" s="82"/>
      <c r="D672" s="82"/>
      <c r="E672" s="82"/>
      <c r="F672" s="83"/>
      <c r="G672" s="83"/>
      <c r="H672" s="83"/>
      <c r="I672" s="6"/>
      <c r="J672" s="6"/>
      <c r="K672" s="6"/>
      <c r="L672" s="6"/>
      <c r="M672" s="6"/>
      <c r="N672" s="6"/>
      <c r="O672" s="6"/>
      <c r="P672" s="6"/>
      <c r="Q672" s="6"/>
      <c r="R672" s="6"/>
      <c r="S672" s="6"/>
    </row>
    <row r="673" spans="1:19">
      <c r="A673" s="83"/>
      <c r="B673" s="82"/>
      <c r="C673" s="82"/>
      <c r="D673" s="82"/>
      <c r="E673" s="82"/>
      <c r="F673" s="83"/>
      <c r="G673" s="83"/>
      <c r="H673" s="83"/>
      <c r="I673" s="6"/>
      <c r="J673" s="6"/>
      <c r="K673" s="6"/>
      <c r="L673" s="6"/>
      <c r="M673" s="6"/>
      <c r="N673" s="6"/>
      <c r="O673" s="6"/>
      <c r="P673" s="6"/>
      <c r="Q673" s="6"/>
      <c r="R673" s="6"/>
      <c r="S673" s="6"/>
    </row>
    <row r="674" spans="1:19">
      <c r="A674" s="83"/>
      <c r="B674" s="82"/>
      <c r="C674" s="82"/>
      <c r="D674" s="82"/>
      <c r="E674" s="82"/>
      <c r="F674" s="83"/>
      <c r="G674" s="83"/>
      <c r="H674" s="83"/>
      <c r="I674" s="6"/>
      <c r="J674" s="6"/>
      <c r="K674" s="6"/>
      <c r="L674" s="6"/>
      <c r="M674" s="6"/>
      <c r="N674" s="6"/>
      <c r="O674" s="6"/>
      <c r="P674" s="6"/>
      <c r="Q674" s="6"/>
      <c r="R674" s="6"/>
      <c r="S674" s="6"/>
    </row>
    <row r="675" spans="1:19">
      <c r="A675" s="83"/>
      <c r="B675" s="82"/>
      <c r="C675" s="82"/>
      <c r="D675" s="82"/>
      <c r="E675" s="82"/>
      <c r="F675" s="83"/>
      <c r="G675" s="83"/>
      <c r="H675" s="83"/>
      <c r="I675" s="6"/>
      <c r="J675" s="6"/>
      <c r="K675" s="6"/>
      <c r="L675" s="6"/>
      <c r="M675" s="6"/>
      <c r="N675" s="6"/>
      <c r="O675" s="6"/>
      <c r="P675" s="6"/>
      <c r="Q675" s="6"/>
      <c r="R675" s="6"/>
      <c r="S675" s="6"/>
    </row>
    <row r="676" spans="1:19">
      <c r="A676" s="83"/>
      <c r="B676" s="82"/>
      <c r="C676" s="82"/>
      <c r="D676" s="82"/>
      <c r="E676" s="82"/>
      <c r="F676" s="83"/>
      <c r="G676" s="83"/>
      <c r="H676" s="83"/>
      <c r="I676" s="6"/>
      <c r="J676" s="6"/>
      <c r="K676" s="6"/>
      <c r="L676" s="6"/>
      <c r="M676" s="6"/>
      <c r="N676" s="6"/>
      <c r="O676" s="6"/>
      <c r="P676" s="6"/>
      <c r="Q676" s="6"/>
      <c r="R676" s="6"/>
      <c r="S676" s="6"/>
    </row>
    <row r="677" spans="1:19">
      <c r="A677" s="83"/>
      <c r="B677" s="82"/>
      <c r="C677" s="82"/>
      <c r="D677" s="82"/>
      <c r="E677" s="82"/>
      <c r="F677" s="83"/>
      <c r="G677" s="83"/>
      <c r="H677" s="83"/>
      <c r="I677" s="6"/>
      <c r="J677" s="6"/>
      <c r="K677" s="6"/>
      <c r="L677" s="6"/>
      <c r="M677" s="6"/>
      <c r="N677" s="6"/>
      <c r="O677" s="6"/>
      <c r="P677" s="6"/>
      <c r="Q677" s="6"/>
      <c r="R677" s="6"/>
      <c r="S677" s="6"/>
    </row>
    <row r="678" spans="1:19">
      <c r="A678" s="83"/>
      <c r="B678" s="82"/>
      <c r="C678" s="82"/>
      <c r="D678" s="82"/>
      <c r="E678" s="82"/>
      <c r="F678" s="83"/>
      <c r="G678" s="83"/>
      <c r="H678" s="83"/>
      <c r="I678" s="6"/>
      <c r="J678" s="6"/>
      <c r="K678" s="6"/>
      <c r="L678" s="6"/>
      <c r="M678" s="6"/>
      <c r="N678" s="6"/>
      <c r="O678" s="6"/>
      <c r="P678" s="6"/>
      <c r="Q678" s="6"/>
      <c r="R678" s="6"/>
      <c r="S678" s="6"/>
    </row>
    <row r="679" spans="1:19">
      <c r="A679" s="83"/>
      <c r="B679" s="82"/>
      <c r="C679" s="82"/>
      <c r="D679" s="82"/>
      <c r="E679" s="82"/>
      <c r="F679" s="83"/>
      <c r="G679" s="83"/>
      <c r="H679" s="83"/>
      <c r="I679" s="6"/>
      <c r="J679" s="6"/>
      <c r="K679" s="6"/>
      <c r="L679" s="6"/>
      <c r="M679" s="6"/>
      <c r="N679" s="6"/>
      <c r="O679" s="6"/>
      <c r="P679" s="6"/>
      <c r="Q679" s="6"/>
      <c r="R679" s="6"/>
      <c r="S679" s="6"/>
    </row>
    <row r="680" spans="1:19">
      <c r="A680" s="83"/>
      <c r="B680" s="82"/>
      <c r="C680" s="82"/>
      <c r="D680" s="82"/>
      <c r="E680" s="82"/>
      <c r="F680" s="83"/>
      <c r="G680" s="83"/>
      <c r="H680" s="83"/>
      <c r="I680" s="6"/>
      <c r="J680" s="6"/>
      <c r="K680" s="6"/>
      <c r="L680" s="6"/>
      <c r="M680" s="6"/>
      <c r="N680" s="6"/>
      <c r="O680" s="6"/>
      <c r="P680" s="6"/>
      <c r="Q680" s="6"/>
      <c r="R680" s="6"/>
      <c r="S680" s="6"/>
    </row>
    <row r="681" spans="1:19">
      <c r="A681" s="83"/>
      <c r="B681" s="82"/>
      <c r="C681" s="82"/>
      <c r="D681" s="82"/>
      <c r="E681" s="82"/>
      <c r="F681" s="83"/>
      <c r="G681" s="83"/>
      <c r="H681" s="83"/>
      <c r="I681" s="6"/>
      <c r="J681" s="6"/>
      <c r="K681" s="6"/>
      <c r="L681" s="6"/>
      <c r="M681" s="6"/>
      <c r="N681" s="6"/>
      <c r="O681" s="6"/>
      <c r="P681" s="6"/>
      <c r="Q681" s="6"/>
      <c r="R681" s="6"/>
      <c r="S681" s="6"/>
    </row>
    <row r="682" spans="1:19">
      <c r="A682" s="83"/>
      <c r="B682" s="82"/>
      <c r="C682" s="82"/>
      <c r="D682" s="82"/>
      <c r="E682" s="82"/>
      <c r="F682" s="83"/>
      <c r="G682" s="83"/>
      <c r="H682" s="83"/>
      <c r="I682" s="6"/>
      <c r="J682" s="6"/>
      <c r="K682" s="6"/>
      <c r="L682" s="6"/>
      <c r="M682" s="6"/>
      <c r="N682" s="6"/>
      <c r="O682" s="6"/>
      <c r="P682" s="6"/>
      <c r="Q682" s="6"/>
      <c r="R682" s="6"/>
      <c r="S682" s="6"/>
    </row>
    <row r="683" spans="1:19">
      <c r="A683" s="83"/>
      <c r="B683" s="82"/>
      <c r="C683" s="82"/>
      <c r="D683" s="82"/>
      <c r="E683" s="82"/>
      <c r="F683" s="83"/>
      <c r="G683" s="83"/>
      <c r="H683" s="83"/>
      <c r="I683" s="6"/>
      <c r="J683" s="6"/>
      <c r="K683" s="6"/>
      <c r="L683" s="6"/>
      <c r="M683" s="6"/>
      <c r="N683" s="6"/>
      <c r="O683" s="6"/>
      <c r="P683" s="6"/>
      <c r="Q683" s="6"/>
      <c r="R683" s="6"/>
      <c r="S683" s="6"/>
    </row>
    <row r="684" spans="1:19">
      <c r="A684" s="83"/>
      <c r="B684" s="82"/>
      <c r="C684" s="82"/>
      <c r="D684" s="82"/>
      <c r="E684" s="82"/>
      <c r="F684" s="83"/>
      <c r="G684" s="83"/>
      <c r="H684" s="83"/>
      <c r="I684" s="6"/>
      <c r="J684" s="6"/>
      <c r="K684" s="6"/>
      <c r="L684" s="6"/>
      <c r="M684" s="6"/>
      <c r="N684" s="6"/>
      <c r="O684" s="6"/>
      <c r="P684" s="6"/>
      <c r="Q684" s="6"/>
      <c r="R684" s="6"/>
      <c r="S684" s="6"/>
    </row>
    <row r="685" spans="1:19">
      <c r="A685" s="83"/>
      <c r="B685" s="82"/>
      <c r="C685" s="82"/>
      <c r="D685" s="82"/>
      <c r="E685" s="82"/>
      <c r="F685" s="83"/>
      <c r="G685" s="83"/>
      <c r="H685" s="83"/>
      <c r="I685" s="6"/>
      <c r="J685" s="6"/>
      <c r="K685" s="6"/>
      <c r="L685" s="6"/>
      <c r="M685" s="6"/>
      <c r="N685" s="6"/>
      <c r="O685" s="6"/>
      <c r="P685" s="6"/>
      <c r="Q685" s="6"/>
      <c r="R685" s="6"/>
      <c r="S685" s="6"/>
    </row>
    <row r="686" spans="1:19">
      <c r="A686" s="83"/>
      <c r="B686" s="82"/>
      <c r="C686" s="82"/>
      <c r="D686" s="82"/>
      <c r="E686" s="82"/>
      <c r="F686" s="83"/>
      <c r="G686" s="83"/>
      <c r="H686" s="83"/>
      <c r="I686" s="6"/>
      <c r="J686" s="6"/>
      <c r="K686" s="6"/>
      <c r="L686" s="6"/>
      <c r="M686" s="6"/>
      <c r="N686" s="6"/>
      <c r="O686" s="6"/>
      <c r="P686" s="6"/>
      <c r="Q686" s="6"/>
      <c r="R686" s="6"/>
      <c r="S686" s="6"/>
    </row>
    <row r="687" spans="1:19">
      <c r="A687" s="83"/>
      <c r="B687" s="82"/>
      <c r="C687" s="82"/>
      <c r="D687" s="82"/>
      <c r="E687" s="82"/>
      <c r="F687" s="83"/>
      <c r="G687" s="83"/>
      <c r="H687" s="83"/>
      <c r="I687" s="6"/>
      <c r="J687" s="6"/>
      <c r="K687" s="6"/>
      <c r="L687" s="6"/>
      <c r="M687" s="6"/>
      <c r="N687" s="6"/>
      <c r="O687" s="6"/>
      <c r="P687" s="6"/>
      <c r="Q687" s="6"/>
      <c r="R687" s="6"/>
      <c r="S687" s="6"/>
    </row>
    <row r="688" spans="1:19">
      <c r="A688" s="83"/>
      <c r="B688" s="82"/>
      <c r="C688" s="82"/>
      <c r="D688" s="82"/>
      <c r="E688" s="82"/>
      <c r="F688" s="83"/>
      <c r="G688" s="83"/>
      <c r="H688" s="83"/>
      <c r="I688" s="6"/>
      <c r="J688" s="6"/>
      <c r="K688" s="6"/>
      <c r="L688" s="6"/>
      <c r="M688" s="6"/>
      <c r="N688" s="6"/>
      <c r="O688" s="6"/>
      <c r="P688" s="6"/>
      <c r="Q688" s="6"/>
      <c r="R688" s="6"/>
      <c r="S688" s="6"/>
    </row>
    <row r="689" spans="1:19">
      <c r="A689" s="83"/>
      <c r="B689" s="82"/>
      <c r="C689" s="82"/>
      <c r="D689" s="82"/>
      <c r="E689" s="82"/>
      <c r="F689" s="83"/>
      <c r="G689" s="83"/>
      <c r="H689" s="83"/>
      <c r="I689" s="6"/>
      <c r="J689" s="6"/>
      <c r="K689" s="6"/>
      <c r="L689" s="6"/>
      <c r="M689" s="6"/>
      <c r="N689" s="6"/>
      <c r="O689" s="6"/>
      <c r="P689" s="6"/>
      <c r="Q689" s="6"/>
      <c r="R689" s="6"/>
      <c r="S689" s="6"/>
    </row>
    <row r="690" spans="1:19">
      <c r="A690" s="83"/>
      <c r="B690" s="82"/>
      <c r="C690" s="82"/>
      <c r="D690" s="82"/>
      <c r="E690" s="82"/>
      <c r="F690" s="83"/>
      <c r="G690" s="83"/>
      <c r="H690" s="83"/>
      <c r="I690" s="6"/>
      <c r="J690" s="6"/>
      <c r="K690" s="6"/>
      <c r="L690" s="6"/>
      <c r="M690" s="6"/>
      <c r="N690" s="6"/>
      <c r="O690" s="6"/>
      <c r="P690" s="6"/>
      <c r="Q690" s="6"/>
      <c r="R690" s="6"/>
      <c r="S690" s="6"/>
    </row>
    <row r="691" spans="1:19">
      <c r="A691" s="83"/>
      <c r="B691" s="82"/>
      <c r="C691" s="82"/>
      <c r="D691" s="82"/>
      <c r="E691" s="82"/>
      <c r="F691" s="83"/>
      <c r="G691" s="83"/>
      <c r="H691" s="83"/>
      <c r="I691" s="6"/>
      <c r="J691" s="6"/>
      <c r="K691" s="6"/>
      <c r="L691" s="6"/>
      <c r="M691" s="6"/>
      <c r="N691" s="6"/>
      <c r="O691" s="6"/>
      <c r="P691" s="6"/>
      <c r="Q691" s="6"/>
      <c r="R691" s="6"/>
      <c r="S691" s="6"/>
    </row>
    <row r="692" spans="1:19">
      <c r="A692" s="83"/>
      <c r="B692" s="82"/>
      <c r="C692" s="82"/>
      <c r="D692" s="82"/>
      <c r="E692" s="82"/>
      <c r="F692" s="83"/>
      <c r="G692" s="83"/>
      <c r="H692" s="83"/>
      <c r="I692" s="6"/>
      <c r="J692" s="6"/>
      <c r="K692" s="6"/>
      <c r="L692" s="6"/>
      <c r="M692" s="6"/>
      <c r="N692" s="6"/>
      <c r="O692" s="6"/>
      <c r="P692" s="6"/>
      <c r="Q692" s="6"/>
      <c r="R692" s="6"/>
      <c r="S692" s="6"/>
    </row>
    <row r="693" spans="1:19">
      <c r="A693" s="83"/>
      <c r="B693" s="82"/>
      <c r="C693" s="82"/>
      <c r="D693" s="82"/>
      <c r="E693" s="82"/>
      <c r="F693" s="83"/>
      <c r="G693" s="83"/>
      <c r="H693" s="83"/>
      <c r="I693" s="6"/>
      <c r="J693" s="6"/>
      <c r="K693" s="6"/>
      <c r="L693" s="6"/>
      <c r="M693" s="6"/>
      <c r="N693" s="6"/>
      <c r="O693" s="6"/>
      <c r="P693" s="6"/>
      <c r="Q693" s="6"/>
      <c r="R693" s="6"/>
      <c r="S693" s="6"/>
    </row>
    <row r="694" spans="1:19">
      <c r="A694" s="83"/>
      <c r="B694" s="82"/>
      <c r="C694" s="82"/>
      <c r="D694" s="82"/>
      <c r="E694" s="82"/>
      <c r="F694" s="83"/>
      <c r="G694" s="83"/>
      <c r="H694" s="83"/>
      <c r="I694" s="6"/>
      <c r="J694" s="6"/>
      <c r="K694" s="6"/>
      <c r="L694" s="6"/>
      <c r="M694" s="6"/>
      <c r="N694" s="6"/>
      <c r="O694" s="6"/>
      <c r="P694" s="6"/>
      <c r="Q694" s="6"/>
      <c r="R694" s="6"/>
      <c r="S694" s="6"/>
    </row>
    <row r="695" spans="1:19">
      <c r="A695" s="83"/>
      <c r="B695" s="82"/>
      <c r="C695" s="82"/>
      <c r="D695" s="82"/>
      <c r="E695" s="82"/>
      <c r="F695" s="83"/>
      <c r="G695" s="83"/>
      <c r="H695" s="83"/>
      <c r="I695" s="6"/>
      <c r="J695" s="6"/>
      <c r="K695" s="6"/>
      <c r="L695" s="6"/>
      <c r="M695" s="6"/>
      <c r="N695" s="6"/>
      <c r="O695" s="6"/>
      <c r="P695" s="6"/>
      <c r="Q695" s="6"/>
      <c r="R695" s="6"/>
      <c r="S695" s="6"/>
    </row>
    <row r="696" spans="1:19">
      <c r="A696" s="83"/>
      <c r="B696" s="82"/>
      <c r="C696" s="82"/>
      <c r="D696" s="82"/>
      <c r="E696" s="82"/>
      <c r="F696" s="83"/>
      <c r="G696" s="83"/>
      <c r="H696" s="83"/>
      <c r="I696" s="6"/>
      <c r="J696" s="6"/>
      <c r="K696" s="6"/>
      <c r="L696" s="6"/>
      <c r="M696" s="6"/>
      <c r="N696" s="6"/>
      <c r="O696" s="6"/>
      <c r="P696" s="6"/>
      <c r="Q696" s="6"/>
      <c r="R696" s="6"/>
      <c r="S696" s="6"/>
    </row>
    <row r="697" spans="1:19">
      <c r="A697" s="83"/>
      <c r="B697" s="82"/>
      <c r="C697" s="82"/>
      <c r="D697" s="82"/>
      <c r="E697" s="82"/>
      <c r="F697" s="83"/>
      <c r="G697" s="83"/>
      <c r="H697" s="83"/>
      <c r="I697" s="6"/>
      <c r="J697" s="6"/>
      <c r="K697" s="6"/>
      <c r="L697" s="6"/>
      <c r="M697" s="6"/>
      <c r="N697" s="6"/>
      <c r="O697" s="6"/>
      <c r="P697" s="6"/>
      <c r="Q697" s="6"/>
      <c r="R697" s="6"/>
      <c r="S697" s="6"/>
    </row>
    <row r="698" spans="1:19">
      <c r="A698" s="83"/>
      <c r="B698" s="82"/>
      <c r="C698" s="82"/>
      <c r="D698" s="82"/>
      <c r="E698" s="82"/>
      <c r="F698" s="83"/>
      <c r="G698" s="83"/>
      <c r="H698" s="83"/>
      <c r="I698" s="6"/>
      <c r="J698" s="6"/>
      <c r="K698" s="6"/>
      <c r="L698" s="6"/>
      <c r="M698" s="6"/>
      <c r="N698" s="6"/>
      <c r="O698" s="6"/>
      <c r="P698" s="6"/>
      <c r="Q698" s="6"/>
      <c r="R698" s="6"/>
      <c r="S698" s="6"/>
    </row>
    <row r="699" spans="1:19">
      <c r="A699" s="83"/>
      <c r="B699" s="82"/>
      <c r="C699" s="82"/>
      <c r="D699" s="82"/>
      <c r="E699" s="82"/>
      <c r="F699" s="83"/>
      <c r="G699" s="83"/>
      <c r="H699" s="83"/>
      <c r="I699" s="6"/>
      <c r="J699" s="6"/>
      <c r="K699" s="6"/>
      <c r="L699" s="6"/>
      <c r="M699" s="6"/>
      <c r="N699" s="6"/>
      <c r="O699" s="6"/>
      <c r="P699" s="6"/>
      <c r="Q699" s="6"/>
      <c r="R699" s="6"/>
      <c r="S699" s="6"/>
    </row>
    <row r="700" spans="1:19">
      <c r="A700" s="83"/>
      <c r="B700" s="82"/>
      <c r="C700" s="82"/>
      <c r="D700" s="82"/>
      <c r="E700" s="82"/>
      <c r="F700" s="83"/>
      <c r="G700" s="83"/>
      <c r="H700" s="83"/>
      <c r="I700" s="6"/>
      <c r="J700" s="6"/>
      <c r="K700" s="6"/>
      <c r="L700" s="6"/>
      <c r="M700" s="6"/>
      <c r="N700" s="6"/>
      <c r="O700" s="6"/>
      <c r="P700" s="6"/>
      <c r="Q700" s="6"/>
      <c r="R700" s="6"/>
      <c r="S700" s="6"/>
    </row>
    <row r="701" spans="1:19">
      <c r="A701" s="83"/>
      <c r="B701" s="82"/>
      <c r="C701" s="82"/>
      <c r="D701" s="82"/>
      <c r="E701" s="82"/>
      <c r="F701" s="83"/>
      <c r="G701" s="83"/>
      <c r="H701" s="83"/>
      <c r="I701" s="6"/>
      <c r="J701" s="6"/>
      <c r="K701" s="6"/>
      <c r="L701" s="6"/>
      <c r="M701" s="6"/>
      <c r="N701" s="6"/>
      <c r="O701" s="6"/>
      <c r="P701" s="6"/>
      <c r="Q701" s="6"/>
      <c r="R701" s="6"/>
      <c r="S701" s="6"/>
    </row>
    <row r="702" spans="1:19">
      <c r="A702" s="83"/>
      <c r="B702" s="82"/>
      <c r="C702" s="82"/>
      <c r="D702" s="82"/>
      <c r="E702" s="82"/>
      <c r="F702" s="83"/>
      <c r="G702" s="83"/>
      <c r="H702" s="83"/>
      <c r="I702" s="6"/>
      <c r="J702" s="6"/>
      <c r="K702" s="6"/>
      <c r="L702" s="6"/>
      <c r="M702" s="6"/>
      <c r="N702" s="6"/>
      <c r="O702" s="6"/>
      <c r="P702" s="6"/>
      <c r="Q702" s="6"/>
      <c r="R702" s="6"/>
      <c r="S702" s="6"/>
    </row>
    <row r="703" spans="1:19">
      <c r="A703" s="83"/>
      <c r="B703" s="82"/>
      <c r="C703" s="82"/>
      <c r="D703" s="82"/>
      <c r="E703" s="82"/>
      <c r="F703" s="83"/>
      <c r="G703" s="83"/>
      <c r="H703" s="83"/>
      <c r="I703" s="6"/>
      <c r="J703" s="6"/>
      <c r="K703" s="6"/>
      <c r="L703" s="6"/>
      <c r="M703" s="6"/>
      <c r="N703" s="6"/>
      <c r="O703" s="6"/>
      <c r="P703" s="6"/>
      <c r="Q703" s="6"/>
      <c r="R703" s="6"/>
      <c r="S703" s="6"/>
    </row>
    <row r="704" spans="1:19">
      <c r="A704" s="83"/>
      <c r="B704" s="82"/>
      <c r="C704" s="82"/>
      <c r="D704" s="82"/>
      <c r="E704" s="82"/>
      <c r="F704" s="83"/>
      <c r="G704" s="83"/>
      <c r="H704" s="83"/>
      <c r="I704" s="6"/>
      <c r="J704" s="6"/>
      <c r="K704" s="6"/>
      <c r="L704" s="6"/>
      <c r="M704" s="6"/>
      <c r="N704" s="6"/>
      <c r="O704" s="6"/>
      <c r="P704" s="6"/>
      <c r="Q704" s="6"/>
      <c r="R704" s="6"/>
      <c r="S704" s="6"/>
    </row>
    <row r="705" spans="1:19">
      <c r="A705" s="83"/>
      <c r="B705" s="82"/>
      <c r="C705" s="82"/>
      <c r="D705" s="82"/>
      <c r="E705" s="82"/>
      <c r="F705" s="83"/>
      <c r="G705" s="83"/>
      <c r="H705" s="83"/>
      <c r="I705" s="6"/>
      <c r="J705" s="6"/>
      <c r="K705" s="6"/>
      <c r="L705" s="6"/>
      <c r="M705" s="6"/>
      <c r="N705" s="6"/>
      <c r="O705" s="6"/>
      <c r="P705" s="6"/>
      <c r="Q705" s="6"/>
      <c r="R705" s="6"/>
      <c r="S705" s="6"/>
    </row>
    <row r="706" spans="1:19">
      <c r="A706" s="83"/>
      <c r="B706" s="82"/>
      <c r="C706" s="82"/>
      <c r="D706" s="82"/>
      <c r="E706" s="82"/>
      <c r="F706" s="83"/>
      <c r="G706" s="83"/>
      <c r="H706" s="83"/>
      <c r="I706" s="6"/>
      <c r="J706" s="6"/>
      <c r="K706" s="6"/>
      <c r="L706" s="6"/>
      <c r="M706" s="6"/>
      <c r="N706" s="6"/>
      <c r="O706" s="6"/>
      <c r="P706" s="6"/>
      <c r="Q706" s="6"/>
      <c r="R706" s="6"/>
      <c r="S706" s="6"/>
    </row>
    <row r="707" spans="1:19">
      <c r="A707" s="83"/>
      <c r="B707" s="82"/>
      <c r="C707" s="82"/>
      <c r="D707" s="82"/>
      <c r="E707" s="82"/>
      <c r="F707" s="83"/>
      <c r="G707" s="83"/>
      <c r="H707" s="83"/>
      <c r="I707" s="6"/>
      <c r="J707" s="6"/>
      <c r="K707" s="6"/>
      <c r="L707" s="6"/>
      <c r="M707" s="6"/>
      <c r="N707" s="6"/>
      <c r="O707" s="6"/>
      <c r="P707" s="6"/>
      <c r="Q707" s="6"/>
      <c r="R707" s="6"/>
      <c r="S707" s="6"/>
    </row>
    <row r="708" spans="1:19">
      <c r="A708" s="83"/>
      <c r="B708" s="82"/>
      <c r="C708" s="82"/>
      <c r="D708" s="82"/>
      <c r="E708" s="82"/>
      <c r="F708" s="83"/>
      <c r="G708" s="83"/>
      <c r="H708" s="83"/>
      <c r="I708" s="6"/>
      <c r="J708" s="6"/>
      <c r="K708" s="6"/>
      <c r="L708" s="6"/>
      <c r="M708" s="6"/>
      <c r="N708" s="6"/>
      <c r="O708" s="6"/>
      <c r="P708" s="6"/>
      <c r="Q708" s="6"/>
      <c r="R708" s="6"/>
      <c r="S708" s="6"/>
    </row>
    <row r="709" spans="1:19">
      <c r="A709" s="83"/>
      <c r="B709" s="82"/>
      <c r="C709" s="82"/>
      <c r="D709" s="82"/>
      <c r="E709" s="82"/>
      <c r="F709" s="83"/>
      <c r="G709" s="83"/>
      <c r="H709" s="83"/>
      <c r="I709" s="6"/>
      <c r="J709" s="6"/>
      <c r="K709" s="6"/>
      <c r="L709" s="6"/>
      <c r="M709" s="6"/>
      <c r="N709" s="6"/>
      <c r="O709" s="6"/>
      <c r="P709" s="6"/>
      <c r="Q709" s="6"/>
      <c r="R709" s="6"/>
      <c r="S709" s="6"/>
    </row>
    <row r="710" spans="1:19">
      <c r="A710" s="83"/>
      <c r="B710" s="82"/>
      <c r="C710" s="82"/>
      <c r="D710" s="82"/>
      <c r="E710" s="82"/>
      <c r="F710" s="83"/>
      <c r="G710" s="83"/>
      <c r="H710" s="83"/>
      <c r="I710" s="6"/>
      <c r="J710" s="6"/>
      <c r="K710" s="6"/>
      <c r="L710" s="6"/>
      <c r="M710" s="6"/>
      <c r="N710" s="6"/>
      <c r="O710" s="6"/>
      <c r="P710" s="6"/>
      <c r="Q710" s="6"/>
      <c r="R710" s="6"/>
      <c r="S710" s="6"/>
    </row>
    <row r="711" spans="1:19">
      <c r="A711" s="83"/>
      <c r="B711" s="82"/>
      <c r="C711" s="82"/>
      <c r="D711" s="82"/>
      <c r="E711" s="82"/>
      <c r="F711" s="83"/>
      <c r="G711" s="83"/>
      <c r="H711" s="83"/>
      <c r="I711" s="6"/>
      <c r="J711" s="6"/>
      <c r="K711" s="6"/>
      <c r="L711" s="6"/>
      <c r="M711" s="6"/>
      <c r="N711" s="6"/>
      <c r="O711" s="6"/>
      <c r="P711" s="6"/>
      <c r="Q711" s="6"/>
      <c r="R711" s="6"/>
      <c r="S711" s="6"/>
    </row>
    <row r="712" spans="1:19">
      <c r="A712" s="83"/>
      <c r="B712" s="82"/>
      <c r="C712" s="82"/>
      <c r="D712" s="82"/>
      <c r="E712" s="82"/>
      <c r="F712" s="83"/>
      <c r="G712" s="83"/>
      <c r="H712" s="83"/>
      <c r="I712" s="6"/>
      <c r="J712" s="6"/>
      <c r="K712" s="6"/>
      <c r="L712" s="6"/>
      <c r="M712" s="6"/>
      <c r="N712" s="6"/>
      <c r="O712" s="6"/>
      <c r="P712" s="6"/>
      <c r="Q712" s="6"/>
      <c r="R712" s="6"/>
      <c r="S712" s="6"/>
    </row>
    <row r="713" spans="1:19">
      <c r="A713" s="83"/>
      <c r="B713" s="82"/>
      <c r="C713" s="82"/>
      <c r="D713" s="82"/>
      <c r="E713" s="82"/>
      <c r="F713" s="83"/>
      <c r="G713" s="83"/>
      <c r="H713" s="83"/>
      <c r="I713" s="6"/>
      <c r="J713" s="6"/>
      <c r="K713" s="6"/>
      <c r="L713" s="6"/>
      <c r="M713" s="6"/>
      <c r="N713" s="6"/>
      <c r="O713" s="6"/>
      <c r="P713" s="6"/>
      <c r="Q713" s="6"/>
      <c r="R713" s="6"/>
      <c r="S713" s="6"/>
    </row>
    <row r="714" spans="1:19">
      <c r="A714" s="83"/>
      <c r="B714" s="82"/>
      <c r="C714" s="82"/>
      <c r="D714" s="82"/>
      <c r="E714" s="82"/>
      <c r="F714" s="83"/>
      <c r="G714" s="83"/>
      <c r="H714" s="83"/>
      <c r="I714" s="6"/>
      <c r="J714" s="6"/>
      <c r="K714" s="6"/>
      <c r="L714" s="6"/>
      <c r="M714" s="6"/>
      <c r="N714" s="6"/>
      <c r="O714" s="6"/>
      <c r="P714" s="6"/>
      <c r="Q714" s="6"/>
      <c r="R714" s="6"/>
      <c r="S714" s="6"/>
    </row>
    <row r="715" spans="1:19">
      <c r="A715" s="83"/>
      <c r="B715" s="82"/>
      <c r="C715" s="82"/>
      <c r="D715" s="82"/>
      <c r="E715" s="82"/>
      <c r="F715" s="83"/>
      <c r="G715" s="83"/>
      <c r="H715" s="83"/>
      <c r="I715" s="6"/>
      <c r="J715" s="6"/>
      <c r="K715" s="6"/>
      <c r="L715" s="6"/>
      <c r="M715" s="6"/>
      <c r="N715" s="6"/>
      <c r="O715" s="6"/>
      <c r="P715" s="6"/>
      <c r="Q715" s="6"/>
      <c r="R715" s="6"/>
      <c r="S715" s="6"/>
    </row>
    <row r="716" spans="1:19">
      <c r="A716" s="83"/>
      <c r="B716" s="82"/>
      <c r="C716" s="82"/>
      <c r="D716" s="82"/>
      <c r="E716" s="82"/>
      <c r="F716" s="83"/>
      <c r="G716" s="83"/>
      <c r="H716" s="83"/>
      <c r="I716" s="6"/>
      <c r="J716" s="6"/>
      <c r="K716" s="6"/>
      <c r="L716" s="6"/>
      <c r="M716" s="6"/>
      <c r="N716" s="6"/>
      <c r="O716" s="6"/>
      <c r="P716" s="6"/>
      <c r="Q716" s="6"/>
      <c r="R716" s="6"/>
      <c r="S716" s="6"/>
    </row>
    <row r="717" spans="1:19">
      <c r="A717" s="83"/>
      <c r="B717" s="82"/>
      <c r="C717" s="82"/>
      <c r="D717" s="82"/>
      <c r="E717" s="82"/>
      <c r="F717" s="83"/>
      <c r="G717" s="83"/>
      <c r="H717" s="83"/>
      <c r="I717" s="6"/>
      <c r="J717" s="6"/>
      <c r="K717" s="6"/>
      <c r="L717" s="6"/>
      <c r="M717" s="6"/>
      <c r="N717" s="6"/>
      <c r="O717" s="6"/>
      <c r="P717" s="6"/>
      <c r="Q717" s="6"/>
      <c r="R717" s="6"/>
      <c r="S717" s="6"/>
    </row>
    <row r="718" spans="1:19">
      <c r="A718" s="83"/>
      <c r="B718" s="82"/>
      <c r="C718" s="82"/>
      <c r="D718" s="82"/>
      <c r="E718" s="82"/>
      <c r="F718" s="83"/>
      <c r="G718" s="83"/>
      <c r="H718" s="83"/>
      <c r="I718" s="6"/>
      <c r="J718" s="6"/>
      <c r="K718" s="6"/>
      <c r="L718" s="6"/>
      <c r="M718" s="6"/>
      <c r="N718" s="6"/>
      <c r="O718" s="6"/>
      <c r="P718" s="6"/>
      <c r="Q718" s="6"/>
      <c r="R718" s="6"/>
      <c r="S718" s="6"/>
    </row>
    <row r="719" spans="1:19">
      <c r="A719" s="83"/>
      <c r="B719" s="82"/>
      <c r="C719" s="82"/>
      <c r="D719" s="82"/>
      <c r="E719" s="82"/>
      <c r="F719" s="83"/>
      <c r="G719" s="83"/>
      <c r="H719" s="83"/>
      <c r="I719" s="6"/>
      <c r="J719" s="6"/>
      <c r="K719" s="6"/>
      <c r="L719" s="6"/>
      <c r="M719" s="6"/>
      <c r="N719" s="6"/>
      <c r="O719" s="6"/>
      <c r="P719" s="6"/>
      <c r="Q719" s="6"/>
      <c r="R719" s="6"/>
      <c r="S719" s="6"/>
    </row>
    <row r="720" spans="1:19">
      <c r="A720" s="83"/>
      <c r="B720" s="82"/>
      <c r="C720" s="82"/>
      <c r="D720" s="82"/>
      <c r="E720" s="82"/>
      <c r="F720" s="83"/>
      <c r="G720" s="83"/>
      <c r="H720" s="83"/>
      <c r="I720" s="6"/>
      <c r="J720" s="6"/>
      <c r="K720" s="6"/>
      <c r="L720" s="6"/>
      <c r="M720" s="6"/>
      <c r="N720" s="6"/>
      <c r="O720" s="6"/>
      <c r="P720" s="6"/>
      <c r="Q720" s="6"/>
      <c r="R720" s="6"/>
      <c r="S720" s="6"/>
    </row>
    <row r="721" spans="1:19">
      <c r="A721" s="83"/>
      <c r="B721" s="82"/>
      <c r="C721" s="82"/>
      <c r="D721" s="82"/>
      <c r="E721" s="82"/>
      <c r="F721" s="83"/>
      <c r="G721" s="83"/>
      <c r="H721" s="83"/>
      <c r="I721" s="6"/>
      <c r="J721" s="6"/>
      <c r="K721" s="6"/>
      <c r="L721" s="6"/>
      <c r="M721" s="6"/>
      <c r="N721" s="6"/>
      <c r="O721" s="6"/>
      <c r="P721" s="6"/>
      <c r="Q721" s="6"/>
      <c r="R721" s="6"/>
      <c r="S721" s="6"/>
    </row>
    <row r="722" spans="1:19">
      <c r="A722" s="83"/>
      <c r="B722" s="82"/>
      <c r="C722" s="82"/>
      <c r="D722" s="82"/>
      <c r="E722" s="82"/>
      <c r="F722" s="83"/>
      <c r="G722" s="83"/>
      <c r="H722" s="83"/>
      <c r="I722" s="6"/>
      <c r="J722" s="6"/>
      <c r="K722" s="6"/>
      <c r="L722" s="6"/>
      <c r="M722" s="6"/>
      <c r="N722" s="6"/>
      <c r="O722" s="6"/>
      <c r="P722" s="6"/>
      <c r="Q722" s="6"/>
      <c r="R722" s="6"/>
      <c r="S722" s="6"/>
    </row>
    <row r="723" spans="1:19">
      <c r="A723" s="83"/>
      <c r="B723" s="82"/>
      <c r="C723" s="82"/>
      <c r="D723" s="82"/>
      <c r="E723" s="82"/>
      <c r="F723" s="83"/>
      <c r="G723" s="83"/>
      <c r="H723" s="83"/>
      <c r="I723" s="6"/>
      <c r="J723" s="6"/>
      <c r="K723" s="6"/>
      <c r="L723" s="6"/>
      <c r="M723" s="6"/>
      <c r="N723" s="6"/>
      <c r="O723" s="6"/>
      <c r="P723" s="6"/>
      <c r="Q723" s="6"/>
      <c r="R723" s="6"/>
      <c r="S723" s="6"/>
    </row>
    <row r="724" spans="1:19">
      <c r="A724" s="83"/>
      <c r="B724" s="82"/>
      <c r="C724" s="82"/>
      <c r="D724" s="82"/>
      <c r="E724" s="82"/>
      <c r="F724" s="83"/>
      <c r="G724" s="83"/>
      <c r="H724" s="83"/>
      <c r="I724" s="6"/>
      <c r="J724" s="6"/>
      <c r="K724" s="6"/>
      <c r="L724" s="6"/>
      <c r="M724" s="6"/>
      <c r="N724" s="6"/>
      <c r="O724" s="6"/>
      <c r="P724" s="6"/>
      <c r="Q724" s="6"/>
      <c r="R724" s="6"/>
      <c r="S724" s="6"/>
    </row>
    <row r="725" spans="1:19">
      <c r="A725" s="83"/>
      <c r="B725" s="82"/>
      <c r="C725" s="82"/>
      <c r="D725" s="82"/>
      <c r="E725" s="82"/>
      <c r="F725" s="83"/>
      <c r="G725" s="83"/>
      <c r="H725" s="83"/>
      <c r="I725" s="6"/>
      <c r="J725" s="6"/>
      <c r="K725" s="6"/>
      <c r="L725" s="6"/>
      <c r="M725" s="6"/>
      <c r="N725" s="6"/>
      <c r="O725" s="6"/>
      <c r="P725" s="6"/>
      <c r="Q725" s="6"/>
      <c r="R725" s="6"/>
      <c r="S725" s="6"/>
    </row>
    <row r="726" spans="1:19">
      <c r="A726" s="83"/>
      <c r="B726" s="82"/>
      <c r="C726" s="82"/>
      <c r="D726" s="82"/>
      <c r="E726" s="82"/>
      <c r="F726" s="83"/>
      <c r="G726" s="83"/>
      <c r="H726" s="83"/>
      <c r="I726" s="6"/>
      <c r="J726" s="6"/>
      <c r="K726" s="6"/>
      <c r="L726" s="6"/>
      <c r="M726" s="6"/>
      <c r="N726" s="6"/>
      <c r="O726" s="6"/>
      <c r="P726" s="6"/>
      <c r="Q726" s="6"/>
      <c r="R726" s="6"/>
      <c r="S726" s="6"/>
    </row>
    <row r="727" spans="1:19">
      <c r="A727" s="83"/>
      <c r="B727" s="82"/>
      <c r="C727" s="82"/>
      <c r="D727" s="82"/>
      <c r="E727" s="82"/>
      <c r="F727" s="83"/>
      <c r="G727" s="83"/>
      <c r="H727" s="83"/>
      <c r="I727" s="6"/>
      <c r="J727" s="6"/>
      <c r="K727" s="6"/>
      <c r="L727" s="6"/>
      <c r="M727" s="6"/>
      <c r="N727" s="6"/>
      <c r="O727" s="6"/>
      <c r="P727" s="6"/>
      <c r="Q727" s="6"/>
      <c r="R727" s="6"/>
      <c r="S727" s="6"/>
    </row>
    <row r="728" spans="1:19">
      <c r="A728" s="83"/>
      <c r="B728" s="82"/>
      <c r="C728" s="82"/>
      <c r="D728" s="82"/>
      <c r="E728" s="82"/>
      <c r="F728" s="83"/>
      <c r="G728" s="83"/>
      <c r="H728" s="83"/>
      <c r="I728" s="6"/>
      <c r="J728" s="6"/>
      <c r="K728" s="6"/>
      <c r="L728" s="6"/>
      <c r="M728" s="6"/>
      <c r="N728" s="6"/>
      <c r="O728" s="6"/>
      <c r="P728" s="6"/>
      <c r="Q728" s="6"/>
      <c r="R728" s="6"/>
      <c r="S728" s="6"/>
    </row>
    <row r="729" spans="1:19">
      <c r="A729" s="83"/>
      <c r="B729" s="82"/>
      <c r="C729" s="82"/>
      <c r="D729" s="82"/>
      <c r="E729" s="82"/>
      <c r="F729" s="83"/>
      <c r="G729" s="83"/>
      <c r="H729" s="83"/>
      <c r="I729" s="6"/>
      <c r="J729" s="6"/>
      <c r="K729" s="6"/>
      <c r="L729" s="6"/>
      <c r="M729" s="6"/>
      <c r="N729" s="6"/>
      <c r="O729" s="6"/>
      <c r="P729" s="6"/>
      <c r="Q729" s="6"/>
      <c r="R729" s="6"/>
      <c r="S729" s="6"/>
    </row>
    <row r="730" spans="1:19">
      <c r="A730" s="83"/>
      <c r="B730" s="82"/>
      <c r="C730" s="82"/>
      <c r="D730" s="82"/>
      <c r="E730" s="82"/>
      <c r="F730" s="83"/>
      <c r="G730" s="83"/>
      <c r="H730" s="83"/>
      <c r="I730" s="6"/>
      <c r="J730" s="6"/>
      <c r="K730" s="6"/>
      <c r="L730" s="6"/>
      <c r="M730" s="6"/>
      <c r="N730" s="6"/>
      <c r="O730" s="6"/>
      <c r="P730" s="6"/>
      <c r="Q730" s="6"/>
      <c r="R730" s="6"/>
      <c r="S730" s="6"/>
    </row>
    <row r="731" spans="1:19">
      <c r="A731" s="83"/>
      <c r="B731" s="82"/>
      <c r="C731" s="82"/>
      <c r="D731" s="82"/>
      <c r="E731" s="82"/>
      <c r="F731" s="83"/>
      <c r="G731" s="83"/>
      <c r="H731" s="83"/>
      <c r="I731" s="6"/>
      <c r="J731" s="6"/>
      <c r="K731" s="6"/>
      <c r="L731" s="6"/>
      <c r="M731" s="6"/>
      <c r="N731" s="6"/>
      <c r="O731" s="6"/>
      <c r="P731" s="6"/>
      <c r="Q731" s="6"/>
      <c r="R731" s="6"/>
      <c r="S731" s="6"/>
    </row>
    <row r="732" spans="1:19">
      <c r="A732" s="83"/>
      <c r="B732" s="82"/>
      <c r="C732" s="82"/>
      <c r="D732" s="82"/>
      <c r="E732" s="82"/>
      <c r="F732" s="83"/>
      <c r="G732" s="83"/>
      <c r="H732" s="83"/>
      <c r="I732" s="6"/>
      <c r="J732" s="6"/>
      <c r="K732" s="6"/>
      <c r="L732" s="6"/>
      <c r="M732" s="6"/>
      <c r="N732" s="6"/>
      <c r="O732" s="6"/>
      <c r="P732" s="6"/>
      <c r="Q732" s="6"/>
      <c r="R732" s="6"/>
      <c r="S732" s="6"/>
    </row>
    <row r="733" spans="1:19">
      <c r="A733" s="83"/>
      <c r="B733" s="82"/>
      <c r="C733" s="82"/>
      <c r="D733" s="82"/>
      <c r="E733" s="82"/>
      <c r="F733" s="83"/>
      <c r="G733" s="83"/>
      <c r="H733" s="83"/>
      <c r="I733" s="6"/>
      <c r="J733" s="6"/>
      <c r="K733" s="6"/>
      <c r="L733" s="6"/>
      <c r="M733" s="6"/>
      <c r="N733" s="6"/>
      <c r="O733" s="6"/>
      <c r="P733" s="6"/>
      <c r="Q733" s="6"/>
      <c r="R733" s="6"/>
      <c r="S733" s="6"/>
    </row>
    <row r="734" spans="1:19">
      <c r="A734" s="83"/>
      <c r="B734" s="82"/>
      <c r="C734" s="82"/>
      <c r="D734" s="82"/>
      <c r="E734" s="82"/>
      <c r="F734" s="83"/>
      <c r="G734" s="83"/>
      <c r="H734" s="83"/>
      <c r="I734" s="6"/>
      <c r="J734" s="6"/>
      <c r="K734" s="6"/>
      <c r="L734" s="6"/>
      <c r="M734" s="6"/>
      <c r="N734" s="6"/>
      <c r="O734" s="6"/>
      <c r="P734" s="6"/>
      <c r="Q734" s="6"/>
      <c r="R734" s="6"/>
      <c r="S734" s="6"/>
    </row>
    <row r="735" spans="1:19">
      <c r="A735" s="83"/>
      <c r="B735" s="82"/>
      <c r="C735" s="82"/>
      <c r="D735" s="82"/>
      <c r="E735" s="82"/>
      <c r="F735" s="83"/>
      <c r="G735" s="83"/>
      <c r="H735" s="83"/>
      <c r="I735" s="6"/>
      <c r="J735" s="6"/>
      <c r="K735" s="6"/>
      <c r="L735" s="6"/>
      <c r="M735" s="6"/>
      <c r="N735" s="6"/>
      <c r="O735" s="6"/>
      <c r="P735" s="6"/>
      <c r="Q735" s="6"/>
      <c r="R735" s="6"/>
      <c r="S735" s="6"/>
    </row>
    <row r="736" spans="1:19">
      <c r="A736" s="83"/>
      <c r="B736" s="82"/>
      <c r="C736" s="82"/>
      <c r="D736" s="82"/>
      <c r="E736" s="82"/>
      <c r="F736" s="83"/>
      <c r="G736" s="83"/>
      <c r="H736" s="83"/>
      <c r="I736" s="6"/>
      <c r="J736" s="6"/>
      <c r="K736" s="6"/>
      <c r="L736" s="6"/>
      <c r="M736" s="6"/>
      <c r="N736" s="6"/>
      <c r="O736" s="6"/>
      <c r="P736" s="6"/>
      <c r="Q736" s="6"/>
      <c r="R736" s="6"/>
      <c r="S736" s="6"/>
    </row>
    <row r="737" spans="1:19">
      <c r="A737" s="83"/>
      <c r="B737" s="82"/>
      <c r="C737" s="82"/>
      <c r="D737" s="82"/>
      <c r="E737" s="82"/>
      <c r="F737" s="83"/>
      <c r="G737" s="83"/>
      <c r="H737" s="83"/>
      <c r="I737" s="6"/>
      <c r="J737" s="6"/>
      <c r="K737" s="6"/>
      <c r="L737" s="6"/>
      <c r="M737" s="6"/>
      <c r="N737" s="6"/>
      <c r="O737" s="6"/>
      <c r="P737" s="6"/>
      <c r="Q737" s="6"/>
      <c r="R737" s="6"/>
      <c r="S737" s="6"/>
    </row>
    <row r="738" spans="1:19">
      <c r="A738" s="83"/>
      <c r="B738" s="82"/>
      <c r="C738" s="82"/>
      <c r="D738" s="82"/>
      <c r="E738" s="82"/>
      <c r="F738" s="83"/>
      <c r="G738" s="83"/>
      <c r="H738" s="83"/>
      <c r="I738" s="6"/>
      <c r="J738" s="6"/>
      <c r="K738" s="6"/>
      <c r="L738" s="6"/>
      <c r="M738" s="6"/>
      <c r="N738" s="6"/>
      <c r="O738" s="6"/>
      <c r="P738" s="6"/>
      <c r="Q738" s="6"/>
      <c r="R738" s="6"/>
      <c r="S738" s="6"/>
    </row>
    <row r="739" spans="1:19">
      <c r="A739" s="83"/>
      <c r="B739" s="82"/>
      <c r="C739" s="82"/>
      <c r="D739" s="82"/>
      <c r="E739" s="82"/>
      <c r="F739" s="83"/>
      <c r="G739" s="83"/>
      <c r="H739" s="83"/>
      <c r="I739" s="6"/>
      <c r="J739" s="6"/>
      <c r="K739" s="6"/>
      <c r="L739" s="6"/>
      <c r="M739" s="6"/>
      <c r="N739" s="6"/>
      <c r="O739" s="6"/>
      <c r="P739" s="6"/>
      <c r="Q739" s="6"/>
      <c r="R739" s="6"/>
      <c r="S739" s="6"/>
    </row>
    <row r="740" spans="1:19">
      <c r="A740" s="83"/>
      <c r="B740" s="82"/>
      <c r="C740" s="82"/>
      <c r="D740" s="82"/>
      <c r="E740" s="82"/>
      <c r="F740" s="83"/>
      <c r="G740" s="83"/>
      <c r="H740" s="83"/>
      <c r="I740" s="6"/>
      <c r="J740" s="6"/>
      <c r="K740" s="6"/>
      <c r="L740" s="6"/>
      <c r="M740" s="6"/>
      <c r="N740" s="6"/>
      <c r="O740" s="6"/>
      <c r="P740" s="6"/>
      <c r="Q740" s="6"/>
      <c r="R740" s="6"/>
      <c r="S740" s="6"/>
    </row>
    <row r="741" spans="1:19">
      <c r="A741" s="83"/>
      <c r="B741" s="82"/>
      <c r="C741" s="82"/>
      <c r="D741" s="82"/>
      <c r="E741" s="82"/>
      <c r="F741" s="83"/>
      <c r="G741" s="83"/>
      <c r="H741" s="83"/>
      <c r="I741" s="6"/>
      <c r="J741" s="6"/>
      <c r="K741" s="6"/>
      <c r="L741" s="6"/>
      <c r="M741" s="6"/>
      <c r="N741" s="6"/>
      <c r="O741" s="6"/>
      <c r="P741" s="6"/>
      <c r="Q741" s="6"/>
      <c r="R741" s="6"/>
      <c r="S741" s="6"/>
    </row>
    <row r="742" spans="1:19">
      <c r="A742" s="83"/>
      <c r="B742" s="82"/>
      <c r="C742" s="82"/>
      <c r="D742" s="82"/>
      <c r="E742" s="82"/>
      <c r="F742" s="83"/>
      <c r="G742" s="83"/>
      <c r="H742" s="83"/>
      <c r="I742" s="6"/>
      <c r="J742" s="6"/>
      <c r="K742" s="6"/>
      <c r="L742" s="6"/>
      <c r="M742" s="6"/>
      <c r="N742" s="6"/>
      <c r="O742" s="6"/>
      <c r="P742" s="6"/>
      <c r="Q742" s="6"/>
      <c r="R742" s="6"/>
      <c r="S742" s="6"/>
    </row>
    <row r="743" spans="1:19">
      <c r="A743" s="83"/>
      <c r="B743" s="82"/>
      <c r="C743" s="82"/>
      <c r="D743" s="82"/>
      <c r="E743" s="82"/>
      <c r="F743" s="83"/>
      <c r="G743" s="83"/>
      <c r="H743" s="83"/>
      <c r="I743" s="6"/>
      <c r="J743" s="6"/>
      <c r="K743" s="6"/>
      <c r="L743" s="6"/>
      <c r="M743" s="6"/>
      <c r="N743" s="6"/>
      <c r="O743" s="6"/>
      <c r="P743" s="6"/>
      <c r="Q743" s="6"/>
      <c r="R743" s="6"/>
      <c r="S743" s="6"/>
    </row>
    <row r="744" spans="1:19">
      <c r="A744" s="83"/>
      <c r="B744" s="82"/>
      <c r="C744" s="82"/>
      <c r="D744" s="82"/>
      <c r="E744" s="82"/>
      <c r="F744" s="83"/>
      <c r="G744" s="83"/>
      <c r="H744" s="83"/>
      <c r="I744" s="6"/>
      <c r="J744" s="6"/>
      <c r="K744" s="6"/>
      <c r="L744" s="6"/>
      <c r="M744" s="6"/>
      <c r="N744" s="6"/>
      <c r="O744" s="6"/>
      <c r="P744" s="6"/>
      <c r="Q744" s="6"/>
      <c r="R744" s="6"/>
      <c r="S744" s="6"/>
    </row>
    <row r="745" spans="1:19">
      <c r="A745" s="83"/>
      <c r="B745" s="82"/>
      <c r="C745" s="82"/>
      <c r="D745" s="82"/>
      <c r="E745" s="82"/>
      <c r="F745" s="83"/>
      <c r="G745" s="83"/>
      <c r="H745" s="83"/>
      <c r="I745" s="6"/>
      <c r="J745" s="6"/>
      <c r="K745" s="6"/>
      <c r="L745" s="6"/>
      <c r="M745" s="6"/>
      <c r="N745" s="6"/>
      <c r="O745" s="6"/>
      <c r="P745" s="6"/>
      <c r="Q745" s="6"/>
      <c r="R745" s="6"/>
      <c r="S745" s="6"/>
    </row>
    <row r="746" spans="1:19">
      <c r="A746" s="83"/>
      <c r="B746" s="82"/>
      <c r="C746" s="82"/>
      <c r="D746" s="82"/>
      <c r="E746" s="82"/>
      <c r="F746" s="83"/>
      <c r="G746" s="83"/>
      <c r="H746" s="83"/>
      <c r="I746" s="6"/>
      <c r="J746" s="6"/>
      <c r="K746" s="6"/>
      <c r="L746" s="6"/>
      <c r="M746" s="6"/>
      <c r="N746" s="6"/>
      <c r="O746" s="6"/>
      <c r="P746" s="6"/>
      <c r="Q746" s="6"/>
      <c r="R746" s="6"/>
      <c r="S746" s="6"/>
    </row>
    <row r="747" spans="1:19">
      <c r="A747" s="83"/>
      <c r="B747" s="82"/>
      <c r="C747" s="82"/>
      <c r="D747" s="82"/>
      <c r="E747" s="82"/>
      <c r="F747" s="83"/>
      <c r="G747" s="83"/>
      <c r="H747" s="83"/>
      <c r="I747" s="6"/>
      <c r="J747" s="6"/>
      <c r="K747" s="6"/>
      <c r="L747" s="6"/>
      <c r="M747" s="6"/>
      <c r="N747" s="6"/>
      <c r="O747" s="6"/>
      <c r="P747" s="6"/>
      <c r="Q747" s="6"/>
      <c r="R747" s="6"/>
      <c r="S747" s="6"/>
    </row>
    <row r="748" spans="1:19">
      <c r="A748" s="83"/>
      <c r="B748" s="82"/>
      <c r="C748" s="82"/>
      <c r="D748" s="82"/>
      <c r="E748" s="82"/>
      <c r="F748" s="83"/>
      <c r="G748" s="83"/>
      <c r="H748" s="83"/>
      <c r="I748" s="6"/>
      <c r="J748" s="6"/>
      <c r="K748" s="6"/>
      <c r="L748" s="6"/>
      <c r="M748" s="6"/>
      <c r="N748" s="6"/>
      <c r="O748" s="6"/>
      <c r="P748" s="6"/>
      <c r="Q748" s="6"/>
      <c r="R748" s="6"/>
      <c r="S748" s="6"/>
    </row>
    <row r="749" spans="1:19">
      <c r="A749" s="83"/>
      <c r="B749" s="82"/>
      <c r="C749" s="82"/>
      <c r="D749" s="82"/>
      <c r="E749" s="82"/>
      <c r="F749" s="83"/>
      <c r="G749" s="83"/>
      <c r="H749" s="83"/>
      <c r="I749" s="6"/>
      <c r="J749" s="6"/>
      <c r="K749" s="6"/>
      <c r="L749" s="6"/>
      <c r="M749" s="6"/>
      <c r="N749" s="6"/>
      <c r="O749" s="6"/>
      <c r="P749" s="6"/>
      <c r="Q749" s="6"/>
      <c r="R749" s="6"/>
      <c r="S749" s="6"/>
    </row>
    <row r="750" spans="1:19">
      <c r="A750" s="83"/>
      <c r="B750" s="82"/>
      <c r="C750" s="82"/>
      <c r="D750" s="82"/>
      <c r="E750" s="82"/>
      <c r="F750" s="83"/>
      <c r="G750" s="83"/>
      <c r="H750" s="83"/>
      <c r="I750" s="6"/>
      <c r="J750" s="6"/>
      <c r="K750" s="6"/>
      <c r="L750" s="6"/>
      <c r="M750" s="6"/>
      <c r="N750" s="6"/>
      <c r="O750" s="6"/>
      <c r="P750" s="6"/>
      <c r="Q750" s="6"/>
      <c r="R750" s="6"/>
      <c r="S750" s="6"/>
    </row>
    <row r="751" spans="1:19">
      <c r="A751" s="83"/>
      <c r="B751" s="82"/>
      <c r="C751" s="82"/>
      <c r="D751" s="82"/>
      <c r="E751" s="82"/>
      <c r="F751" s="83"/>
      <c r="G751" s="83"/>
      <c r="H751" s="83"/>
      <c r="I751" s="6"/>
      <c r="J751" s="6"/>
      <c r="K751" s="6"/>
      <c r="L751" s="6"/>
      <c r="M751" s="6"/>
      <c r="N751" s="6"/>
      <c r="O751" s="6"/>
      <c r="P751" s="6"/>
      <c r="Q751" s="6"/>
      <c r="R751" s="6"/>
      <c r="S751" s="6"/>
    </row>
    <row r="752" spans="1:19">
      <c r="A752" s="83"/>
      <c r="B752" s="82"/>
      <c r="C752" s="82"/>
      <c r="D752" s="82"/>
      <c r="E752" s="82"/>
      <c r="F752" s="83"/>
      <c r="G752" s="83"/>
      <c r="H752" s="83"/>
      <c r="I752" s="6"/>
      <c r="J752" s="6"/>
      <c r="K752" s="6"/>
      <c r="L752" s="6"/>
      <c r="M752" s="6"/>
      <c r="N752" s="6"/>
      <c r="O752" s="6"/>
      <c r="P752" s="6"/>
      <c r="Q752" s="6"/>
      <c r="R752" s="6"/>
      <c r="S752" s="6"/>
    </row>
    <row r="753" spans="1:19">
      <c r="A753" s="83"/>
      <c r="B753" s="82"/>
      <c r="C753" s="82"/>
      <c r="D753" s="82"/>
      <c r="E753" s="82"/>
      <c r="F753" s="83"/>
      <c r="G753" s="83"/>
      <c r="H753" s="83"/>
      <c r="I753" s="6"/>
      <c r="J753" s="6"/>
      <c r="K753" s="6"/>
      <c r="L753" s="6"/>
      <c r="M753" s="6"/>
      <c r="N753" s="6"/>
      <c r="O753" s="6"/>
      <c r="P753" s="6"/>
      <c r="Q753" s="6"/>
      <c r="R753" s="6"/>
      <c r="S753" s="6"/>
    </row>
    <row r="754" spans="1:19">
      <c r="A754" s="83"/>
      <c r="B754" s="82"/>
      <c r="C754" s="82"/>
      <c r="D754" s="82"/>
      <c r="E754" s="82"/>
      <c r="F754" s="83"/>
      <c r="G754" s="83"/>
      <c r="H754" s="83"/>
      <c r="I754" s="6"/>
      <c r="J754" s="6"/>
      <c r="K754" s="6"/>
      <c r="L754" s="6"/>
      <c r="M754" s="6"/>
      <c r="N754" s="6"/>
      <c r="O754" s="6"/>
      <c r="P754" s="6"/>
      <c r="Q754" s="6"/>
      <c r="R754" s="6"/>
      <c r="S754" s="6"/>
    </row>
    <row r="755" spans="1:19">
      <c r="A755" s="83"/>
      <c r="B755" s="82"/>
      <c r="C755" s="82"/>
      <c r="D755" s="82"/>
      <c r="E755" s="82"/>
      <c r="F755" s="83"/>
      <c r="G755" s="83"/>
      <c r="H755" s="83"/>
      <c r="I755" s="6"/>
      <c r="J755" s="6"/>
      <c r="K755" s="6"/>
      <c r="L755" s="6"/>
      <c r="M755" s="6"/>
      <c r="N755" s="6"/>
      <c r="O755" s="6"/>
      <c r="P755" s="6"/>
      <c r="Q755" s="6"/>
      <c r="R755" s="6"/>
      <c r="S755" s="6"/>
    </row>
    <row r="756" spans="1:19">
      <c r="A756" s="83"/>
      <c r="B756" s="82"/>
      <c r="C756" s="82"/>
      <c r="D756" s="82"/>
      <c r="E756" s="82"/>
      <c r="F756" s="83"/>
      <c r="G756" s="83"/>
      <c r="H756" s="83"/>
      <c r="I756" s="6"/>
      <c r="J756" s="6"/>
      <c r="K756" s="6"/>
      <c r="L756" s="6"/>
      <c r="M756" s="6"/>
      <c r="N756" s="6"/>
      <c r="O756" s="6"/>
      <c r="P756" s="6"/>
      <c r="Q756" s="6"/>
      <c r="R756" s="6"/>
      <c r="S756" s="6"/>
    </row>
    <row r="757" spans="1:19">
      <c r="A757" s="83"/>
      <c r="B757" s="82"/>
      <c r="C757" s="82"/>
      <c r="D757" s="82"/>
      <c r="E757" s="82"/>
      <c r="F757" s="83"/>
      <c r="G757" s="83"/>
      <c r="H757" s="83"/>
      <c r="I757" s="6"/>
      <c r="J757" s="6"/>
      <c r="K757" s="6"/>
      <c r="L757" s="6"/>
      <c r="M757" s="6"/>
      <c r="N757" s="6"/>
      <c r="O757" s="6"/>
      <c r="P757" s="6"/>
      <c r="Q757" s="6"/>
      <c r="R757" s="6"/>
      <c r="S757" s="6"/>
    </row>
    <row r="758" spans="1:19">
      <c r="A758" s="83"/>
      <c r="B758" s="82"/>
      <c r="C758" s="82"/>
      <c r="D758" s="82"/>
      <c r="E758" s="82"/>
      <c r="F758" s="83"/>
      <c r="G758" s="83"/>
      <c r="H758" s="83"/>
      <c r="I758" s="6"/>
      <c r="J758" s="6"/>
      <c r="K758" s="6"/>
      <c r="L758" s="6"/>
      <c r="M758" s="6"/>
      <c r="N758" s="6"/>
      <c r="O758" s="6"/>
      <c r="P758" s="6"/>
      <c r="Q758" s="6"/>
      <c r="R758" s="6"/>
      <c r="S758" s="6"/>
    </row>
    <row r="759" spans="1:19">
      <c r="A759" s="83"/>
      <c r="B759" s="82"/>
      <c r="C759" s="82"/>
      <c r="D759" s="82"/>
      <c r="E759" s="82"/>
      <c r="F759" s="83"/>
      <c r="G759" s="83"/>
      <c r="H759" s="83"/>
      <c r="I759" s="6"/>
      <c r="J759" s="6"/>
      <c r="K759" s="6"/>
      <c r="L759" s="6"/>
      <c r="M759" s="6"/>
      <c r="N759" s="6"/>
      <c r="O759" s="6"/>
      <c r="P759" s="6"/>
      <c r="Q759" s="6"/>
      <c r="R759" s="6"/>
      <c r="S759" s="6"/>
    </row>
    <row r="760" spans="1:19">
      <c r="A760" s="83"/>
      <c r="B760" s="82"/>
      <c r="C760" s="82"/>
      <c r="D760" s="82"/>
      <c r="E760" s="82"/>
      <c r="F760" s="83"/>
      <c r="G760" s="83"/>
      <c r="H760" s="83"/>
      <c r="I760" s="6"/>
      <c r="J760" s="6"/>
      <c r="K760" s="6"/>
      <c r="L760" s="6"/>
      <c r="M760" s="6"/>
      <c r="N760" s="6"/>
      <c r="O760" s="6"/>
      <c r="P760" s="6"/>
      <c r="Q760" s="6"/>
      <c r="R760" s="6"/>
      <c r="S760" s="6"/>
    </row>
    <row r="761" spans="1:19">
      <c r="A761" s="83"/>
      <c r="B761" s="82"/>
      <c r="C761" s="82"/>
      <c r="D761" s="82"/>
      <c r="E761" s="82"/>
      <c r="F761" s="83"/>
      <c r="G761" s="83"/>
      <c r="H761" s="83"/>
      <c r="I761" s="6"/>
      <c r="J761" s="6"/>
      <c r="K761" s="6"/>
      <c r="L761" s="6"/>
      <c r="M761" s="6"/>
      <c r="N761" s="6"/>
      <c r="O761" s="6"/>
      <c r="P761" s="6"/>
      <c r="Q761" s="6"/>
      <c r="R761" s="6"/>
      <c r="S761" s="6"/>
    </row>
    <row r="762" spans="1:19">
      <c r="A762" s="83"/>
      <c r="B762" s="82"/>
      <c r="C762" s="82"/>
      <c r="D762" s="82"/>
      <c r="E762" s="82"/>
      <c r="F762" s="83"/>
      <c r="G762" s="83"/>
      <c r="H762" s="83"/>
      <c r="I762" s="6"/>
      <c r="J762" s="6"/>
      <c r="K762" s="6"/>
      <c r="L762" s="6"/>
      <c r="M762" s="6"/>
      <c r="N762" s="6"/>
      <c r="O762" s="6"/>
      <c r="P762" s="6"/>
      <c r="Q762" s="6"/>
      <c r="R762" s="6"/>
      <c r="S762" s="6"/>
    </row>
    <row r="763" spans="1:19">
      <c r="A763" s="83"/>
      <c r="B763" s="82"/>
      <c r="C763" s="82"/>
      <c r="D763" s="82"/>
      <c r="E763" s="82"/>
      <c r="F763" s="83"/>
      <c r="G763" s="83"/>
      <c r="H763" s="83"/>
      <c r="I763" s="6"/>
      <c r="J763" s="6"/>
      <c r="K763" s="6"/>
      <c r="L763" s="6"/>
      <c r="M763" s="6"/>
      <c r="N763" s="6"/>
      <c r="O763" s="6"/>
      <c r="P763" s="6"/>
      <c r="Q763" s="6"/>
      <c r="R763" s="6"/>
      <c r="S763" s="6"/>
    </row>
    <row r="764" spans="1:19">
      <c r="A764" s="83"/>
      <c r="B764" s="82"/>
      <c r="C764" s="82"/>
      <c r="D764" s="82"/>
      <c r="E764" s="82"/>
      <c r="F764" s="83"/>
      <c r="G764" s="83"/>
      <c r="H764" s="83"/>
      <c r="I764" s="6"/>
      <c r="J764" s="6"/>
      <c r="K764" s="6"/>
      <c r="L764" s="6"/>
      <c r="M764" s="6"/>
      <c r="N764" s="6"/>
      <c r="O764" s="6"/>
      <c r="P764" s="6"/>
      <c r="Q764" s="6"/>
      <c r="R764" s="6"/>
      <c r="S764" s="6"/>
    </row>
    <row r="765" spans="1:19">
      <c r="A765" s="83"/>
      <c r="B765" s="82"/>
      <c r="C765" s="82"/>
      <c r="D765" s="82"/>
      <c r="E765" s="82"/>
      <c r="F765" s="83"/>
      <c r="G765" s="83"/>
      <c r="H765" s="83"/>
      <c r="I765" s="6"/>
      <c r="J765" s="6"/>
      <c r="K765" s="6"/>
      <c r="L765" s="6"/>
      <c r="M765" s="6"/>
      <c r="N765" s="6"/>
      <c r="O765" s="6"/>
      <c r="P765" s="6"/>
      <c r="Q765" s="6"/>
      <c r="R765" s="6"/>
      <c r="S765" s="6"/>
    </row>
    <row r="766" spans="1:19">
      <c r="A766" s="83"/>
      <c r="B766" s="82"/>
      <c r="C766" s="82"/>
      <c r="D766" s="82"/>
      <c r="E766" s="82"/>
      <c r="F766" s="83"/>
      <c r="G766" s="83"/>
      <c r="H766" s="83"/>
      <c r="I766" s="6"/>
      <c r="J766" s="6"/>
      <c r="K766" s="6"/>
      <c r="L766" s="6"/>
      <c r="M766" s="6"/>
      <c r="N766" s="6"/>
      <c r="O766" s="6"/>
      <c r="P766" s="6"/>
      <c r="Q766" s="6"/>
      <c r="R766" s="6"/>
      <c r="S766" s="6"/>
    </row>
    <row r="767" spans="1:19">
      <c r="A767" s="83"/>
      <c r="B767" s="82"/>
      <c r="C767" s="82"/>
      <c r="D767" s="82"/>
      <c r="E767" s="82"/>
      <c r="F767" s="83"/>
      <c r="G767" s="83"/>
      <c r="H767" s="83"/>
      <c r="I767" s="6"/>
      <c r="J767" s="6"/>
      <c r="K767" s="6"/>
      <c r="L767" s="6"/>
      <c r="M767" s="6"/>
      <c r="N767" s="6"/>
      <c r="O767" s="6"/>
      <c r="P767" s="6"/>
      <c r="Q767" s="6"/>
      <c r="R767" s="6"/>
      <c r="S767" s="6"/>
    </row>
    <row r="768" spans="1:19">
      <c r="A768" s="83"/>
      <c r="B768" s="82"/>
      <c r="C768" s="82"/>
      <c r="D768" s="82"/>
      <c r="E768" s="82"/>
      <c r="F768" s="83"/>
      <c r="G768" s="83"/>
      <c r="H768" s="83"/>
      <c r="I768" s="6"/>
      <c r="J768" s="6"/>
      <c r="K768" s="6"/>
      <c r="L768" s="6"/>
      <c r="M768" s="6"/>
      <c r="N768" s="6"/>
      <c r="O768" s="6"/>
      <c r="P768" s="6"/>
      <c r="Q768" s="6"/>
      <c r="R768" s="6"/>
      <c r="S768" s="6"/>
    </row>
    <row r="769" spans="1:19">
      <c r="A769" s="83"/>
      <c r="B769" s="82"/>
      <c r="C769" s="82"/>
      <c r="D769" s="82"/>
      <c r="E769" s="82"/>
      <c r="F769" s="83"/>
      <c r="G769" s="83"/>
      <c r="H769" s="83"/>
      <c r="I769" s="6"/>
      <c r="J769" s="6"/>
      <c r="K769" s="6"/>
      <c r="L769" s="6"/>
      <c r="M769" s="6"/>
      <c r="N769" s="6"/>
      <c r="O769" s="6"/>
      <c r="P769" s="6"/>
      <c r="Q769" s="6"/>
      <c r="R769" s="6"/>
      <c r="S769" s="6"/>
    </row>
    <row r="770" spans="1:19">
      <c r="A770" s="83"/>
      <c r="B770" s="82"/>
      <c r="C770" s="82"/>
      <c r="D770" s="82"/>
      <c r="E770" s="82"/>
      <c r="F770" s="83"/>
      <c r="G770" s="83"/>
      <c r="H770" s="83"/>
      <c r="I770" s="6"/>
      <c r="J770" s="6"/>
      <c r="K770" s="6"/>
      <c r="L770" s="6"/>
      <c r="M770" s="6"/>
      <c r="N770" s="6"/>
      <c r="O770" s="6"/>
      <c r="P770" s="6"/>
      <c r="Q770" s="6"/>
      <c r="R770" s="6"/>
      <c r="S770" s="6"/>
    </row>
    <row r="771" spans="1:19">
      <c r="A771" s="83"/>
      <c r="B771" s="82"/>
      <c r="C771" s="82"/>
      <c r="D771" s="82"/>
      <c r="E771" s="82"/>
      <c r="F771" s="83"/>
      <c r="G771" s="83"/>
      <c r="H771" s="83"/>
      <c r="I771" s="6"/>
      <c r="J771" s="6"/>
      <c r="K771" s="6"/>
      <c r="L771" s="6"/>
      <c r="M771" s="6"/>
      <c r="N771" s="6"/>
      <c r="O771" s="6"/>
      <c r="P771" s="6"/>
      <c r="Q771" s="6"/>
      <c r="R771" s="6"/>
      <c r="S771" s="6"/>
    </row>
    <row r="772" spans="1:19">
      <c r="A772" s="83"/>
      <c r="B772" s="82"/>
      <c r="C772" s="82"/>
      <c r="D772" s="82"/>
      <c r="E772" s="82"/>
      <c r="F772" s="83"/>
      <c r="G772" s="83"/>
      <c r="H772" s="83"/>
      <c r="I772" s="6"/>
      <c r="J772" s="6"/>
      <c r="K772" s="6"/>
      <c r="L772" s="6"/>
      <c r="M772" s="6"/>
      <c r="N772" s="6"/>
      <c r="O772" s="6"/>
      <c r="P772" s="6"/>
      <c r="Q772" s="6"/>
      <c r="R772" s="6"/>
      <c r="S772" s="6"/>
    </row>
    <row r="773" spans="1:19">
      <c r="A773" s="83"/>
      <c r="B773" s="82"/>
      <c r="C773" s="82"/>
      <c r="D773" s="82"/>
      <c r="E773" s="82"/>
      <c r="F773" s="83"/>
      <c r="G773" s="83"/>
      <c r="H773" s="83"/>
      <c r="I773" s="6"/>
      <c r="J773" s="6"/>
      <c r="K773" s="6"/>
      <c r="L773" s="6"/>
      <c r="M773" s="6"/>
      <c r="N773" s="6"/>
      <c r="O773" s="6"/>
      <c r="P773" s="6"/>
      <c r="Q773" s="6"/>
      <c r="R773" s="6"/>
      <c r="S773" s="6"/>
    </row>
    <row r="774" spans="1:19">
      <c r="A774" s="83"/>
      <c r="B774" s="82"/>
      <c r="C774" s="82"/>
      <c r="D774" s="82"/>
      <c r="E774" s="82"/>
      <c r="F774" s="83"/>
      <c r="G774" s="83"/>
      <c r="H774" s="83"/>
      <c r="I774" s="6"/>
      <c r="J774" s="6"/>
      <c r="K774" s="6"/>
      <c r="L774" s="6"/>
      <c r="M774" s="6"/>
      <c r="N774" s="6"/>
      <c r="O774" s="6"/>
      <c r="P774" s="6"/>
      <c r="Q774" s="6"/>
      <c r="R774" s="6"/>
      <c r="S774" s="6"/>
    </row>
    <row r="775" spans="1:19">
      <c r="A775" s="83"/>
      <c r="B775" s="82"/>
      <c r="C775" s="82"/>
      <c r="D775" s="82"/>
      <c r="E775" s="82"/>
      <c r="F775" s="83"/>
      <c r="G775" s="83"/>
      <c r="H775" s="83"/>
      <c r="I775" s="6"/>
      <c r="J775" s="6"/>
      <c r="K775" s="6"/>
      <c r="L775" s="6"/>
      <c r="M775" s="6"/>
      <c r="N775" s="6"/>
      <c r="O775" s="6"/>
      <c r="P775" s="6"/>
      <c r="Q775" s="6"/>
      <c r="R775" s="6"/>
      <c r="S775" s="6"/>
    </row>
    <row r="776" spans="1:19">
      <c r="A776" s="83"/>
      <c r="B776" s="82"/>
      <c r="C776" s="82"/>
      <c r="D776" s="82"/>
      <c r="E776" s="82"/>
      <c r="F776" s="83"/>
      <c r="G776" s="83"/>
      <c r="H776" s="83"/>
      <c r="I776" s="6"/>
      <c r="J776" s="6"/>
      <c r="K776" s="6"/>
      <c r="L776" s="6"/>
      <c r="M776" s="6"/>
      <c r="N776" s="6"/>
      <c r="O776" s="6"/>
      <c r="P776" s="6"/>
      <c r="Q776" s="6"/>
      <c r="R776" s="6"/>
      <c r="S776" s="6"/>
    </row>
    <row r="777" spans="1:19">
      <c r="A777" s="83"/>
      <c r="B777" s="82"/>
      <c r="C777" s="82"/>
      <c r="D777" s="82"/>
      <c r="E777" s="82"/>
      <c r="F777" s="83"/>
      <c r="G777" s="83"/>
      <c r="H777" s="83"/>
      <c r="I777" s="6"/>
      <c r="J777" s="6"/>
      <c r="K777" s="6"/>
      <c r="L777" s="6"/>
      <c r="M777" s="6"/>
      <c r="N777" s="6"/>
      <c r="O777" s="6"/>
      <c r="P777" s="6"/>
      <c r="Q777" s="6"/>
      <c r="R777" s="6"/>
      <c r="S777" s="6"/>
    </row>
    <row r="778" spans="1:19">
      <c r="A778" s="83"/>
      <c r="B778" s="82"/>
      <c r="C778" s="82"/>
      <c r="D778" s="82"/>
      <c r="E778" s="82"/>
      <c r="F778" s="83"/>
      <c r="G778" s="83"/>
      <c r="H778" s="83"/>
      <c r="I778" s="6"/>
      <c r="J778" s="6"/>
      <c r="K778" s="6"/>
      <c r="L778" s="6"/>
      <c r="M778" s="6"/>
      <c r="N778" s="6"/>
      <c r="O778" s="6"/>
      <c r="P778" s="6"/>
      <c r="Q778" s="6"/>
      <c r="R778" s="6"/>
      <c r="S778" s="6"/>
    </row>
    <row r="779" spans="1:19">
      <c r="A779" s="83"/>
      <c r="B779" s="82"/>
      <c r="C779" s="82"/>
      <c r="D779" s="82"/>
      <c r="E779" s="82"/>
      <c r="F779" s="83"/>
      <c r="G779" s="83"/>
      <c r="H779" s="83"/>
      <c r="I779" s="6"/>
      <c r="J779" s="6"/>
      <c r="K779" s="6"/>
      <c r="L779" s="6"/>
      <c r="M779" s="6"/>
      <c r="N779" s="6"/>
      <c r="O779" s="6"/>
      <c r="P779" s="6"/>
      <c r="Q779" s="6"/>
      <c r="R779" s="6"/>
      <c r="S779" s="6"/>
    </row>
    <row r="780" spans="1:19">
      <c r="A780" s="83"/>
      <c r="B780" s="82"/>
      <c r="C780" s="82"/>
      <c r="D780" s="82"/>
      <c r="E780" s="82"/>
      <c r="F780" s="83"/>
      <c r="G780" s="83"/>
      <c r="H780" s="83"/>
      <c r="I780" s="6"/>
      <c r="J780" s="6"/>
      <c r="K780" s="6"/>
      <c r="L780" s="6"/>
      <c r="M780" s="6"/>
      <c r="N780" s="6"/>
      <c r="O780" s="6"/>
      <c r="P780" s="6"/>
      <c r="Q780" s="6"/>
      <c r="R780" s="6"/>
      <c r="S780" s="6"/>
    </row>
    <row r="781" spans="1:19">
      <c r="A781" s="83"/>
      <c r="B781" s="82"/>
      <c r="C781" s="82"/>
      <c r="D781" s="82"/>
      <c r="E781" s="82"/>
      <c r="F781" s="83"/>
      <c r="G781" s="83"/>
      <c r="H781" s="83"/>
      <c r="I781" s="6"/>
      <c r="J781" s="6"/>
      <c r="K781" s="6"/>
      <c r="L781" s="6"/>
      <c r="M781" s="6"/>
      <c r="N781" s="6"/>
      <c r="O781" s="6"/>
      <c r="P781" s="6"/>
      <c r="Q781" s="6"/>
      <c r="R781" s="6"/>
      <c r="S781" s="6"/>
    </row>
    <row r="782" spans="1:19">
      <c r="A782" s="83"/>
      <c r="B782" s="82"/>
      <c r="C782" s="82"/>
      <c r="D782" s="82"/>
      <c r="E782" s="82"/>
      <c r="F782" s="83"/>
      <c r="G782" s="83"/>
      <c r="H782" s="83"/>
      <c r="I782" s="6"/>
      <c r="J782" s="6"/>
      <c r="K782" s="6"/>
      <c r="L782" s="6"/>
      <c r="M782" s="6"/>
      <c r="N782" s="6"/>
      <c r="O782" s="6"/>
      <c r="P782" s="6"/>
      <c r="Q782" s="6"/>
      <c r="R782" s="6"/>
      <c r="S782" s="6"/>
    </row>
    <row r="783" spans="1:19">
      <c r="A783" s="83"/>
      <c r="B783" s="82"/>
      <c r="C783" s="82"/>
      <c r="D783" s="82"/>
      <c r="E783" s="82"/>
      <c r="F783" s="83"/>
      <c r="G783" s="83"/>
      <c r="H783" s="83"/>
      <c r="I783" s="6"/>
      <c r="J783" s="6"/>
      <c r="K783" s="6"/>
      <c r="L783" s="6"/>
      <c r="M783" s="6"/>
      <c r="N783" s="6"/>
      <c r="O783" s="6"/>
      <c r="P783" s="6"/>
      <c r="Q783" s="6"/>
      <c r="R783" s="6"/>
      <c r="S783" s="6"/>
    </row>
    <row r="784" spans="1:19">
      <c r="A784" s="83"/>
      <c r="B784" s="82"/>
      <c r="C784" s="82"/>
      <c r="D784" s="82"/>
      <c r="E784" s="82"/>
      <c r="F784" s="83"/>
      <c r="G784" s="83"/>
      <c r="H784" s="83"/>
      <c r="I784" s="6"/>
      <c r="J784" s="6"/>
      <c r="K784" s="6"/>
      <c r="L784" s="6"/>
      <c r="M784" s="6"/>
      <c r="N784" s="6"/>
      <c r="O784" s="6"/>
      <c r="P784" s="6"/>
      <c r="Q784" s="6"/>
      <c r="R784" s="6"/>
      <c r="S784" s="6"/>
    </row>
    <row r="785" spans="1:19">
      <c r="A785" s="83"/>
      <c r="B785" s="82"/>
      <c r="C785" s="82"/>
      <c r="D785" s="82"/>
      <c r="E785" s="82"/>
      <c r="F785" s="83"/>
      <c r="G785" s="83"/>
      <c r="H785" s="83"/>
      <c r="I785" s="6"/>
      <c r="J785" s="6"/>
      <c r="K785" s="6"/>
      <c r="L785" s="6"/>
      <c r="M785" s="6"/>
      <c r="N785" s="6"/>
      <c r="O785" s="6"/>
      <c r="P785" s="6"/>
      <c r="Q785" s="6"/>
      <c r="R785" s="6"/>
      <c r="S785" s="6"/>
    </row>
    <row r="786" spans="1:19">
      <c r="A786" s="83"/>
      <c r="B786" s="82"/>
      <c r="C786" s="82"/>
      <c r="D786" s="82"/>
      <c r="E786" s="82"/>
      <c r="F786" s="83"/>
      <c r="G786" s="83"/>
      <c r="H786" s="83"/>
      <c r="I786" s="6"/>
      <c r="J786" s="6"/>
      <c r="K786" s="6"/>
      <c r="L786" s="6"/>
      <c r="M786" s="6"/>
      <c r="N786" s="6"/>
      <c r="O786" s="6"/>
      <c r="P786" s="6"/>
      <c r="Q786" s="6"/>
      <c r="R786" s="6"/>
      <c r="S786" s="6"/>
    </row>
    <row r="787" spans="1:19">
      <c r="A787" s="83"/>
      <c r="B787" s="82"/>
      <c r="C787" s="82"/>
      <c r="D787" s="82"/>
      <c r="E787" s="82"/>
      <c r="F787" s="83"/>
      <c r="G787" s="83"/>
      <c r="H787" s="83"/>
      <c r="I787" s="6"/>
      <c r="J787" s="6"/>
      <c r="K787" s="6"/>
      <c r="L787" s="6"/>
      <c r="M787" s="6"/>
      <c r="N787" s="6"/>
      <c r="O787" s="6"/>
      <c r="P787" s="6"/>
      <c r="Q787" s="6"/>
      <c r="R787" s="6"/>
      <c r="S787" s="6"/>
    </row>
    <row r="788" spans="1:19">
      <c r="A788" s="83"/>
      <c r="B788" s="82"/>
      <c r="C788" s="82"/>
      <c r="D788" s="82"/>
      <c r="E788" s="82"/>
      <c r="F788" s="83"/>
      <c r="G788" s="83"/>
      <c r="H788" s="83"/>
      <c r="I788" s="6"/>
      <c r="J788" s="6"/>
      <c r="K788" s="6"/>
      <c r="L788" s="6"/>
      <c r="M788" s="6"/>
      <c r="N788" s="6"/>
      <c r="O788" s="6"/>
      <c r="P788" s="6"/>
      <c r="Q788" s="6"/>
      <c r="R788" s="6"/>
      <c r="S788" s="6"/>
    </row>
    <row r="789" spans="1:19">
      <c r="A789" s="83"/>
      <c r="B789" s="82"/>
      <c r="C789" s="82"/>
      <c r="D789" s="82"/>
      <c r="E789" s="82"/>
      <c r="F789" s="83"/>
      <c r="G789" s="83"/>
      <c r="H789" s="83"/>
      <c r="I789" s="6"/>
      <c r="J789" s="6"/>
      <c r="K789" s="6"/>
      <c r="L789" s="6"/>
      <c r="M789" s="6"/>
      <c r="N789" s="6"/>
      <c r="O789" s="6"/>
      <c r="P789" s="6"/>
      <c r="Q789" s="6"/>
      <c r="R789" s="6"/>
      <c r="S789" s="6"/>
    </row>
    <row r="790" spans="1:19">
      <c r="A790" s="83"/>
      <c r="B790" s="82"/>
      <c r="C790" s="82"/>
      <c r="D790" s="82"/>
      <c r="E790" s="82"/>
      <c r="F790" s="83"/>
      <c r="G790" s="83"/>
      <c r="H790" s="83"/>
      <c r="I790" s="6"/>
      <c r="J790" s="6"/>
      <c r="K790" s="6"/>
      <c r="L790" s="6"/>
      <c r="M790" s="6"/>
      <c r="N790" s="6"/>
      <c r="O790" s="6"/>
      <c r="P790" s="6"/>
      <c r="Q790" s="6"/>
      <c r="R790" s="6"/>
      <c r="S790" s="6"/>
    </row>
    <row r="791" spans="1:19">
      <c r="A791" s="83"/>
      <c r="B791" s="82"/>
      <c r="C791" s="82"/>
      <c r="D791" s="82"/>
      <c r="E791" s="82"/>
      <c r="F791" s="83"/>
      <c r="G791" s="83"/>
      <c r="H791" s="83"/>
      <c r="I791" s="6"/>
      <c r="J791" s="6"/>
      <c r="K791" s="6"/>
      <c r="L791" s="6"/>
      <c r="M791" s="6"/>
      <c r="N791" s="6"/>
      <c r="O791" s="6"/>
      <c r="P791" s="6"/>
      <c r="Q791" s="6"/>
      <c r="R791" s="6"/>
      <c r="S791" s="6"/>
    </row>
    <row r="792" spans="1:19">
      <c r="A792" s="83"/>
      <c r="B792" s="82"/>
      <c r="C792" s="82"/>
      <c r="D792" s="82"/>
      <c r="E792" s="82"/>
      <c r="F792" s="83"/>
      <c r="G792" s="83"/>
      <c r="H792" s="83"/>
      <c r="I792" s="6"/>
      <c r="J792" s="6"/>
      <c r="K792" s="6"/>
      <c r="L792" s="6"/>
      <c r="M792" s="6"/>
      <c r="N792" s="6"/>
      <c r="O792" s="6"/>
      <c r="P792" s="6"/>
      <c r="Q792" s="6"/>
      <c r="R792" s="6"/>
      <c r="S792" s="6"/>
    </row>
    <row r="793" spans="1:19">
      <c r="A793" s="83"/>
      <c r="B793" s="82"/>
      <c r="C793" s="82"/>
      <c r="D793" s="82"/>
      <c r="E793" s="82"/>
      <c r="F793" s="83"/>
      <c r="G793" s="83"/>
      <c r="H793" s="83"/>
      <c r="I793" s="6"/>
      <c r="J793" s="6"/>
      <c r="K793" s="6"/>
      <c r="L793" s="6"/>
      <c r="M793" s="6"/>
      <c r="N793" s="6"/>
      <c r="O793" s="6"/>
      <c r="P793" s="6"/>
      <c r="Q793" s="6"/>
      <c r="R793" s="6"/>
      <c r="S793" s="6"/>
    </row>
    <row r="794" spans="1:19">
      <c r="A794" s="83"/>
      <c r="B794" s="82"/>
      <c r="C794" s="82"/>
      <c r="D794" s="82"/>
      <c r="E794" s="82"/>
      <c r="F794" s="83"/>
      <c r="G794" s="83"/>
      <c r="H794" s="83"/>
      <c r="I794" s="6"/>
      <c r="J794" s="6"/>
      <c r="K794" s="6"/>
      <c r="L794" s="6"/>
      <c r="M794" s="6"/>
      <c r="N794" s="6"/>
      <c r="O794" s="6"/>
      <c r="P794" s="6"/>
      <c r="Q794" s="6"/>
      <c r="R794" s="6"/>
      <c r="S794" s="6"/>
    </row>
    <row r="795" spans="1:19">
      <c r="A795" s="83"/>
      <c r="B795" s="82"/>
      <c r="C795" s="82"/>
      <c r="D795" s="82"/>
      <c r="E795" s="82"/>
      <c r="F795" s="83"/>
      <c r="G795" s="83"/>
      <c r="H795" s="83"/>
      <c r="I795" s="6"/>
      <c r="J795" s="6"/>
      <c r="K795" s="6"/>
      <c r="L795" s="6"/>
      <c r="M795" s="6"/>
      <c r="N795" s="6"/>
      <c r="O795" s="6"/>
      <c r="P795" s="6"/>
      <c r="Q795" s="6"/>
      <c r="R795" s="6"/>
      <c r="S795" s="6"/>
    </row>
    <row r="796" spans="1:19">
      <c r="A796" s="83"/>
      <c r="B796" s="82"/>
      <c r="C796" s="82"/>
      <c r="D796" s="82"/>
      <c r="E796" s="82"/>
      <c r="F796" s="83"/>
      <c r="G796" s="83"/>
      <c r="H796" s="83"/>
      <c r="I796" s="6"/>
      <c r="J796" s="6"/>
      <c r="K796" s="6"/>
      <c r="L796" s="6"/>
      <c r="M796" s="6"/>
      <c r="N796" s="6"/>
      <c r="O796" s="6"/>
      <c r="P796" s="6"/>
      <c r="Q796" s="6"/>
      <c r="R796" s="6"/>
      <c r="S796" s="6"/>
    </row>
    <row r="797" spans="1:19">
      <c r="A797" s="83"/>
      <c r="B797" s="82"/>
      <c r="C797" s="82"/>
      <c r="D797" s="82"/>
      <c r="E797" s="82"/>
      <c r="F797" s="83"/>
      <c r="G797" s="83"/>
      <c r="H797" s="83"/>
      <c r="I797" s="6"/>
      <c r="J797" s="6"/>
      <c r="K797" s="6"/>
      <c r="L797" s="6"/>
      <c r="M797" s="6"/>
      <c r="N797" s="6"/>
      <c r="O797" s="6"/>
      <c r="P797" s="6"/>
      <c r="Q797" s="6"/>
      <c r="R797" s="6"/>
      <c r="S797" s="6"/>
    </row>
    <row r="798" spans="1:19">
      <c r="A798" s="83"/>
      <c r="B798" s="82"/>
      <c r="C798" s="82"/>
      <c r="D798" s="82"/>
      <c r="E798" s="82"/>
      <c r="F798" s="83"/>
      <c r="G798" s="83"/>
      <c r="H798" s="83"/>
      <c r="I798" s="6"/>
      <c r="J798" s="6"/>
      <c r="K798" s="6"/>
      <c r="L798" s="6"/>
      <c r="M798" s="6"/>
      <c r="N798" s="6"/>
      <c r="O798" s="6"/>
      <c r="P798" s="6"/>
      <c r="Q798" s="6"/>
      <c r="R798" s="6"/>
      <c r="S798" s="6"/>
    </row>
    <row r="799" spans="1:19">
      <c r="A799" s="83"/>
      <c r="B799" s="82"/>
      <c r="C799" s="82"/>
      <c r="D799" s="82"/>
      <c r="E799" s="82"/>
      <c r="F799" s="83"/>
      <c r="G799" s="83"/>
      <c r="H799" s="83"/>
      <c r="I799" s="6"/>
      <c r="J799" s="6"/>
      <c r="K799" s="6"/>
      <c r="L799" s="6"/>
      <c r="M799" s="6"/>
      <c r="N799" s="6"/>
      <c r="O799" s="6"/>
      <c r="P799" s="6"/>
      <c r="Q799" s="6"/>
      <c r="R799" s="6"/>
      <c r="S799" s="6"/>
    </row>
    <row r="800" spans="1:19">
      <c r="A800" s="83"/>
      <c r="B800" s="82"/>
      <c r="C800" s="82"/>
      <c r="D800" s="82"/>
      <c r="E800" s="82"/>
      <c r="F800" s="83"/>
      <c r="G800" s="83"/>
      <c r="H800" s="83"/>
      <c r="I800" s="6"/>
      <c r="J800" s="6"/>
      <c r="K800" s="6"/>
      <c r="L800" s="6"/>
      <c r="M800" s="6"/>
      <c r="N800" s="6"/>
      <c r="O800" s="6"/>
      <c r="P800" s="6"/>
      <c r="Q800" s="6"/>
      <c r="R800" s="6"/>
      <c r="S800" s="6"/>
    </row>
    <row r="801" spans="1:19">
      <c r="A801" s="83"/>
      <c r="B801" s="82"/>
      <c r="C801" s="82"/>
      <c r="D801" s="82"/>
      <c r="E801" s="82"/>
      <c r="F801" s="83"/>
      <c r="G801" s="83"/>
      <c r="H801" s="83"/>
      <c r="I801" s="6"/>
      <c r="J801" s="6"/>
      <c r="K801" s="6"/>
      <c r="L801" s="6"/>
      <c r="M801" s="6"/>
      <c r="N801" s="6"/>
      <c r="O801" s="6"/>
      <c r="P801" s="6"/>
      <c r="Q801" s="6"/>
      <c r="R801" s="6"/>
      <c r="S801" s="6"/>
    </row>
    <row r="802" spans="1:19">
      <c r="A802" s="83"/>
      <c r="B802" s="82"/>
      <c r="C802" s="82"/>
      <c r="D802" s="82"/>
      <c r="E802" s="82"/>
      <c r="F802" s="83"/>
      <c r="G802" s="83"/>
      <c r="H802" s="83"/>
      <c r="I802" s="6"/>
      <c r="J802" s="6"/>
      <c r="K802" s="6"/>
      <c r="L802" s="6"/>
      <c r="M802" s="6"/>
      <c r="N802" s="6"/>
      <c r="O802" s="6"/>
      <c r="P802" s="6"/>
      <c r="Q802" s="6"/>
      <c r="R802" s="6"/>
      <c r="S802" s="6"/>
    </row>
    <row r="803" spans="1:19">
      <c r="A803" s="83"/>
      <c r="B803" s="82"/>
      <c r="C803" s="82"/>
      <c r="D803" s="82"/>
      <c r="E803" s="82"/>
      <c r="F803" s="83"/>
      <c r="G803" s="83"/>
      <c r="H803" s="83"/>
      <c r="I803" s="6"/>
      <c r="J803" s="6"/>
      <c r="K803" s="6"/>
      <c r="L803" s="6"/>
      <c r="M803" s="6"/>
      <c r="N803" s="6"/>
      <c r="O803" s="6"/>
      <c r="P803" s="6"/>
      <c r="Q803" s="6"/>
      <c r="R803" s="6"/>
      <c r="S803" s="6"/>
    </row>
    <row r="804" spans="1:19">
      <c r="A804" s="83"/>
      <c r="B804" s="82"/>
      <c r="C804" s="82"/>
      <c r="D804" s="82"/>
      <c r="E804" s="82"/>
      <c r="F804" s="83"/>
      <c r="G804" s="83"/>
      <c r="H804" s="83"/>
      <c r="I804" s="6"/>
      <c r="J804" s="6"/>
      <c r="K804" s="6"/>
      <c r="L804" s="6"/>
      <c r="M804" s="6"/>
      <c r="N804" s="6"/>
      <c r="O804" s="6"/>
      <c r="P804" s="6"/>
      <c r="Q804" s="6"/>
      <c r="R804" s="6"/>
      <c r="S804" s="6"/>
    </row>
    <row r="805" spans="1:19">
      <c r="A805" s="83"/>
      <c r="B805" s="82"/>
      <c r="C805" s="82"/>
      <c r="D805" s="82"/>
      <c r="E805" s="82"/>
      <c r="F805" s="83"/>
      <c r="G805" s="83"/>
      <c r="H805" s="83"/>
      <c r="I805" s="6"/>
      <c r="J805" s="6"/>
      <c r="K805" s="6"/>
      <c r="L805" s="6"/>
      <c r="M805" s="6"/>
      <c r="N805" s="6"/>
      <c r="O805" s="6"/>
      <c r="P805" s="6"/>
      <c r="Q805" s="6"/>
      <c r="R805" s="6"/>
      <c r="S805" s="6"/>
    </row>
    <row r="806" spans="1:19">
      <c r="A806" s="83"/>
      <c r="B806" s="82"/>
      <c r="C806" s="82"/>
      <c r="D806" s="82"/>
      <c r="E806" s="82"/>
      <c r="F806" s="83"/>
      <c r="G806" s="83"/>
      <c r="H806" s="83"/>
      <c r="I806" s="6"/>
      <c r="J806" s="6"/>
      <c r="K806" s="6"/>
      <c r="L806" s="6"/>
      <c r="M806" s="6"/>
      <c r="N806" s="6"/>
      <c r="O806" s="6"/>
      <c r="P806" s="6"/>
      <c r="Q806" s="6"/>
      <c r="R806" s="6"/>
      <c r="S806" s="6"/>
    </row>
    <row r="807" spans="1:19">
      <c r="A807" s="83"/>
      <c r="B807" s="82"/>
      <c r="C807" s="82"/>
      <c r="D807" s="82"/>
      <c r="E807" s="82"/>
      <c r="F807" s="83"/>
      <c r="G807" s="83"/>
      <c r="H807" s="83"/>
      <c r="I807" s="6"/>
      <c r="J807" s="6"/>
      <c r="K807" s="6"/>
      <c r="L807" s="6"/>
      <c r="M807" s="6"/>
      <c r="N807" s="6"/>
      <c r="O807" s="6"/>
      <c r="P807" s="6"/>
      <c r="Q807" s="6"/>
      <c r="R807" s="6"/>
      <c r="S807" s="6"/>
    </row>
    <row r="808" spans="1:19">
      <c r="A808" s="83"/>
      <c r="B808" s="82"/>
      <c r="C808" s="82"/>
      <c r="D808" s="82"/>
      <c r="E808" s="82"/>
      <c r="F808" s="83"/>
      <c r="G808" s="83"/>
      <c r="H808" s="83"/>
      <c r="I808" s="6"/>
      <c r="J808" s="6"/>
      <c r="K808" s="6"/>
      <c r="L808" s="6"/>
      <c r="M808" s="6"/>
      <c r="N808" s="6"/>
      <c r="O808" s="6"/>
      <c r="P808" s="6"/>
      <c r="Q808" s="6"/>
      <c r="R808" s="6"/>
      <c r="S808" s="6"/>
    </row>
    <row r="809" spans="1:19">
      <c r="A809" s="83"/>
      <c r="B809" s="82"/>
      <c r="C809" s="82"/>
      <c r="D809" s="82"/>
      <c r="E809" s="82"/>
      <c r="F809" s="83"/>
      <c r="G809" s="83"/>
      <c r="H809" s="83"/>
      <c r="I809" s="6"/>
      <c r="J809" s="6"/>
      <c r="K809" s="6"/>
      <c r="L809" s="6"/>
      <c r="M809" s="6"/>
      <c r="N809" s="6"/>
      <c r="O809" s="6"/>
      <c r="P809" s="6"/>
      <c r="Q809" s="6"/>
      <c r="R809" s="6"/>
      <c r="S809" s="6"/>
    </row>
    <row r="810" spans="1:19">
      <c r="A810" s="83"/>
      <c r="B810" s="82"/>
      <c r="C810" s="82"/>
      <c r="D810" s="82"/>
      <c r="E810" s="82"/>
      <c r="F810" s="83"/>
      <c r="G810" s="83"/>
      <c r="H810" s="83"/>
      <c r="I810" s="6"/>
      <c r="J810" s="6"/>
      <c r="K810" s="6"/>
      <c r="L810" s="6"/>
      <c r="M810" s="6"/>
      <c r="N810" s="6"/>
      <c r="O810" s="6"/>
      <c r="P810" s="6"/>
      <c r="Q810" s="6"/>
      <c r="R810" s="6"/>
      <c r="S810" s="6"/>
    </row>
    <row r="811" spans="1:19">
      <c r="A811" s="83"/>
      <c r="B811" s="82"/>
      <c r="C811" s="82"/>
      <c r="D811" s="82"/>
      <c r="E811" s="82"/>
      <c r="F811" s="83"/>
      <c r="G811" s="83"/>
      <c r="H811" s="83"/>
      <c r="I811" s="6"/>
      <c r="J811" s="6"/>
      <c r="K811" s="6"/>
      <c r="L811" s="6"/>
      <c r="M811" s="6"/>
      <c r="N811" s="6"/>
      <c r="O811" s="6"/>
      <c r="P811" s="6"/>
      <c r="Q811" s="6"/>
      <c r="R811" s="6"/>
      <c r="S811" s="6"/>
    </row>
    <row r="812" spans="1:19">
      <c r="A812" s="83"/>
      <c r="B812" s="82"/>
      <c r="C812" s="82"/>
      <c r="D812" s="82"/>
      <c r="E812" s="82"/>
      <c r="F812" s="83"/>
      <c r="G812" s="83"/>
      <c r="H812" s="83"/>
      <c r="I812" s="6"/>
      <c r="J812" s="6"/>
      <c r="K812" s="6"/>
      <c r="L812" s="6"/>
      <c r="M812" s="6"/>
      <c r="N812" s="6"/>
      <c r="O812" s="6"/>
      <c r="P812" s="6"/>
      <c r="Q812" s="6"/>
      <c r="R812" s="6"/>
      <c r="S812" s="6"/>
    </row>
    <row r="813" spans="1:19">
      <c r="A813" s="83"/>
      <c r="B813" s="82"/>
      <c r="C813" s="82"/>
      <c r="D813" s="82"/>
      <c r="E813" s="82"/>
      <c r="F813" s="83"/>
      <c r="G813" s="83"/>
      <c r="H813" s="83"/>
      <c r="I813" s="6"/>
      <c r="J813" s="6"/>
      <c r="K813" s="6"/>
      <c r="L813" s="6"/>
      <c r="M813" s="6"/>
      <c r="N813" s="6"/>
      <c r="O813" s="6"/>
      <c r="P813" s="6"/>
      <c r="Q813" s="6"/>
      <c r="R813" s="6"/>
      <c r="S813" s="6"/>
    </row>
    <row r="814" spans="1:19">
      <c r="A814" s="83"/>
      <c r="B814" s="82"/>
      <c r="C814" s="82"/>
      <c r="D814" s="82"/>
      <c r="E814" s="82"/>
      <c r="F814" s="83"/>
      <c r="G814" s="83"/>
      <c r="H814" s="83"/>
      <c r="I814" s="6"/>
      <c r="J814" s="6"/>
      <c r="K814" s="6"/>
      <c r="L814" s="6"/>
      <c r="M814" s="6"/>
      <c r="N814" s="6"/>
      <c r="O814" s="6"/>
      <c r="P814" s="6"/>
      <c r="Q814" s="6"/>
      <c r="R814" s="6"/>
      <c r="S814" s="6"/>
    </row>
    <row r="815" spans="1:19">
      <c r="A815" s="83"/>
      <c r="B815" s="82"/>
      <c r="C815" s="82"/>
      <c r="D815" s="82"/>
      <c r="E815" s="82"/>
      <c r="F815" s="83"/>
      <c r="G815" s="83"/>
      <c r="H815" s="83"/>
      <c r="I815" s="6"/>
      <c r="J815" s="6"/>
      <c r="K815" s="6"/>
      <c r="L815" s="6"/>
      <c r="M815" s="6"/>
      <c r="N815" s="6"/>
      <c r="O815" s="6"/>
      <c r="P815" s="6"/>
      <c r="Q815" s="6"/>
      <c r="R815" s="6"/>
      <c r="S815" s="6"/>
    </row>
    <row r="816" spans="1:19">
      <c r="A816" s="83"/>
      <c r="B816" s="82"/>
      <c r="C816" s="82"/>
      <c r="D816" s="82"/>
      <c r="E816" s="82"/>
      <c r="F816" s="83"/>
      <c r="G816" s="83"/>
      <c r="H816" s="83"/>
      <c r="I816" s="6"/>
      <c r="J816" s="6"/>
      <c r="K816" s="6"/>
      <c r="L816" s="6"/>
      <c r="M816" s="6"/>
      <c r="N816" s="6"/>
      <c r="O816" s="6"/>
      <c r="P816" s="6"/>
      <c r="Q816" s="6"/>
      <c r="R816" s="6"/>
      <c r="S816" s="6"/>
    </row>
    <row r="817" spans="1:19">
      <c r="A817" s="83"/>
      <c r="B817" s="82"/>
      <c r="C817" s="82"/>
      <c r="D817" s="82"/>
      <c r="E817" s="82"/>
      <c r="F817" s="83"/>
      <c r="G817" s="83"/>
      <c r="H817" s="83"/>
      <c r="I817" s="6"/>
      <c r="J817" s="6"/>
      <c r="K817" s="6"/>
      <c r="L817" s="6"/>
      <c r="M817" s="6"/>
      <c r="N817" s="6"/>
      <c r="O817" s="6"/>
      <c r="P817" s="6"/>
      <c r="Q817" s="6"/>
      <c r="R817" s="6"/>
      <c r="S817" s="6"/>
    </row>
    <row r="818" spans="1:19">
      <c r="A818" s="83"/>
      <c r="B818" s="82"/>
      <c r="C818" s="82"/>
      <c r="D818" s="82"/>
      <c r="E818" s="82"/>
      <c r="F818" s="83"/>
      <c r="G818" s="83"/>
      <c r="H818" s="83"/>
      <c r="I818" s="6"/>
      <c r="J818" s="6"/>
      <c r="K818" s="6"/>
      <c r="L818" s="6"/>
      <c r="M818" s="6"/>
      <c r="N818" s="6"/>
      <c r="O818" s="6"/>
      <c r="P818" s="6"/>
      <c r="Q818" s="6"/>
      <c r="R818" s="6"/>
      <c r="S818" s="6"/>
    </row>
    <row r="819" spans="1:19">
      <c r="A819" s="83"/>
      <c r="B819" s="82"/>
      <c r="C819" s="82"/>
      <c r="D819" s="82"/>
      <c r="E819" s="82"/>
      <c r="F819" s="83"/>
      <c r="G819" s="83"/>
      <c r="H819" s="83"/>
      <c r="I819" s="6"/>
      <c r="J819" s="6"/>
      <c r="K819" s="6"/>
      <c r="L819" s="6"/>
      <c r="M819" s="6"/>
      <c r="N819" s="6"/>
      <c r="O819" s="6"/>
      <c r="P819" s="6"/>
      <c r="Q819" s="6"/>
      <c r="R819" s="6"/>
      <c r="S819" s="6"/>
    </row>
    <row r="820" spans="1:19">
      <c r="A820" s="83"/>
      <c r="B820" s="82"/>
      <c r="C820" s="82"/>
      <c r="D820" s="82"/>
      <c r="E820" s="82"/>
      <c r="F820" s="83"/>
      <c r="G820" s="83"/>
      <c r="H820" s="83"/>
      <c r="I820" s="6"/>
      <c r="J820" s="6"/>
      <c r="K820" s="6"/>
      <c r="L820" s="6"/>
      <c r="M820" s="6"/>
      <c r="N820" s="6"/>
      <c r="O820" s="6"/>
      <c r="P820" s="6"/>
      <c r="Q820" s="6"/>
      <c r="R820" s="6"/>
      <c r="S820" s="6"/>
    </row>
    <row r="821" spans="1:19">
      <c r="A821" s="83"/>
      <c r="B821" s="82"/>
      <c r="C821" s="82"/>
      <c r="D821" s="82"/>
      <c r="E821" s="82"/>
      <c r="F821" s="83"/>
      <c r="G821" s="83"/>
      <c r="H821" s="83"/>
      <c r="I821" s="6"/>
      <c r="J821" s="6"/>
      <c r="K821" s="6"/>
      <c r="L821" s="6"/>
      <c r="M821" s="6"/>
      <c r="N821" s="6"/>
      <c r="O821" s="6"/>
      <c r="P821" s="6"/>
      <c r="Q821" s="6"/>
      <c r="R821" s="6"/>
      <c r="S821" s="6"/>
    </row>
    <row r="822" spans="1:19">
      <c r="A822" s="83"/>
      <c r="B822" s="82"/>
      <c r="C822" s="82"/>
      <c r="D822" s="82"/>
      <c r="E822" s="82"/>
      <c r="F822" s="83"/>
      <c r="G822" s="83"/>
      <c r="H822" s="83"/>
      <c r="I822" s="6"/>
      <c r="J822" s="6"/>
      <c r="K822" s="6"/>
      <c r="L822" s="6"/>
      <c r="M822" s="6"/>
      <c r="N822" s="6"/>
      <c r="O822" s="6"/>
      <c r="P822" s="6"/>
      <c r="Q822" s="6"/>
      <c r="R822" s="6"/>
      <c r="S822" s="6"/>
    </row>
    <row r="823" spans="1:19">
      <c r="A823" s="83"/>
      <c r="B823" s="82"/>
      <c r="C823" s="82"/>
      <c r="D823" s="82"/>
      <c r="E823" s="82"/>
      <c r="F823" s="83"/>
      <c r="G823" s="83"/>
      <c r="H823" s="83"/>
      <c r="I823" s="6"/>
      <c r="J823" s="6"/>
      <c r="K823" s="6"/>
      <c r="L823" s="6"/>
      <c r="M823" s="6"/>
      <c r="N823" s="6"/>
      <c r="O823" s="6"/>
      <c r="P823" s="6"/>
      <c r="Q823" s="6"/>
      <c r="R823" s="6"/>
      <c r="S823" s="6"/>
    </row>
    <row r="824" spans="1:19">
      <c r="A824" s="83"/>
      <c r="B824" s="82"/>
      <c r="C824" s="82"/>
      <c r="D824" s="82"/>
      <c r="E824" s="82"/>
      <c r="F824" s="83"/>
      <c r="G824" s="83"/>
      <c r="H824" s="83"/>
      <c r="I824" s="6"/>
      <c r="J824" s="6"/>
      <c r="K824" s="6"/>
      <c r="L824" s="6"/>
      <c r="M824" s="6"/>
      <c r="N824" s="6"/>
      <c r="O824" s="6"/>
      <c r="P824" s="6"/>
      <c r="Q824" s="6"/>
      <c r="R824" s="6"/>
      <c r="S824" s="6"/>
    </row>
    <row r="825" spans="1:19">
      <c r="A825" s="83"/>
      <c r="B825" s="82"/>
      <c r="C825" s="82"/>
      <c r="D825" s="82"/>
      <c r="E825" s="82"/>
      <c r="F825" s="83"/>
      <c r="G825" s="83"/>
      <c r="H825" s="83"/>
      <c r="I825" s="6"/>
      <c r="J825" s="6"/>
      <c r="K825" s="6"/>
      <c r="L825" s="6"/>
      <c r="M825" s="6"/>
      <c r="N825" s="6"/>
      <c r="O825" s="6"/>
      <c r="P825" s="6"/>
      <c r="Q825" s="6"/>
      <c r="R825" s="6"/>
      <c r="S825" s="6"/>
    </row>
    <row r="826" spans="1:19">
      <c r="A826" s="83"/>
      <c r="B826" s="82"/>
      <c r="C826" s="82"/>
      <c r="D826" s="82"/>
      <c r="E826" s="82"/>
      <c r="F826" s="83"/>
      <c r="G826" s="83"/>
      <c r="H826" s="83"/>
      <c r="I826" s="6"/>
      <c r="J826" s="6"/>
      <c r="K826" s="6"/>
      <c r="L826" s="6"/>
      <c r="M826" s="6"/>
      <c r="N826" s="6"/>
      <c r="O826" s="6"/>
      <c r="P826" s="6"/>
      <c r="Q826" s="6"/>
      <c r="R826" s="6"/>
      <c r="S826" s="6"/>
    </row>
    <row r="827" spans="1:19">
      <c r="A827" s="83"/>
      <c r="B827" s="82"/>
      <c r="C827" s="82"/>
      <c r="D827" s="82"/>
      <c r="E827" s="82"/>
      <c r="F827" s="83"/>
      <c r="G827" s="83"/>
      <c r="H827" s="83"/>
      <c r="I827" s="6"/>
      <c r="J827" s="6"/>
      <c r="K827" s="6"/>
      <c r="L827" s="6"/>
      <c r="M827" s="6"/>
      <c r="N827" s="6"/>
      <c r="O827" s="6"/>
      <c r="P827" s="6"/>
      <c r="Q827" s="6"/>
      <c r="R827" s="6"/>
      <c r="S827" s="6"/>
    </row>
    <row r="828" spans="1:19">
      <c r="A828" s="83"/>
      <c r="B828" s="82"/>
      <c r="C828" s="82"/>
      <c r="D828" s="82"/>
      <c r="E828" s="82"/>
      <c r="F828" s="83"/>
      <c r="G828" s="83"/>
      <c r="H828" s="83"/>
      <c r="I828" s="6"/>
      <c r="J828" s="6"/>
      <c r="K828" s="6"/>
      <c r="L828" s="6"/>
      <c r="M828" s="6"/>
      <c r="N828" s="6"/>
      <c r="O828" s="6"/>
      <c r="P828" s="6"/>
      <c r="Q828" s="6"/>
      <c r="R828" s="6"/>
      <c r="S828" s="6"/>
    </row>
    <row r="829" spans="1:19">
      <c r="A829" s="83"/>
      <c r="B829" s="82"/>
      <c r="C829" s="82"/>
      <c r="D829" s="82"/>
      <c r="E829" s="82"/>
      <c r="F829" s="83"/>
      <c r="G829" s="83"/>
      <c r="H829" s="83"/>
      <c r="I829" s="6"/>
      <c r="J829" s="6"/>
      <c r="K829" s="6"/>
      <c r="L829" s="6"/>
      <c r="M829" s="6"/>
      <c r="N829" s="6"/>
      <c r="O829" s="6"/>
      <c r="P829" s="6"/>
      <c r="Q829" s="6"/>
      <c r="R829" s="6"/>
      <c r="S829" s="6"/>
    </row>
    <row r="830" spans="1:19">
      <c r="A830" s="83"/>
      <c r="B830" s="82"/>
      <c r="C830" s="82"/>
      <c r="D830" s="82"/>
      <c r="E830" s="82"/>
      <c r="F830" s="83"/>
      <c r="G830" s="83"/>
      <c r="H830" s="83"/>
      <c r="I830" s="6"/>
      <c r="J830" s="6"/>
      <c r="K830" s="6"/>
      <c r="L830" s="6"/>
      <c r="M830" s="6"/>
      <c r="N830" s="6"/>
      <c r="O830" s="6"/>
      <c r="P830" s="6"/>
      <c r="Q830" s="6"/>
      <c r="R830" s="6"/>
      <c r="S830" s="6"/>
    </row>
    <row r="831" spans="1:19">
      <c r="A831" s="83"/>
      <c r="B831" s="82"/>
      <c r="C831" s="82"/>
      <c r="D831" s="82"/>
      <c r="E831" s="82"/>
      <c r="F831" s="83"/>
      <c r="G831" s="83"/>
      <c r="H831" s="83"/>
      <c r="I831" s="6"/>
      <c r="J831" s="6"/>
      <c r="K831" s="6"/>
      <c r="L831" s="6"/>
      <c r="M831" s="6"/>
      <c r="N831" s="6"/>
      <c r="O831" s="6"/>
      <c r="P831" s="6"/>
      <c r="Q831" s="6"/>
      <c r="R831" s="6"/>
      <c r="S831" s="6"/>
    </row>
    <row r="832" spans="1:19">
      <c r="A832" s="83"/>
      <c r="B832" s="82"/>
      <c r="C832" s="82"/>
      <c r="D832" s="82"/>
      <c r="E832" s="82"/>
      <c r="F832" s="83"/>
      <c r="G832" s="83"/>
      <c r="H832" s="83"/>
      <c r="I832" s="6"/>
      <c r="J832" s="6"/>
      <c r="K832" s="6"/>
      <c r="L832" s="6"/>
      <c r="M832" s="6"/>
      <c r="N832" s="6"/>
      <c r="O832" s="6"/>
      <c r="P832" s="6"/>
      <c r="Q832" s="6"/>
      <c r="R832" s="6"/>
      <c r="S832" s="6"/>
    </row>
    <row r="833" spans="1:19">
      <c r="A833" s="83"/>
      <c r="B833" s="82"/>
      <c r="C833" s="82"/>
      <c r="D833" s="82"/>
      <c r="E833" s="82"/>
      <c r="F833" s="83"/>
      <c r="G833" s="83"/>
      <c r="H833" s="83"/>
      <c r="I833" s="6"/>
      <c r="J833" s="6"/>
      <c r="K833" s="6"/>
      <c r="L833" s="6"/>
      <c r="M833" s="6"/>
      <c r="N833" s="6"/>
      <c r="O833" s="6"/>
      <c r="P833" s="6"/>
      <c r="Q833" s="6"/>
      <c r="R833" s="6"/>
      <c r="S833" s="6"/>
    </row>
    <row r="834" spans="1:19">
      <c r="A834" s="83"/>
      <c r="B834" s="82"/>
      <c r="C834" s="82"/>
      <c r="D834" s="82"/>
      <c r="E834" s="82"/>
      <c r="F834" s="83"/>
      <c r="G834" s="83"/>
      <c r="H834" s="83"/>
      <c r="I834" s="6"/>
      <c r="J834" s="6"/>
      <c r="K834" s="6"/>
      <c r="L834" s="6"/>
      <c r="M834" s="6"/>
      <c r="N834" s="6"/>
      <c r="O834" s="6"/>
      <c r="P834" s="6"/>
      <c r="Q834" s="6"/>
      <c r="R834" s="6"/>
      <c r="S834" s="6"/>
    </row>
    <row r="835" spans="1:19">
      <c r="A835" s="83"/>
      <c r="B835" s="82"/>
      <c r="C835" s="82"/>
      <c r="D835" s="82"/>
      <c r="E835" s="82"/>
      <c r="F835" s="83"/>
      <c r="G835" s="83"/>
      <c r="H835" s="83"/>
      <c r="I835" s="6"/>
      <c r="J835" s="6"/>
      <c r="K835" s="6"/>
      <c r="L835" s="6"/>
      <c r="M835" s="6"/>
      <c r="N835" s="6"/>
      <c r="O835" s="6"/>
      <c r="P835" s="6"/>
      <c r="Q835" s="6"/>
      <c r="R835" s="6"/>
      <c r="S835" s="6"/>
    </row>
    <row r="836" spans="1:19">
      <c r="A836" s="83"/>
      <c r="B836" s="82"/>
      <c r="C836" s="82"/>
      <c r="D836" s="82"/>
      <c r="E836" s="82"/>
      <c r="F836" s="83"/>
      <c r="G836" s="83"/>
      <c r="H836" s="83"/>
      <c r="I836" s="6"/>
      <c r="J836" s="6"/>
      <c r="K836" s="6"/>
      <c r="L836" s="6"/>
      <c r="M836" s="6"/>
      <c r="N836" s="6"/>
      <c r="O836" s="6"/>
      <c r="P836" s="6"/>
      <c r="Q836" s="6"/>
      <c r="R836" s="6"/>
      <c r="S836" s="6"/>
    </row>
    <row r="837" spans="1:19">
      <c r="A837" s="83"/>
      <c r="B837" s="82"/>
      <c r="C837" s="82"/>
      <c r="D837" s="82"/>
      <c r="E837" s="82"/>
      <c r="F837" s="83"/>
      <c r="G837" s="83"/>
      <c r="H837" s="83"/>
      <c r="I837" s="6"/>
      <c r="J837" s="6"/>
      <c r="K837" s="6"/>
      <c r="L837" s="6"/>
      <c r="M837" s="6"/>
      <c r="N837" s="6"/>
      <c r="O837" s="6"/>
      <c r="P837" s="6"/>
      <c r="Q837" s="6"/>
      <c r="R837" s="6"/>
      <c r="S837" s="6"/>
    </row>
    <row r="838" spans="1:19">
      <c r="A838" s="83"/>
      <c r="B838" s="82"/>
      <c r="C838" s="82"/>
      <c r="D838" s="82"/>
      <c r="E838" s="82"/>
      <c r="F838" s="83"/>
      <c r="G838" s="83"/>
      <c r="H838" s="83"/>
      <c r="I838" s="6"/>
      <c r="J838" s="6"/>
      <c r="K838" s="6"/>
      <c r="L838" s="6"/>
      <c r="M838" s="6"/>
      <c r="N838" s="6"/>
      <c r="O838" s="6"/>
      <c r="P838" s="6"/>
      <c r="Q838" s="6"/>
      <c r="R838" s="6"/>
      <c r="S838" s="6"/>
    </row>
    <row r="839" spans="1:19">
      <c r="A839" s="83"/>
      <c r="B839" s="82"/>
      <c r="C839" s="82"/>
      <c r="D839" s="82"/>
      <c r="E839" s="82"/>
      <c r="F839" s="83"/>
      <c r="G839" s="83"/>
      <c r="H839" s="83"/>
      <c r="I839" s="6"/>
      <c r="J839" s="6"/>
      <c r="K839" s="6"/>
      <c r="L839" s="6"/>
      <c r="M839" s="6"/>
      <c r="N839" s="6"/>
      <c r="O839" s="6"/>
      <c r="P839" s="6"/>
      <c r="Q839" s="6"/>
      <c r="R839" s="6"/>
      <c r="S839" s="6"/>
    </row>
    <row r="840" spans="1:19">
      <c r="A840" s="83"/>
      <c r="B840" s="82"/>
      <c r="C840" s="82"/>
      <c r="D840" s="82"/>
      <c r="E840" s="82"/>
      <c r="F840" s="83"/>
      <c r="G840" s="83"/>
      <c r="H840" s="83"/>
      <c r="I840" s="6"/>
      <c r="J840" s="6"/>
      <c r="K840" s="6"/>
      <c r="L840" s="6"/>
      <c r="M840" s="6"/>
      <c r="N840" s="6"/>
      <c r="O840" s="6"/>
      <c r="P840" s="6"/>
      <c r="Q840" s="6"/>
      <c r="R840" s="6"/>
      <c r="S840" s="6"/>
    </row>
    <row r="841" spans="1:19">
      <c r="A841" s="83"/>
      <c r="B841" s="82"/>
      <c r="C841" s="82"/>
      <c r="D841" s="82"/>
      <c r="E841" s="82"/>
      <c r="F841" s="83"/>
      <c r="G841" s="83"/>
      <c r="H841" s="83"/>
      <c r="I841" s="6"/>
      <c r="J841" s="6"/>
      <c r="K841" s="6"/>
      <c r="L841" s="6"/>
      <c r="M841" s="6"/>
      <c r="N841" s="6"/>
      <c r="O841" s="6"/>
      <c r="P841" s="6"/>
      <c r="Q841" s="6"/>
      <c r="R841" s="6"/>
      <c r="S841" s="6"/>
    </row>
    <row r="842" spans="1:19">
      <c r="A842" s="83"/>
      <c r="B842" s="82"/>
      <c r="C842" s="82"/>
      <c r="D842" s="82"/>
      <c r="E842" s="82"/>
      <c r="F842" s="83"/>
      <c r="G842" s="83"/>
      <c r="H842" s="83"/>
      <c r="I842" s="6"/>
      <c r="J842" s="6"/>
      <c r="K842" s="6"/>
      <c r="L842" s="6"/>
      <c r="M842" s="6"/>
      <c r="N842" s="6"/>
      <c r="O842" s="6"/>
      <c r="P842" s="6"/>
      <c r="Q842" s="6"/>
      <c r="R842" s="6"/>
      <c r="S842" s="6"/>
    </row>
    <row r="843" spans="1:19">
      <c r="A843" s="83"/>
      <c r="B843" s="82"/>
      <c r="C843" s="82"/>
      <c r="D843" s="82"/>
      <c r="E843" s="82"/>
      <c r="F843" s="83"/>
      <c r="G843" s="83"/>
      <c r="H843" s="83"/>
      <c r="I843" s="6"/>
      <c r="J843" s="6"/>
      <c r="K843" s="6"/>
      <c r="L843" s="6"/>
      <c r="M843" s="6"/>
      <c r="N843" s="6"/>
      <c r="O843" s="6"/>
      <c r="P843" s="6"/>
      <c r="Q843" s="6"/>
      <c r="R843" s="6"/>
      <c r="S843" s="6"/>
    </row>
    <row r="844" spans="1:19">
      <c r="A844" s="83"/>
      <c r="B844" s="82"/>
      <c r="C844" s="82"/>
      <c r="D844" s="82"/>
      <c r="E844" s="82"/>
      <c r="F844" s="83"/>
      <c r="G844" s="83"/>
      <c r="H844" s="83"/>
      <c r="I844" s="6"/>
      <c r="J844" s="6"/>
      <c r="K844" s="6"/>
      <c r="L844" s="6"/>
      <c r="M844" s="6"/>
      <c r="N844" s="6"/>
      <c r="O844" s="6"/>
      <c r="P844" s="6"/>
      <c r="Q844" s="6"/>
      <c r="R844" s="6"/>
      <c r="S844" s="6"/>
    </row>
    <row r="845" spans="1:19">
      <c r="A845" s="83"/>
      <c r="B845" s="82"/>
      <c r="C845" s="82"/>
      <c r="D845" s="82"/>
      <c r="E845" s="82"/>
      <c r="F845" s="83"/>
      <c r="G845" s="83"/>
      <c r="H845" s="83"/>
      <c r="I845" s="6"/>
      <c r="J845" s="6"/>
      <c r="K845" s="6"/>
      <c r="L845" s="6"/>
      <c r="M845" s="6"/>
      <c r="N845" s="6"/>
      <c r="O845" s="6"/>
      <c r="P845" s="6"/>
      <c r="Q845" s="6"/>
      <c r="R845" s="6"/>
      <c r="S845" s="6"/>
    </row>
    <row r="846" spans="1:19">
      <c r="A846" s="83"/>
      <c r="B846" s="82"/>
      <c r="C846" s="82"/>
      <c r="D846" s="82"/>
      <c r="E846" s="82"/>
      <c r="F846" s="83"/>
      <c r="G846" s="83"/>
      <c r="H846" s="83"/>
      <c r="I846" s="6"/>
      <c r="J846" s="6"/>
      <c r="K846" s="6"/>
      <c r="L846" s="6"/>
      <c r="M846" s="6"/>
      <c r="N846" s="6"/>
      <c r="O846" s="6"/>
      <c r="P846" s="6"/>
      <c r="Q846" s="6"/>
      <c r="R846" s="6"/>
      <c r="S846" s="6"/>
    </row>
    <row r="847" spans="1:19">
      <c r="A847" s="83"/>
      <c r="B847" s="82"/>
      <c r="C847" s="82"/>
      <c r="D847" s="82"/>
      <c r="E847" s="82"/>
      <c r="F847" s="83"/>
      <c r="G847" s="83"/>
      <c r="H847" s="83"/>
      <c r="I847" s="6"/>
      <c r="J847" s="6"/>
      <c r="K847" s="6"/>
      <c r="L847" s="6"/>
      <c r="M847" s="6"/>
      <c r="N847" s="6"/>
      <c r="O847" s="6"/>
      <c r="P847" s="6"/>
      <c r="Q847" s="6"/>
      <c r="R847" s="6"/>
      <c r="S847" s="6"/>
    </row>
    <row r="848" spans="1:19">
      <c r="A848" s="83"/>
      <c r="B848" s="82"/>
      <c r="C848" s="82"/>
      <c r="D848" s="82"/>
      <c r="E848" s="82"/>
      <c r="F848" s="83"/>
      <c r="G848" s="83"/>
      <c r="H848" s="83"/>
      <c r="I848" s="6"/>
      <c r="J848" s="6"/>
      <c r="K848" s="6"/>
      <c r="L848" s="6"/>
      <c r="M848" s="6"/>
      <c r="N848" s="6"/>
      <c r="O848" s="6"/>
      <c r="P848" s="6"/>
      <c r="Q848" s="6"/>
      <c r="R848" s="6"/>
      <c r="S848" s="6"/>
    </row>
    <row r="849" spans="1:19">
      <c r="A849" s="83"/>
      <c r="B849" s="82"/>
      <c r="C849" s="82"/>
      <c r="D849" s="82"/>
      <c r="E849" s="82"/>
      <c r="F849" s="83"/>
      <c r="G849" s="83"/>
      <c r="H849" s="83"/>
      <c r="I849" s="6"/>
      <c r="J849" s="6"/>
      <c r="K849" s="6"/>
      <c r="L849" s="6"/>
      <c r="M849" s="6"/>
      <c r="N849" s="6"/>
      <c r="O849" s="6"/>
      <c r="P849" s="6"/>
      <c r="Q849" s="6"/>
      <c r="R849" s="6"/>
      <c r="S849" s="6"/>
    </row>
    <row r="850" spans="1:19">
      <c r="A850" s="83"/>
      <c r="B850" s="82"/>
      <c r="C850" s="82"/>
      <c r="D850" s="82"/>
      <c r="E850" s="82"/>
      <c r="F850" s="83"/>
      <c r="G850" s="83"/>
      <c r="H850" s="83"/>
      <c r="I850" s="6"/>
      <c r="J850" s="6"/>
      <c r="K850" s="6"/>
      <c r="L850" s="6"/>
      <c r="M850" s="6"/>
      <c r="N850" s="6"/>
      <c r="O850" s="6"/>
      <c r="P850" s="6"/>
      <c r="Q850" s="6"/>
      <c r="R850" s="6"/>
      <c r="S850" s="6"/>
    </row>
    <row r="851" spans="1:19">
      <c r="A851" s="83"/>
      <c r="B851" s="82"/>
      <c r="C851" s="82"/>
      <c r="D851" s="82"/>
      <c r="E851" s="82"/>
      <c r="F851" s="83"/>
      <c r="G851" s="83"/>
      <c r="H851" s="83"/>
      <c r="I851" s="6"/>
      <c r="J851" s="6"/>
      <c r="K851" s="6"/>
      <c r="L851" s="6"/>
      <c r="M851" s="6"/>
      <c r="N851" s="6"/>
      <c r="O851" s="6"/>
      <c r="P851" s="6"/>
      <c r="Q851" s="6"/>
      <c r="R851" s="6"/>
      <c r="S851" s="6"/>
    </row>
    <row r="852" spans="1:19">
      <c r="A852" s="83"/>
      <c r="B852" s="82"/>
      <c r="C852" s="82"/>
      <c r="D852" s="82"/>
      <c r="E852" s="82"/>
      <c r="F852" s="83"/>
      <c r="G852" s="83"/>
      <c r="H852" s="83"/>
      <c r="I852" s="6"/>
      <c r="J852" s="6"/>
      <c r="K852" s="6"/>
      <c r="L852" s="6"/>
      <c r="M852" s="6"/>
      <c r="N852" s="6"/>
      <c r="O852" s="6"/>
      <c r="P852" s="6"/>
      <c r="Q852" s="6"/>
      <c r="R852" s="6"/>
      <c r="S852" s="6"/>
    </row>
    <row r="853" spans="1:19">
      <c r="A853" s="83"/>
      <c r="B853" s="82"/>
      <c r="C853" s="82"/>
      <c r="D853" s="82"/>
      <c r="E853" s="82"/>
      <c r="F853" s="83"/>
      <c r="G853" s="83"/>
      <c r="H853" s="83"/>
      <c r="I853" s="6"/>
      <c r="J853" s="6"/>
      <c r="K853" s="6"/>
      <c r="L853" s="6"/>
      <c r="M853" s="6"/>
      <c r="N853" s="6"/>
      <c r="O853" s="6"/>
      <c r="P853" s="6"/>
      <c r="Q853" s="6"/>
      <c r="R853" s="6"/>
      <c r="S853" s="6"/>
    </row>
    <row r="854" spans="1:19">
      <c r="A854" s="83"/>
      <c r="B854" s="82"/>
      <c r="C854" s="82"/>
      <c r="D854" s="82"/>
      <c r="E854" s="82"/>
      <c r="F854" s="83"/>
      <c r="G854" s="83"/>
      <c r="H854" s="83"/>
      <c r="I854" s="6"/>
      <c r="J854" s="6"/>
      <c r="K854" s="6"/>
      <c r="L854" s="6"/>
      <c r="M854" s="6"/>
      <c r="N854" s="6"/>
      <c r="O854" s="6"/>
      <c r="P854" s="6"/>
      <c r="Q854" s="6"/>
      <c r="R854" s="6"/>
      <c r="S854" s="6"/>
    </row>
    <row r="855" spans="1:19">
      <c r="A855" s="83"/>
      <c r="B855" s="82"/>
      <c r="C855" s="82"/>
      <c r="D855" s="82"/>
      <c r="E855" s="82"/>
      <c r="F855" s="83"/>
      <c r="G855" s="83"/>
      <c r="H855" s="83"/>
      <c r="I855" s="6"/>
      <c r="J855" s="6"/>
      <c r="K855" s="6"/>
      <c r="L855" s="6"/>
      <c r="M855" s="6"/>
      <c r="N855" s="6"/>
      <c r="O855" s="6"/>
      <c r="P855" s="6"/>
      <c r="Q855" s="6"/>
      <c r="R855" s="6"/>
      <c r="S855" s="6"/>
    </row>
    <row r="856" spans="1:19">
      <c r="A856" s="83"/>
      <c r="B856" s="82"/>
      <c r="C856" s="82"/>
      <c r="D856" s="82"/>
      <c r="E856" s="82"/>
      <c r="F856" s="83"/>
      <c r="G856" s="83"/>
      <c r="H856" s="83"/>
      <c r="I856" s="6"/>
      <c r="J856" s="6"/>
      <c r="K856" s="6"/>
      <c r="L856" s="6"/>
      <c r="M856" s="6"/>
      <c r="N856" s="6"/>
      <c r="O856" s="6"/>
      <c r="P856" s="6"/>
      <c r="Q856" s="6"/>
      <c r="R856" s="6"/>
      <c r="S856" s="6"/>
    </row>
    <row r="857" spans="1:19">
      <c r="A857" s="83"/>
      <c r="B857" s="82"/>
      <c r="C857" s="82"/>
      <c r="D857" s="82"/>
      <c r="E857" s="82"/>
      <c r="F857" s="83"/>
      <c r="G857" s="83"/>
      <c r="H857" s="83"/>
      <c r="I857" s="6"/>
      <c r="J857" s="6"/>
      <c r="K857" s="6"/>
      <c r="L857" s="6"/>
      <c r="M857" s="6"/>
      <c r="N857" s="6"/>
      <c r="O857" s="6"/>
      <c r="P857" s="6"/>
      <c r="Q857" s="6"/>
      <c r="R857" s="6"/>
      <c r="S857" s="6"/>
    </row>
    <row r="858" spans="1:19">
      <c r="A858" s="83"/>
      <c r="B858" s="82"/>
      <c r="C858" s="82"/>
      <c r="D858" s="82"/>
      <c r="E858" s="82"/>
      <c r="F858" s="83"/>
      <c r="G858" s="83"/>
      <c r="H858" s="83"/>
      <c r="I858" s="6"/>
      <c r="J858" s="6"/>
      <c r="K858" s="6"/>
      <c r="L858" s="6"/>
      <c r="M858" s="6"/>
      <c r="N858" s="6"/>
      <c r="O858" s="6"/>
      <c r="P858" s="6"/>
      <c r="Q858" s="6"/>
      <c r="R858" s="6"/>
      <c r="S858" s="6"/>
    </row>
    <row r="859" spans="1:19">
      <c r="A859" s="83"/>
      <c r="B859" s="82"/>
      <c r="C859" s="82"/>
      <c r="D859" s="82"/>
      <c r="E859" s="82"/>
      <c r="F859" s="83"/>
      <c r="G859" s="83"/>
      <c r="H859" s="83"/>
      <c r="I859" s="6"/>
      <c r="J859" s="6"/>
      <c r="K859" s="6"/>
      <c r="L859" s="6"/>
      <c r="M859" s="6"/>
      <c r="N859" s="6"/>
      <c r="O859" s="6"/>
      <c r="P859" s="6"/>
      <c r="Q859" s="6"/>
      <c r="R859" s="6"/>
      <c r="S859" s="6"/>
    </row>
    <row r="860" spans="1:19">
      <c r="A860" s="83"/>
      <c r="B860" s="82"/>
      <c r="C860" s="82"/>
      <c r="D860" s="82"/>
      <c r="E860" s="82"/>
      <c r="F860" s="83"/>
      <c r="G860" s="83"/>
      <c r="H860" s="83"/>
      <c r="I860" s="6"/>
      <c r="J860" s="6"/>
      <c r="K860" s="6"/>
      <c r="L860" s="6"/>
      <c r="M860" s="6"/>
      <c r="N860" s="6"/>
      <c r="O860" s="6"/>
      <c r="P860" s="6"/>
      <c r="Q860" s="6"/>
      <c r="R860" s="6"/>
      <c r="S860" s="6"/>
    </row>
    <row r="861" spans="1:19">
      <c r="A861" s="83"/>
      <c r="B861" s="82"/>
      <c r="C861" s="82"/>
      <c r="D861" s="82"/>
      <c r="E861" s="82"/>
      <c r="F861" s="83"/>
      <c r="G861" s="83"/>
      <c r="H861" s="83"/>
      <c r="I861" s="6"/>
      <c r="J861" s="6"/>
      <c r="K861" s="6"/>
      <c r="L861" s="6"/>
      <c r="M861" s="6"/>
      <c r="N861" s="6"/>
      <c r="O861" s="6"/>
      <c r="P861" s="6"/>
      <c r="Q861" s="6"/>
      <c r="R861" s="6"/>
      <c r="S861" s="6"/>
    </row>
    <row r="862" spans="1:19">
      <c r="A862" s="83"/>
      <c r="B862" s="82"/>
      <c r="C862" s="82"/>
      <c r="D862" s="82"/>
      <c r="E862" s="82"/>
      <c r="F862" s="83"/>
      <c r="G862" s="83"/>
      <c r="H862" s="83"/>
      <c r="I862" s="6"/>
      <c r="J862" s="6"/>
      <c r="K862" s="6"/>
      <c r="L862" s="6"/>
      <c r="M862" s="6"/>
      <c r="N862" s="6"/>
      <c r="O862" s="6"/>
      <c r="P862" s="6"/>
      <c r="Q862" s="6"/>
      <c r="R862" s="6"/>
      <c r="S862" s="6"/>
    </row>
    <row r="863" spans="1:19">
      <c r="A863" s="83"/>
      <c r="B863" s="82"/>
      <c r="C863" s="82"/>
      <c r="D863" s="82"/>
      <c r="E863" s="82"/>
      <c r="F863" s="83"/>
      <c r="G863" s="83"/>
      <c r="H863" s="83"/>
      <c r="I863" s="6"/>
      <c r="J863" s="6"/>
      <c r="K863" s="6"/>
      <c r="L863" s="6"/>
      <c r="M863" s="6"/>
      <c r="N863" s="6"/>
      <c r="O863" s="6"/>
      <c r="P863" s="6"/>
      <c r="Q863" s="6"/>
      <c r="R863" s="6"/>
      <c r="S863" s="6"/>
    </row>
    <row r="864" spans="1:19">
      <c r="A864" s="83"/>
      <c r="B864" s="82"/>
      <c r="C864" s="82"/>
      <c r="D864" s="82"/>
      <c r="E864" s="82"/>
      <c r="F864" s="83"/>
      <c r="G864" s="83"/>
      <c r="H864" s="83"/>
      <c r="I864" s="6"/>
      <c r="J864" s="6"/>
      <c r="K864" s="6"/>
      <c r="L864" s="6"/>
      <c r="M864" s="6"/>
      <c r="N864" s="6"/>
      <c r="O864" s="6"/>
      <c r="P864" s="6"/>
      <c r="Q864" s="6"/>
      <c r="R864" s="6"/>
      <c r="S864" s="6"/>
    </row>
    <row r="865" spans="1:19">
      <c r="A865" s="83"/>
      <c r="B865" s="82"/>
      <c r="C865" s="82"/>
      <c r="D865" s="82"/>
      <c r="E865" s="82"/>
      <c r="F865" s="83"/>
      <c r="G865" s="83"/>
      <c r="H865" s="83"/>
      <c r="I865" s="6"/>
      <c r="J865" s="6"/>
      <c r="K865" s="6"/>
      <c r="L865" s="6"/>
      <c r="M865" s="6"/>
      <c r="N865" s="6"/>
      <c r="O865" s="6"/>
      <c r="P865" s="6"/>
      <c r="Q865" s="6"/>
      <c r="R865" s="6"/>
      <c r="S865" s="6"/>
    </row>
    <row r="866" spans="1:19">
      <c r="A866" s="83"/>
      <c r="B866" s="82"/>
      <c r="C866" s="82"/>
      <c r="D866" s="82"/>
      <c r="E866" s="82"/>
      <c r="F866" s="83"/>
      <c r="G866" s="83"/>
      <c r="H866" s="83"/>
      <c r="I866" s="6"/>
      <c r="J866" s="6"/>
      <c r="K866" s="6"/>
      <c r="L866" s="6"/>
      <c r="M866" s="6"/>
      <c r="N866" s="6"/>
      <c r="O866" s="6"/>
      <c r="P866" s="6"/>
      <c r="Q866" s="6"/>
      <c r="R866" s="6"/>
      <c r="S866" s="6"/>
    </row>
    <row r="867" spans="1:19">
      <c r="A867" s="83"/>
      <c r="B867" s="82"/>
      <c r="C867" s="82"/>
      <c r="D867" s="82"/>
      <c r="E867" s="82"/>
      <c r="F867" s="83"/>
      <c r="G867" s="83"/>
      <c r="H867" s="83"/>
      <c r="I867" s="6"/>
      <c r="J867" s="6"/>
      <c r="K867" s="6"/>
      <c r="L867" s="6"/>
      <c r="M867" s="6"/>
      <c r="N867" s="6"/>
      <c r="O867" s="6"/>
      <c r="P867" s="6"/>
      <c r="Q867" s="6"/>
      <c r="R867" s="6"/>
      <c r="S867" s="6"/>
    </row>
    <row r="868" spans="1:19">
      <c r="A868" s="83"/>
      <c r="B868" s="82"/>
      <c r="C868" s="82"/>
      <c r="D868" s="82"/>
      <c r="E868" s="82"/>
      <c r="F868" s="83"/>
      <c r="G868" s="83"/>
      <c r="H868" s="83"/>
      <c r="I868" s="6"/>
      <c r="J868" s="6"/>
      <c r="K868" s="6"/>
      <c r="L868" s="6"/>
      <c r="M868" s="6"/>
      <c r="N868" s="6"/>
      <c r="O868" s="6"/>
      <c r="P868" s="6"/>
      <c r="Q868" s="6"/>
      <c r="R868" s="6"/>
      <c r="S868" s="6"/>
    </row>
    <row r="869" spans="1:19">
      <c r="A869" s="83"/>
      <c r="B869" s="82"/>
      <c r="C869" s="82"/>
      <c r="D869" s="82"/>
      <c r="E869" s="82"/>
      <c r="F869" s="83"/>
      <c r="G869" s="83"/>
      <c r="H869" s="83"/>
      <c r="I869" s="6"/>
      <c r="J869" s="6"/>
      <c r="K869" s="6"/>
      <c r="L869" s="6"/>
      <c r="M869" s="6"/>
      <c r="N869" s="6"/>
      <c r="O869" s="6"/>
      <c r="P869" s="6"/>
      <c r="Q869" s="6"/>
      <c r="R869" s="6"/>
      <c r="S869" s="6"/>
    </row>
    <row r="870" spans="1:19">
      <c r="A870" s="83"/>
      <c r="B870" s="82"/>
      <c r="C870" s="82"/>
      <c r="D870" s="82"/>
      <c r="E870" s="82"/>
      <c r="F870" s="83"/>
      <c r="G870" s="83"/>
      <c r="H870" s="83"/>
      <c r="I870" s="6"/>
      <c r="J870" s="6"/>
      <c r="K870" s="6"/>
      <c r="L870" s="6"/>
      <c r="M870" s="6"/>
      <c r="N870" s="6"/>
      <c r="O870" s="6"/>
      <c r="P870" s="6"/>
      <c r="Q870" s="6"/>
      <c r="R870" s="6"/>
      <c r="S870" s="6"/>
    </row>
    <row r="871" spans="1:19">
      <c r="A871" s="83"/>
      <c r="B871" s="82"/>
      <c r="C871" s="82"/>
      <c r="D871" s="82"/>
      <c r="E871" s="82"/>
      <c r="F871" s="83"/>
      <c r="G871" s="83"/>
      <c r="H871" s="83"/>
      <c r="I871" s="6"/>
      <c r="J871" s="6"/>
      <c r="K871" s="6"/>
      <c r="L871" s="6"/>
      <c r="M871" s="6"/>
      <c r="N871" s="6"/>
      <c r="O871" s="6"/>
      <c r="P871" s="6"/>
      <c r="Q871" s="6"/>
      <c r="R871" s="6"/>
      <c r="S871" s="6"/>
    </row>
    <row r="872" spans="1:19">
      <c r="A872" s="83"/>
      <c r="B872" s="82"/>
      <c r="C872" s="82"/>
      <c r="D872" s="82"/>
      <c r="E872" s="82"/>
      <c r="F872" s="83"/>
      <c r="G872" s="83"/>
      <c r="H872" s="83"/>
      <c r="I872" s="6"/>
      <c r="J872" s="6"/>
      <c r="K872" s="6"/>
      <c r="L872" s="6"/>
      <c r="M872" s="6"/>
      <c r="N872" s="6"/>
      <c r="O872" s="6"/>
      <c r="P872" s="6"/>
      <c r="Q872" s="6"/>
      <c r="R872" s="6"/>
      <c r="S872" s="6"/>
    </row>
    <row r="873" spans="1:19">
      <c r="A873" s="83"/>
      <c r="B873" s="82"/>
      <c r="C873" s="82"/>
      <c r="D873" s="82"/>
      <c r="E873" s="82"/>
      <c r="F873" s="83"/>
      <c r="G873" s="83"/>
      <c r="H873" s="83"/>
      <c r="I873" s="6"/>
      <c r="J873" s="6"/>
      <c r="K873" s="6"/>
      <c r="L873" s="6"/>
      <c r="M873" s="6"/>
      <c r="N873" s="6"/>
      <c r="O873" s="6"/>
      <c r="P873" s="6"/>
      <c r="Q873" s="6"/>
      <c r="R873" s="6"/>
      <c r="S873" s="6"/>
    </row>
    <row r="874" spans="1:19">
      <c r="A874" s="83"/>
      <c r="B874" s="82"/>
      <c r="C874" s="82"/>
      <c r="D874" s="82"/>
      <c r="E874" s="82"/>
      <c r="F874" s="83"/>
      <c r="G874" s="83"/>
      <c r="H874" s="83"/>
      <c r="I874" s="6"/>
      <c r="J874" s="6"/>
      <c r="K874" s="6"/>
      <c r="L874" s="6"/>
      <c r="M874" s="6"/>
      <c r="N874" s="6"/>
      <c r="O874" s="6"/>
      <c r="P874" s="6"/>
      <c r="Q874" s="6"/>
      <c r="R874" s="6"/>
      <c r="S874" s="6"/>
    </row>
    <row r="875" spans="1:19">
      <c r="A875" s="83"/>
      <c r="B875" s="82"/>
      <c r="C875" s="82"/>
      <c r="D875" s="82"/>
      <c r="E875" s="82"/>
      <c r="F875" s="83"/>
      <c r="G875" s="83"/>
      <c r="H875" s="83"/>
      <c r="I875" s="6"/>
      <c r="J875" s="6"/>
      <c r="K875" s="6"/>
      <c r="L875" s="6"/>
      <c r="M875" s="6"/>
      <c r="N875" s="6"/>
      <c r="O875" s="6"/>
      <c r="P875" s="6"/>
      <c r="Q875" s="6"/>
      <c r="R875" s="6"/>
      <c r="S875" s="6"/>
    </row>
    <row r="876" spans="1:19">
      <c r="A876" s="83"/>
      <c r="B876" s="82"/>
      <c r="C876" s="82"/>
      <c r="D876" s="82"/>
      <c r="E876" s="82"/>
      <c r="F876" s="83"/>
      <c r="G876" s="83"/>
      <c r="H876" s="83"/>
      <c r="I876" s="6"/>
      <c r="J876" s="6"/>
      <c r="K876" s="6"/>
      <c r="L876" s="6"/>
      <c r="M876" s="6"/>
      <c r="N876" s="6"/>
      <c r="O876" s="6"/>
      <c r="P876" s="6"/>
      <c r="Q876" s="6"/>
      <c r="R876" s="6"/>
      <c r="S876" s="6"/>
    </row>
    <row r="877" spans="1:19">
      <c r="A877" s="83"/>
      <c r="B877" s="82"/>
      <c r="C877" s="82"/>
      <c r="D877" s="82"/>
      <c r="E877" s="82"/>
      <c r="F877" s="83"/>
      <c r="G877" s="83"/>
      <c r="H877" s="83"/>
      <c r="I877" s="6"/>
      <c r="J877" s="6"/>
      <c r="K877" s="6"/>
      <c r="L877" s="6"/>
      <c r="M877" s="6"/>
      <c r="N877" s="6"/>
      <c r="O877" s="6"/>
      <c r="P877" s="6"/>
      <c r="Q877" s="6"/>
      <c r="R877" s="6"/>
      <c r="S877" s="6"/>
    </row>
    <row r="878" spans="1:19">
      <c r="A878" s="83"/>
      <c r="B878" s="82"/>
      <c r="C878" s="82"/>
      <c r="D878" s="82"/>
      <c r="E878" s="82"/>
      <c r="F878" s="83"/>
      <c r="G878" s="83"/>
      <c r="H878" s="83"/>
      <c r="I878" s="6"/>
      <c r="J878" s="6"/>
      <c r="K878" s="6"/>
      <c r="L878" s="6"/>
      <c r="M878" s="6"/>
      <c r="N878" s="6"/>
      <c r="O878" s="6"/>
      <c r="P878" s="6"/>
      <c r="Q878" s="6"/>
      <c r="R878" s="6"/>
      <c r="S878" s="6"/>
    </row>
    <row r="879" spans="1:19">
      <c r="A879" s="83"/>
      <c r="B879" s="82"/>
      <c r="C879" s="82"/>
      <c r="D879" s="82"/>
      <c r="E879" s="82"/>
      <c r="F879" s="83"/>
      <c r="G879" s="83"/>
      <c r="H879" s="83"/>
      <c r="I879" s="6"/>
      <c r="J879" s="6"/>
      <c r="K879" s="6"/>
      <c r="L879" s="6"/>
      <c r="M879" s="6"/>
      <c r="N879" s="6"/>
      <c r="O879" s="6"/>
      <c r="P879" s="6"/>
      <c r="Q879" s="6"/>
      <c r="R879" s="6"/>
      <c r="S879" s="6"/>
    </row>
    <row r="880" spans="1:19">
      <c r="A880" s="83"/>
      <c r="B880" s="82"/>
      <c r="C880" s="82"/>
      <c r="D880" s="82"/>
      <c r="E880" s="82"/>
      <c r="F880" s="83"/>
      <c r="G880" s="83"/>
      <c r="H880" s="83"/>
      <c r="I880" s="6"/>
      <c r="J880" s="6"/>
      <c r="K880" s="6"/>
      <c r="L880" s="6"/>
      <c r="M880" s="6"/>
      <c r="N880" s="6"/>
      <c r="O880" s="6"/>
      <c r="P880" s="6"/>
      <c r="Q880" s="6"/>
      <c r="R880" s="6"/>
      <c r="S880" s="6"/>
    </row>
    <row r="881" spans="1:19">
      <c r="A881" s="83"/>
      <c r="B881" s="82"/>
      <c r="C881" s="82"/>
      <c r="D881" s="82"/>
      <c r="E881" s="82"/>
      <c r="F881" s="83"/>
      <c r="G881" s="83"/>
      <c r="H881" s="83"/>
      <c r="I881" s="6"/>
      <c r="J881" s="6"/>
      <c r="K881" s="6"/>
      <c r="L881" s="6"/>
      <c r="M881" s="6"/>
      <c r="N881" s="6"/>
      <c r="O881" s="6"/>
      <c r="P881" s="6"/>
      <c r="Q881" s="6"/>
      <c r="R881" s="6"/>
      <c r="S881" s="6"/>
    </row>
    <row r="882" spans="1:19">
      <c r="A882" s="83"/>
      <c r="B882" s="82"/>
      <c r="C882" s="82"/>
      <c r="D882" s="82"/>
      <c r="E882" s="82"/>
      <c r="F882" s="83"/>
      <c r="G882" s="83"/>
      <c r="H882" s="83"/>
      <c r="I882" s="6"/>
      <c r="J882" s="6"/>
      <c r="K882" s="6"/>
      <c r="L882" s="6"/>
      <c r="M882" s="6"/>
      <c r="N882" s="6"/>
      <c r="O882" s="6"/>
      <c r="P882" s="6"/>
      <c r="Q882" s="6"/>
      <c r="R882" s="6"/>
      <c r="S882" s="6"/>
    </row>
    <row r="883" spans="1:19">
      <c r="A883" s="83"/>
      <c r="B883" s="82"/>
      <c r="C883" s="82"/>
      <c r="D883" s="82"/>
      <c r="E883" s="82"/>
      <c r="F883" s="83"/>
      <c r="G883" s="83"/>
      <c r="H883" s="83"/>
      <c r="I883" s="6"/>
      <c r="J883" s="6"/>
      <c r="K883" s="6"/>
      <c r="L883" s="6"/>
      <c r="M883" s="6"/>
      <c r="N883" s="6"/>
      <c r="O883" s="6"/>
      <c r="P883" s="6"/>
      <c r="Q883" s="6"/>
      <c r="R883" s="6"/>
      <c r="S883" s="6"/>
    </row>
    <row r="884" spans="1:19">
      <c r="A884" s="83"/>
      <c r="B884" s="82"/>
      <c r="C884" s="82"/>
      <c r="D884" s="82"/>
      <c r="E884" s="82"/>
      <c r="F884" s="83"/>
      <c r="G884" s="83"/>
      <c r="H884" s="83"/>
      <c r="I884" s="6"/>
      <c r="J884" s="6"/>
      <c r="K884" s="6"/>
      <c r="L884" s="6"/>
      <c r="M884" s="6"/>
      <c r="N884" s="6"/>
      <c r="O884" s="6"/>
      <c r="P884" s="6"/>
      <c r="Q884" s="6"/>
      <c r="R884" s="6"/>
      <c r="S884" s="6"/>
    </row>
    <row r="885" spans="1:19">
      <c r="A885" s="83"/>
      <c r="B885" s="82"/>
      <c r="C885" s="82"/>
      <c r="D885" s="82"/>
      <c r="E885" s="82"/>
      <c r="F885" s="83"/>
      <c r="G885" s="83"/>
      <c r="H885" s="83"/>
      <c r="I885" s="6"/>
      <c r="J885" s="6"/>
      <c r="K885" s="6"/>
      <c r="L885" s="6"/>
      <c r="M885" s="6"/>
      <c r="N885" s="6"/>
      <c r="O885" s="6"/>
      <c r="P885" s="6"/>
      <c r="Q885" s="6"/>
      <c r="R885" s="6"/>
      <c r="S885" s="6"/>
    </row>
    <row r="886" spans="1:19">
      <c r="A886" s="83"/>
      <c r="B886" s="82"/>
      <c r="C886" s="82"/>
      <c r="D886" s="82"/>
      <c r="E886" s="82"/>
      <c r="F886" s="83"/>
      <c r="G886" s="83"/>
      <c r="H886" s="83"/>
      <c r="I886" s="6"/>
      <c r="J886" s="6"/>
      <c r="K886" s="6"/>
      <c r="L886" s="6"/>
      <c r="M886" s="6"/>
      <c r="N886" s="6"/>
      <c r="O886" s="6"/>
      <c r="P886" s="6"/>
      <c r="Q886" s="6"/>
      <c r="R886" s="6"/>
      <c r="S886" s="6"/>
    </row>
    <row r="887" spans="1:19">
      <c r="A887" s="83"/>
      <c r="B887" s="82"/>
      <c r="C887" s="82"/>
      <c r="D887" s="82"/>
      <c r="E887" s="82"/>
      <c r="F887" s="83"/>
      <c r="G887" s="83"/>
      <c r="H887" s="83"/>
      <c r="I887" s="6"/>
      <c r="J887" s="6"/>
      <c r="K887" s="6"/>
      <c r="L887" s="6"/>
      <c r="M887" s="6"/>
      <c r="N887" s="6"/>
      <c r="O887" s="6"/>
      <c r="P887" s="6"/>
      <c r="Q887" s="6"/>
      <c r="R887" s="6"/>
      <c r="S887" s="6"/>
    </row>
    <row r="888" spans="1:19">
      <c r="A888" s="83"/>
      <c r="B888" s="82"/>
      <c r="C888" s="82"/>
      <c r="D888" s="82"/>
      <c r="E888" s="82"/>
      <c r="F888" s="83"/>
      <c r="G888" s="83"/>
      <c r="H888" s="83"/>
      <c r="I888" s="6"/>
      <c r="J888" s="6"/>
      <c r="K888" s="6"/>
      <c r="L888" s="6"/>
      <c r="M888" s="6"/>
      <c r="N888" s="6"/>
      <c r="O888" s="6"/>
      <c r="P888" s="6"/>
      <c r="Q888" s="6"/>
      <c r="R888" s="6"/>
      <c r="S888" s="6"/>
    </row>
    <row r="889" spans="1:19">
      <c r="A889" s="83"/>
      <c r="B889" s="82"/>
      <c r="C889" s="82"/>
      <c r="D889" s="82"/>
      <c r="E889" s="82"/>
      <c r="F889" s="83"/>
      <c r="G889" s="83"/>
      <c r="H889" s="83"/>
      <c r="I889" s="6"/>
      <c r="J889" s="6"/>
      <c r="K889" s="6"/>
      <c r="L889" s="6"/>
      <c r="M889" s="6"/>
      <c r="N889" s="6"/>
      <c r="O889" s="6"/>
      <c r="P889" s="6"/>
      <c r="Q889" s="6"/>
      <c r="R889" s="6"/>
      <c r="S889" s="6"/>
    </row>
    <row r="890" spans="1:19">
      <c r="A890" s="83"/>
      <c r="B890" s="82"/>
      <c r="C890" s="82"/>
      <c r="D890" s="82"/>
      <c r="E890" s="82"/>
      <c r="F890" s="83"/>
      <c r="G890" s="83"/>
      <c r="H890" s="83"/>
      <c r="I890" s="6"/>
      <c r="J890" s="6"/>
      <c r="K890" s="6"/>
      <c r="L890" s="6"/>
      <c r="M890" s="6"/>
      <c r="N890" s="6"/>
      <c r="O890" s="6"/>
      <c r="P890" s="6"/>
      <c r="Q890" s="6"/>
      <c r="R890" s="6"/>
      <c r="S890" s="6"/>
    </row>
    <row r="891" spans="1:19">
      <c r="A891" s="83"/>
      <c r="B891" s="82"/>
      <c r="C891" s="82"/>
      <c r="D891" s="82"/>
      <c r="E891" s="82"/>
      <c r="F891" s="83"/>
      <c r="G891" s="83"/>
      <c r="H891" s="83"/>
      <c r="I891" s="6"/>
      <c r="J891" s="6"/>
      <c r="K891" s="6"/>
      <c r="L891" s="6"/>
      <c r="M891" s="6"/>
      <c r="N891" s="6"/>
      <c r="O891" s="6"/>
      <c r="P891" s="6"/>
      <c r="Q891" s="6"/>
      <c r="R891" s="6"/>
      <c r="S891" s="6"/>
    </row>
    <row r="892" spans="1:19">
      <c r="A892" s="83"/>
      <c r="B892" s="82"/>
      <c r="C892" s="82"/>
      <c r="D892" s="82"/>
      <c r="E892" s="82"/>
      <c r="F892" s="83"/>
      <c r="G892" s="83"/>
      <c r="H892" s="83"/>
      <c r="I892" s="6"/>
      <c r="J892" s="6"/>
      <c r="K892" s="6"/>
      <c r="L892" s="6"/>
      <c r="M892" s="6"/>
      <c r="N892" s="6"/>
      <c r="O892" s="6"/>
      <c r="P892" s="6"/>
      <c r="Q892" s="6"/>
      <c r="R892" s="6"/>
      <c r="S892" s="6"/>
    </row>
    <row r="893" spans="1:19">
      <c r="A893" s="83"/>
      <c r="B893" s="82"/>
      <c r="C893" s="82"/>
      <c r="D893" s="82"/>
      <c r="E893" s="82"/>
      <c r="F893" s="83"/>
      <c r="G893" s="83"/>
      <c r="H893" s="83"/>
      <c r="I893" s="6"/>
      <c r="J893" s="6"/>
      <c r="K893" s="6"/>
      <c r="L893" s="6"/>
      <c r="M893" s="6"/>
      <c r="N893" s="6"/>
      <c r="O893" s="6"/>
      <c r="P893" s="6"/>
      <c r="Q893" s="6"/>
      <c r="R893" s="6"/>
      <c r="S893" s="6"/>
    </row>
    <row r="894" spans="1:19">
      <c r="A894" s="83"/>
      <c r="B894" s="82"/>
      <c r="C894" s="82"/>
      <c r="D894" s="82"/>
      <c r="E894" s="82"/>
      <c r="F894" s="83"/>
      <c r="G894" s="83"/>
      <c r="H894" s="83"/>
      <c r="I894" s="6"/>
      <c r="J894" s="6"/>
      <c r="K894" s="6"/>
      <c r="L894" s="6"/>
      <c r="M894" s="6"/>
      <c r="N894" s="6"/>
      <c r="O894" s="6"/>
      <c r="P894" s="6"/>
      <c r="Q894" s="6"/>
      <c r="R894" s="6"/>
      <c r="S894" s="6"/>
    </row>
    <row r="895" spans="1:19">
      <c r="A895" s="83"/>
      <c r="B895" s="82"/>
      <c r="C895" s="82"/>
      <c r="D895" s="82"/>
      <c r="E895" s="82"/>
      <c r="F895" s="83"/>
      <c r="G895" s="83"/>
      <c r="H895" s="83"/>
      <c r="I895" s="6"/>
      <c r="J895" s="6"/>
      <c r="K895" s="6"/>
      <c r="L895" s="6"/>
      <c r="M895" s="6"/>
      <c r="N895" s="6"/>
      <c r="O895" s="6"/>
      <c r="P895" s="6"/>
      <c r="Q895" s="6"/>
      <c r="R895" s="6"/>
      <c r="S895" s="6"/>
    </row>
    <row r="896" spans="1:19">
      <c r="A896" s="83"/>
      <c r="B896" s="82"/>
      <c r="C896" s="82"/>
      <c r="D896" s="82"/>
      <c r="E896" s="82"/>
      <c r="F896" s="83"/>
      <c r="G896" s="83"/>
      <c r="H896" s="83"/>
      <c r="I896" s="6"/>
      <c r="J896" s="6"/>
      <c r="K896" s="6"/>
      <c r="L896" s="6"/>
      <c r="M896" s="6"/>
      <c r="N896" s="6"/>
      <c r="O896" s="6"/>
      <c r="P896" s="6"/>
      <c r="Q896" s="6"/>
      <c r="R896" s="6"/>
      <c r="S896" s="6"/>
    </row>
    <row r="897" spans="1:19">
      <c r="A897" s="83"/>
      <c r="B897" s="82"/>
      <c r="C897" s="82"/>
      <c r="D897" s="82"/>
      <c r="E897" s="82"/>
      <c r="F897" s="83"/>
      <c r="G897" s="83"/>
      <c r="H897" s="83"/>
      <c r="I897" s="6"/>
      <c r="J897" s="6"/>
      <c r="K897" s="6"/>
      <c r="L897" s="6"/>
      <c r="M897" s="6"/>
      <c r="N897" s="6"/>
      <c r="O897" s="6"/>
      <c r="P897" s="6"/>
      <c r="Q897" s="6"/>
      <c r="R897" s="6"/>
      <c r="S897" s="6"/>
    </row>
    <row r="898" spans="1:19">
      <c r="A898" s="83"/>
      <c r="B898" s="82"/>
      <c r="C898" s="82"/>
      <c r="D898" s="82"/>
      <c r="E898" s="82"/>
      <c r="F898" s="83"/>
      <c r="G898" s="83"/>
      <c r="H898" s="83"/>
      <c r="I898" s="6"/>
      <c r="J898" s="6"/>
      <c r="K898" s="6"/>
      <c r="L898" s="6"/>
      <c r="M898" s="6"/>
      <c r="N898" s="6"/>
      <c r="O898" s="6"/>
      <c r="P898" s="6"/>
      <c r="Q898" s="6"/>
      <c r="R898" s="6"/>
      <c r="S898" s="6"/>
    </row>
    <row r="899" spans="1:19">
      <c r="A899" s="83"/>
      <c r="B899" s="82"/>
      <c r="C899" s="82"/>
      <c r="D899" s="82"/>
      <c r="E899" s="82"/>
      <c r="F899" s="83"/>
      <c r="G899" s="83"/>
      <c r="H899" s="83"/>
      <c r="I899" s="6"/>
      <c r="J899" s="6"/>
      <c r="K899" s="6"/>
      <c r="L899" s="6"/>
      <c r="M899" s="6"/>
      <c r="N899" s="6"/>
      <c r="O899" s="6"/>
      <c r="P899" s="6"/>
      <c r="Q899" s="6"/>
      <c r="R899" s="6"/>
      <c r="S899" s="6"/>
    </row>
    <row r="900" spans="1:19">
      <c r="A900" s="83"/>
      <c r="B900" s="82"/>
      <c r="C900" s="82"/>
      <c r="D900" s="82"/>
      <c r="E900" s="82"/>
      <c r="F900" s="83"/>
      <c r="G900" s="83"/>
      <c r="H900" s="83"/>
      <c r="I900" s="6"/>
      <c r="J900" s="6"/>
      <c r="K900" s="6"/>
      <c r="L900" s="6"/>
      <c r="M900" s="6"/>
      <c r="N900" s="6"/>
      <c r="O900" s="6"/>
      <c r="P900" s="6"/>
      <c r="Q900" s="6"/>
      <c r="R900" s="6"/>
      <c r="S900" s="6"/>
    </row>
    <row r="901" spans="1:19">
      <c r="A901" s="83"/>
      <c r="B901" s="82"/>
      <c r="C901" s="82"/>
      <c r="D901" s="82"/>
      <c r="E901" s="82"/>
      <c r="F901" s="83"/>
      <c r="G901" s="83"/>
      <c r="H901" s="83"/>
      <c r="I901" s="6"/>
      <c r="J901" s="6"/>
      <c r="K901" s="6"/>
      <c r="L901" s="6"/>
      <c r="M901" s="6"/>
      <c r="N901" s="6"/>
      <c r="O901" s="6"/>
      <c r="P901" s="6"/>
      <c r="Q901" s="6"/>
      <c r="R901" s="6"/>
      <c r="S901" s="6"/>
    </row>
    <row r="902" spans="1:19">
      <c r="A902" s="83"/>
      <c r="B902" s="82"/>
      <c r="C902" s="82"/>
      <c r="D902" s="82"/>
      <c r="E902" s="82"/>
      <c r="F902" s="83"/>
      <c r="G902" s="83"/>
      <c r="H902" s="83"/>
      <c r="I902" s="6"/>
      <c r="J902" s="6"/>
      <c r="K902" s="6"/>
      <c r="L902" s="6"/>
      <c r="M902" s="6"/>
      <c r="N902" s="6"/>
      <c r="O902" s="6"/>
      <c r="P902" s="6"/>
      <c r="Q902" s="6"/>
      <c r="R902" s="6"/>
      <c r="S902" s="6"/>
    </row>
    <row r="903" spans="1:19">
      <c r="A903" s="83"/>
      <c r="B903" s="82"/>
      <c r="C903" s="82"/>
      <c r="D903" s="82"/>
      <c r="E903" s="82"/>
      <c r="F903" s="83"/>
      <c r="G903" s="83"/>
      <c r="H903" s="83"/>
      <c r="I903" s="6"/>
      <c r="J903" s="6"/>
      <c r="K903" s="6"/>
      <c r="L903" s="6"/>
      <c r="M903" s="6"/>
      <c r="N903" s="6"/>
      <c r="O903" s="6"/>
      <c r="P903" s="6"/>
      <c r="Q903" s="6"/>
      <c r="R903" s="6"/>
      <c r="S903" s="6"/>
    </row>
    <row r="904" spans="1:19">
      <c r="A904" s="83"/>
      <c r="B904" s="82"/>
      <c r="C904" s="82"/>
      <c r="D904" s="82"/>
      <c r="E904" s="82"/>
      <c r="F904" s="83"/>
      <c r="G904" s="83"/>
      <c r="H904" s="83"/>
      <c r="I904" s="6"/>
      <c r="J904" s="6"/>
      <c r="K904" s="6"/>
      <c r="L904" s="6"/>
      <c r="M904" s="6"/>
      <c r="N904" s="6"/>
      <c r="O904" s="6"/>
      <c r="P904" s="6"/>
      <c r="Q904" s="6"/>
      <c r="R904" s="6"/>
      <c r="S904" s="6"/>
    </row>
    <row r="905" spans="1:19">
      <c r="A905" s="83"/>
      <c r="B905" s="82"/>
      <c r="C905" s="82"/>
      <c r="D905" s="82"/>
      <c r="E905" s="82"/>
      <c r="F905" s="83"/>
      <c r="G905" s="83"/>
      <c r="H905" s="83"/>
      <c r="I905" s="6"/>
      <c r="J905" s="6"/>
      <c r="K905" s="6"/>
      <c r="L905" s="6"/>
      <c r="M905" s="6"/>
      <c r="N905" s="6"/>
      <c r="O905" s="6"/>
      <c r="P905" s="6"/>
      <c r="Q905" s="6"/>
      <c r="R905" s="6"/>
      <c r="S905" s="6"/>
    </row>
    <row r="906" spans="1:19">
      <c r="A906" s="83"/>
      <c r="B906" s="82"/>
      <c r="C906" s="82"/>
      <c r="D906" s="82"/>
      <c r="E906" s="82"/>
      <c r="F906" s="83"/>
      <c r="G906" s="83"/>
      <c r="H906" s="83"/>
      <c r="I906" s="6"/>
      <c r="J906" s="6"/>
      <c r="K906" s="6"/>
      <c r="L906" s="6"/>
      <c r="M906" s="6"/>
      <c r="N906" s="6"/>
      <c r="O906" s="6"/>
      <c r="P906" s="6"/>
      <c r="Q906" s="6"/>
      <c r="R906" s="6"/>
      <c r="S906" s="6"/>
    </row>
    <row r="907" spans="1:19">
      <c r="A907" s="83"/>
      <c r="B907" s="82"/>
      <c r="C907" s="82"/>
      <c r="D907" s="82"/>
      <c r="E907" s="82"/>
      <c r="F907" s="83"/>
      <c r="G907" s="83"/>
      <c r="H907" s="83"/>
      <c r="I907" s="6"/>
      <c r="J907" s="6"/>
      <c r="K907" s="6"/>
      <c r="L907" s="6"/>
      <c r="M907" s="6"/>
      <c r="N907" s="6"/>
      <c r="O907" s="6"/>
      <c r="P907" s="6"/>
      <c r="Q907" s="6"/>
      <c r="R907" s="6"/>
      <c r="S907" s="6"/>
    </row>
    <row r="908" spans="1:19">
      <c r="A908" s="83"/>
      <c r="B908" s="82"/>
      <c r="C908" s="82"/>
      <c r="D908" s="82"/>
      <c r="E908" s="82"/>
      <c r="F908" s="83"/>
      <c r="G908" s="83"/>
      <c r="H908" s="83"/>
      <c r="I908" s="6"/>
      <c r="J908" s="6"/>
      <c r="K908" s="6"/>
      <c r="L908" s="6"/>
      <c r="M908" s="6"/>
      <c r="N908" s="6"/>
      <c r="O908" s="6"/>
      <c r="P908" s="6"/>
      <c r="Q908" s="6"/>
      <c r="R908" s="6"/>
      <c r="S908" s="6"/>
    </row>
    <row r="909" spans="1:19">
      <c r="A909" s="83"/>
      <c r="B909" s="82"/>
      <c r="C909" s="82"/>
      <c r="D909" s="82"/>
      <c r="E909" s="82"/>
      <c r="F909" s="83"/>
      <c r="G909" s="83"/>
      <c r="H909" s="83"/>
      <c r="I909" s="6"/>
      <c r="J909" s="6"/>
      <c r="K909" s="6"/>
      <c r="L909" s="6"/>
      <c r="M909" s="6"/>
      <c r="N909" s="6"/>
      <c r="O909" s="6"/>
      <c r="P909" s="6"/>
      <c r="Q909" s="6"/>
      <c r="R909" s="6"/>
      <c r="S909" s="6"/>
    </row>
    <row r="910" spans="1:19">
      <c r="A910" s="83"/>
      <c r="B910" s="82"/>
      <c r="C910" s="82"/>
      <c r="D910" s="82"/>
      <c r="E910" s="82"/>
      <c r="F910" s="83"/>
      <c r="G910" s="83"/>
      <c r="H910" s="83"/>
      <c r="I910" s="6"/>
      <c r="J910" s="6"/>
      <c r="K910" s="6"/>
      <c r="L910" s="6"/>
      <c r="M910" s="6"/>
      <c r="N910" s="6"/>
      <c r="O910" s="6"/>
      <c r="P910" s="6"/>
      <c r="Q910" s="6"/>
      <c r="R910" s="6"/>
      <c r="S910" s="6"/>
    </row>
    <row r="911" spans="1:19">
      <c r="A911" s="83"/>
      <c r="B911" s="82"/>
      <c r="C911" s="82"/>
      <c r="D911" s="82"/>
      <c r="E911" s="82"/>
      <c r="F911" s="83"/>
      <c r="G911" s="83"/>
      <c r="H911" s="83"/>
      <c r="I911" s="6"/>
      <c r="J911" s="6"/>
      <c r="K911" s="6"/>
      <c r="L911" s="6"/>
      <c r="M911" s="6"/>
      <c r="N911" s="6"/>
      <c r="O911" s="6"/>
      <c r="P911" s="6"/>
      <c r="Q911" s="6"/>
      <c r="R911" s="6"/>
      <c r="S911" s="6"/>
    </row>
    <row r="912" spans="1:19">
      <c r="A912" s="83"/>
      <c r="B912" s="82"/>
      <c r="C912" s="82"/>
      <c r="D912" s="82"/>
      <c r="E912" s="82"/>
      <c r="F912" s="83"/>
      <c r="G912" s="83"/>
      <c r="H912" s="83"/>
      <c r="I912" s="6"/>
      <c r="J912" s="6"/>
      <c r="K912" s="6"/>
      <c r="L912" s="6"/>
      <c r="M912" s="6"/>
      <c r="N912" s="6"/>
      <c r="O912" s="6"/>
      <c r="P912" s="6"/>
      <c r="Q912" s="6"/>
      <c r="R912" s="6"/>
      <c r="S912" s="6"/>
    </row>
    <row r="913" spans="1:19">
      <c r="A913" s="83"/>
      <c r="B913" s="82"/>
      <c r="C913" s="82"/>
      <c r="D913" s="82"/>
      <c r="E913" s="82"/>
      <c r="F913" s="83"/>
      <c r="G913" s="83"/>
      <c r="H913" s="83"/>
      <c r="I913" s="6"/>
      <c r="J913" s="6"/>
      <c r="K913" s="6"/>
      <c r="L913" s="6"/>
      <c r="M913" s="6"/>
      <c r="N913" s="6"/>
      <c r="O913" s="6"/>
      <c r="P913" s="6"/>
      <c r="Q913" s="6"/>
      <c r="R913" s="6"/>
      <c r="S913" s="6"/>
    </row>
    <row r="914" spans="1:19">
      <c r="A914" s="83"/>
      <c r="B914" s="82"/>
      <c r="C914" s="82"/>
      <c r="D914" s="82"/>
      <c r="E914" s="82"/>
      <c r="F914" s="83"/>
      <c r="G914" s="83"/>
      <c r="H914" s="83"/>
      <c r="I914" s="6"/>
      <c r="J914" s="6"/>
      <c r="K914" s="6"/>
      <c r="L914" s="6"/>
      <c r="M914" s="6"/>
      <c r="N914" s="6"/>
      <c r="O914" s="6"/>
      <c r="P914" s="6"/>
      <c r="Q914" s="6"/>
      <c r="R914" s="6"/>
      <c r="S914" s="6"/>
    </row>
    <row r="915" spans="1:19">
      <c r="A915" s="83"/>
      <c r="B915" s="82"/>
      <c r="C915" s="82"/>
      <c r="D915" s="82"/>
      <c r="E915" s="82"/>
      <c r="F915" s="83"/>
      <c r="G915" s="83"/>
      <c r="H915" s="83"/>
      <c r="I915" s="6"/>
      <c r="J915" s="6"/>
      <c r="K915" s="6"/>
      <c r="L915" s="6"/>
      <c r="M915" s="6"/>
      <c r="N915" s="6"/>
      <c r="O915" s="6"/>
      <c r="P915" s="6"/>
      <c r="Q915" s="6"/>
      <c r="R915" s="6"/>
      <c r="S915" s="6"/>
    </row>
    <row r="916" spans="1:19">
      <c r="A916" s="83"/>
      <c r="B916" s="82"/>
      <c r="C916" s="82"/>
      <c r="D916" s="82"/>
      <c r="E916" s="82"/>
      <c r="F916" s="83"/>
      <c r="G916" s="83"/>
      <c r="H916" s="83"/>
      <c r="I916" s="6"/>
      <c r="J916" s="6"/>
      <c r="K916" s="6"/>
      <c r="L916" s="6"/>
      <c r="M916" s="6"/>
      <c r="N916" s="6"/>
      <c r="O916" s="6"/>
      <c r="P916" s="6"/>
      <c r="Q916" s="6"/>
      <c r="R916" s="6"/>
      <c r="S916" s="6"/>
    </row>
    <row r="917" spans="1:19">
      <c r="A917" s="83"/>
      <c r="B917" s="82"/>
      <c r="C917" s="82"/>
      <c r="D917" s="82"/>
      <c r="E917" s="82"/>
      <c r="F917" s="83"/>
      <c r="G917" s="83"/>
      <c r="H917" s="83"/>
      <c r="I917" s="6"/>
      <c r="J917" s="6"/>
      <c r="K917" s="6"/>
      <c r="L917" s="6"/>
      <c r="M917" s="6"/>
      <c r="N917" s="6"/>
      <c r="O917" s="6"/>
      <c r="P917" s="6"/>
      <c r="Q917" s="6"/>
      <c r="R917" s="6"/>
      <c r="S917" s="6"/>
    </row>
    <row r="918" spans="1:19">
      <c r="A918" s="83"/>
      <c r="B918" s="82"/>
      <c r="C918" s="82"/>
      <c r="D918" s="82"/>
      <c r="E918" s="82"/>
      <c r="F918" s="83"/>
      <c r="G918" s="83"/>
      <c r="H918" s="83"/>
      <c r="I918" s="6"/>
      <c r="J918" s="6"/>
      <c r="K918" s="6"/>
      <c r="L918" s="6"/>
      <c r="M918" s="6"/>
      <c r="N918" s="6"/>
      <c r="O918" s="6"/>
      <c r="P918" s="6"/>
      <c r="Q918" s="6"/>
      <c r="R918" s="6"/>
      <c r="S918" s="6"/>
    </row>
    <row r="919" spans="1:19">
      <c r="A919" s="83"/>
      <c r="B919" s="82"/>
      <c r="C919" s="82"/>
      <c r="D919" s="82"/>
      <c r="E919" s="82"/>
      <c r="F919" s="83"/>
      <c r="G919" s="83"/>
      <c r="H919" s="83"/>
      <c r="I919" s="6"/>
      <c r="J919" s="6"/>
      <c r="K919" s="6"/>
      <c r="L919" s="6"/>
      <c r="M919" s="6"/>
      <c r="N919" s="6"/>
      <c r="O919" s="6"/>
      <c r="P919" s="6"/>
      <c r="Q919" s="6"/>
      <c r="R919" s="6"/>
      <c r="S919" s="6"/>
    </row>
    <row r="920" spans="1:19">
      <c r="A920" s="83"/>
      <c r="B920" s="82"/>
      <c r="C920" s="82"/>
      <c r="D920" s="82"/>
      <c r="E920" s="82"/>
      <c r="F920" s="83"/>
      <c r="G920" s="83"/>
      <c r="H920" s="83"/>
      <c r="I920" s="6"/>
      <c r="J920" s="6"/>
      <c r="K920" s="6"/>
      <c r="L920" s="6"/>
      <c r="M920" s="6"/>
      <c r="N920" s="6"/>
      <c r="O920" s="6"/>
      <c r="P920" s="6"/>
      <c r="Q920" s="6"/>
      <c r="R920" s="6"/>
      <c r="S920" s="6"/>
    </row>
    <row r="921" spans="1:19">
      <c r="A921" s="83"/>
      <c r="B921" s="82"/>
      <c r="C921" s="82"/>
      <c r="D921" s="82"/>
      <c r="E921" s="82"/>
      <c r="F921" s="83"/>
      <c r="G921" s="83"/>
      <c r="H921" s="83"/>
      <c r="I921" s="6"/>
      <c r="J921" s="6"/>
      <c r="K921" s="6"/>
      <c r="L921" s="6"/>
      <c r="M921" s="6"/>
      <c r="N921" s="6"/>
      <c r="O921" s="6"/>
      <c r="P921" s="6"/>
      <c r="Q921" s="6"/>
      <c r="R921" s="6"/>
      <c r="S921" s="6"/>
    </row>
    <row r="922" spans="1:19">
      <c r="A922" s="83"/>
      <c r="B922" s="82"/>
      <c r="C922" s="82"/>
      <c r="D922" s="82"/>
      <c r="E922" s="82"/>
      <c r="F922" s="83"/>
      <c r="G922" s="83"/>
      <c r="H922" s="83"/>
      <c r="I922" s="6"/>
      <c r="J922" s="6"/>
      <c r="K922" s="6"/>
      <c r="L922" s="6"/>
      <c r="M922" s="6"/>
      <c r="N922" s="6"/>
      <c r="O922" s="6"/>
      <c r="P922" s="6"/>
      <c r="Q922" s="6"/>
      <c r="R922" s="6"/>
      <c r="S922" s="6"/>
    </row>
    <row r="923" spans="1:19">
      <c r="A923" s="83"/>
      <c r="B923" s="82"/>
      <c r="C923" s="82"/>
      <c r="D923" s="82"/>
      <c r="E923" s="82"/>
      <c r="F923" s="83"/>
      <c r="G923" s="83"/>
      <c r="H923" s="83"/>
      <c r="I923" s="6"/>
      <c r="J923" s="6"/>
      <c r="K923" s="6"/>
      <c r="L923" s="6"/>
      <c r="M923" s="6"/>
      <c r="N923" s="6"/>
      <c r="O923" s="6"/>
      <c r="P923" s="6"/>
      <c r="Q923" s="6"/>
      <c r="R923" s="6"/>
      <c r="S923" s="6"/>
    </row>
    <row r="924" spans="1:19">
      <c r="A924" s="83"/>
      <c r="B924" s="82"/>
      <c r="C924" s="82"/>
      <c r="D924" s="82"/>
      <c r="E924" s="82"/>
      <c r="F924" s="83"/>
      <c r="G924" s="83"/>
      <c r="H924" s="83"/>
      <c r="I924" s="6"/>
      <c r="J924" s="6"/>
      <c r="K924" s="6"/>
      <c r="L924" s="6"/>
      <c r="M924" s="6"/>
      <c r="N924" s="6"/>
      <c r="O924" s="6"/>
      <c r="P924" s="6"/>
      <c r="Q924" s="6"/>
      <c r="R924" s="6"/>
      <c r="S924" s="6"/>
    </row>
    <row r="925" spans="1:19">
      <c r="A925" s="83"/>
      <c r="B925" s="82"/>
      <c r="C925" s="82"/>
      <c r="D925" s="82"/>
      <c r="E925" s="82"/>
      <c r="F925" s="83"/>
      <c r="G925" s="83"/>
      <c r="H925" s="83"/>
      <c r="I925" s="6"/>
      <c r="J925" s="6"/>
      <c r="K925" s="6"/>
      <c r="L925" s="6"/>
      <c r="M925" s="6"/>
      <c r="N925" s="6"/>
      <c r="O925" s="6"/>
      <c r="P925" s="6"/>
      <c r="Q925" s="6"/>
      <c r="R925" s="6"/>
      <c r="S925" s="6"/>
    </row>
    <row r="926" spans="1:19">
      <c r="A926" s="83"/>
      <c r="B926" s="82"/>
      <c r="C926" s="82"/>
      <c r="D926" s="82"/>
      <c r="E926" s="82"/>
      <c r="F926" s="83"/>
      <c r="G926" s="83"/>
      <c r="H926" s="83"/>
      <c r="I926" s="6"/>
      <c r="J926" s="6"/>
      <c r="K926" s="6"/>
      <c r="L926" s="6"/>
      <c r="M926" s="6"/>
      <c r="N926" s="6"/>
      <c r="O926" s="6"/>
      <c r="P926" s="6"/>
      <c r="Q926" s="6"/>
      <c r="R926" s="6"/>
      <c r="S926" s="6"/>
    </row>
    <row r="927" spans="1:19">
      <c r="A927" s="83"/>
      <c r="B927" s="82"/>
      <c r="C927" s="82"/>
      <c r="D927" s="82"/>
      <c r="E927" s="82"/>
      <c r="F927" s="83"/>
      <c r="G927" s="83"/>
      <c r="H927" s="83"/>
      <c r="I927" s="6"/>
      <c r="J927" s="6"/>
      <c r="K927" s="6"/>
      <c r="L927" s="6"/>
      <c r="M927" s="6"/>
      <c r="N927" s="6"/>
      <c r="O927" s="6"/>
      <c r="P927" s="6"/>
      <c r="Q927" s="6"/>
      <c r="R927" s="6"/>
      <c r="S927" s="6"/>
    </row>
    <row r="928" spans="1:19">
      <c r="A928" s="83"/>
      <c r="B928" s="82"/>
      <c r="C928" s="82"/>
      <c r="D928" s="82"/>
      <c r="E928" s="82"/>
      <c r="F928" s="83"/>
      <c r="G928" s="83"/>
      <c r="H928" s="83"/>
      <c r="I928" s="6"/>
      <c r="J928" s="6"/>
      <c r="K928" s="6"/>
      <c r="L928" s="6"/>
      <c r="M928" s="6"/>
      <c r="N928" s="6"/>
      <c r="O928" s="6"/>
      <c r="P928" s="6"/>
      <c r="Q928" s="6"/>
      <c r="R928" s="6"/>
      <c r="S928" s="6"/>
    </row>
    <row r="929" spans="1:19">
      <c r="A929" s="83"/>
      <c r="B929" s="82"/>
      <c r="C929" s="82"/>
      <c r="D929" s="82"/>
      <c r="E929" s="82"/>
      <c r="F929" s="83"/>
      <c r="G929" s="83"/>
      <c r="H929" s="83"/>
      <c r="I929" s="6"/>
      <c r="J929" s="6"/>
      <c r="K929" s="6"/>
      <c r="L929" s="6"/>
      <c r="M929" s="6"/>
      <c r="N929" s="6"/>
      <c r="O929" s="6"/>
      <c r="P929" s="6"/>
      <c r="Q929" s="6"/>
      <c r="R929" s="6"/>
      <c r="S929" s="6"/>
    </row>
    <row r="930" spans="1:19">
      <c r="A930" s="83"/>
      <c r="B930" s="82"/>
      <c r="C930" s="82"/>
      <c r="D930" s="82"/>
      <c r="E930" s="82"/>
      <c r="F930" s="83"/>
      <c r="G930" s="83"/>
      <c r="H930" s="83"/>
      <c r="I930" s="6"/>
      <c r="J930" s="6"/>
      <c r="K930" s="6"/>
      <c r="L930" s="6"/>
      <c r="M930" s="6"/>
      <c r="N930" s="6"/>
      <c r="O930" s="6"/>
      <c r="P930" s="6"/>
      <c r="Q930" s="6"/>
      <c r="R930" s="6"/>
      <c r="S930" s="6"/>
    </row>
    <row r="931" spans="1:19">
      <c r="A931" s="83"/>
      <c r="B931" s="82"/>
      <c r="C931" s="82"/>
      <c r="D931" s="82"/>
      <c r="E931" s="82"/>
      <c r="F931" s="83"/>
      <c r="G931" s="83"/>
      <c r="H931" s="83"/>
      <c r="I931" s="6"/>
      <c r="J931" s="6"/>
      <c r="K931" s="6"/>
      <c r="L931" s="6"/>
      <c r="M931" s="6"/>
      <c r="N931" s="6"/>
      <c r="O931" s="6"/>
      <c r="P931" s="6"/>
      <c r="Q931" s="6"/>
      <c r="R931" s="6"/>
      <c r="S931" s="6"/>
    </row>
    <row r="932" spans="1:19">
      <c r="A932" s="83"/>
      <c r="B932" s="82"/>
      <c r="C932" s="82"/>
      <c r="D932" s="82"/>
      <c r="E932" s="82"/>
      <c r="F932" s="83"/>
      <c r="G932" s="83"/>
      <c r="H932" s="83"/>
      <c r="I932" s="6"/>
      <c r="J932" s="6"/>
      <c r="K932" s="6"/>
      <c r="L932" s="6"/>
      <c r="M932" s="6"/>
      <c r="N932" s="6"/>
      <c r="O932" s="6"/>
      <c r="P932" s="6"/>
      <c r="Q932" s="6"/>
      <c r="R932" s="6"/>
      <c r="S932" s="6"/>
    </row>
    <row r="933" spans="1:19">
      <c r="A933" s="83"/>
      <c r="B933" s="82"/>
      <c r="C933" s="82"/>
      <c r="D933" s="82"/>
      <c r="E933" s="82"/>
      <c r="F933" s="83"/>
      <c r="G933" s="83"/>
      <c r="H933" s="83"/>
      <c r="I933" s="6"/>
      <c r="J933" s="6"/>
      <c r="K933" s="6"/>
      <c r="L933" s="6"/>
      <c r="M933" s="6"/>
      <c r="N933" s="6"/>
      <c r="O933" s="6"/>
      <c r="P933" s="6"/>
      <c r="Q933" s="6"/>
      <c r="R933" s="6"/>
      <c r="S933" s="6"/>
    </row>
    <row r="934" spans="1:19">
      <c r="A934" s="83"/>
      <c r="B934" s="82"/>
      <c r="C934" s="82"/>
      <c r="D934" s="82"/>
      <c r="E934" s="82"/>
      <c r="F934" s="83"/>
      <c r="G934" s="83"/>
      <c r="H934" s="83"/>
      <c r="I934" s="6"/>
      <c r="J934" s="6"/>
      <c r="K934" s="6"/>
      <c r="L934" s="6"/>
      <c r="M934" s="6"/>
      <c r="N934" s="6"/>
      <c r="O934" s="6"/>
      <c r="P934" s="6"/>
      <c r="Q934" s="6"/>
      <c r="R934" s="6"/>
      <c r="S934" s="6"/>
    </row>
    <row r="935" spans="1:19">
      <c r="A935" s="83"/>
      <c r="B935" s="82"/>
      <c r="C935" s="82"/>
      <c r="D935" s="82"/>
      <c r="E935" s="82"/>
      <c r="F935" s="83"/>
      <c r="G935" s="83"/>
      <c r="H935" s="83"/>
      <c r="I935" s="6"/>
      <c r="J935" s="6"/>
      <c r="K935" s="6"/>
      <c r="L935" s="6"/>
      <c r="M935" s="6"/>
      <c r="N935" s="6"/>
      <c r="O935" s="6"/>
      <c r="P935" s="6"/>
      <c r="Q935" s="6"/>
      <c r="R935" s="6"/>
      <c r="S935" s="6"/>
    </row>
    <row r="936" spans="1:19">
      <c r="A936" s="83"/>
      <c r="B936" s="82"/>
      <c r="C936" s="82"/>
      <c r="D936" s="82"/>
      <c r="E936" s="82"/>
      <c r="F936" s="83"/>
      <c r="G936" s="83"/>
      <c r="H936" s="83"/>
      <c r="I936" s="6"/>
      <c r="J936" s="6"/>
      <c r="K936" s="6"/>
      <c r="L936" s="6"/>
      <c r="M936" s="6"/>
      <c r="N936" s="6"/>
      <c r="O936" s="6"/>
      <c r="P936" s="6"/>
      <c r="Q936" s="6"/>
      <c r="R936" s="6"/>
      <c r="S936" s="6"/>
    </row>
    <row r="937" spans="1:19">
      <c r="A937" s="83"/>
      <c r="B937" s="82"/>
      <c r="C937" s="82"/>
      <c r="D937" s="82"/>
      <c r="E937" s="82"/>
      <c r="F937" s="83"/>
      <c r="G937" s="83"/>
      <c r="H937" s="83"/>
      <c r="I937" s="6"/>
      <c r="J937" s="6"/>
      <c r="K937" s="6"/>
      <c r="L937" s="6"/>
      <c r="M937" s="6"/>
      <c r="N937" s="6"/>
      <c r="O937" s="6"/>
      <c r="P937" s="6"/>
      <c r="Q937" s="6"/>
      <c r="R937" s="6"/>
      <c r="S937" s="6"/>
    </row>
    <row r="938" spans="1:19">
      <c r="A938" s="83"/>
      <c r="B938" s="82"/>
      <c r="C938" s="82"/>
      <c r="D938" s="82"/>
      <c r="E938" s="82"/>
      <c r="F938" s="83"/>
      <c r="G938" s="83"/>
      <c r="H938" s="83"/>
      <c r="I938" s="6"/>
      <c r="J938" s="6"/>
      <c r="K938" s="6"/>
      <c r="L938" s="6"/>
      <c r="M938" s="6"/>
      <c r="N938" s="6"/>
      <c r="O938" s="6"/>
      <c r="P938" s="6"/>
      <c r="Q938" s="6"/>
      <c r="R938" s="6"/>
      <c r="S938" s="6"/>
    </row>
    <row r="939" spans="1:19">
      <c r="A939" s="83"/>
      <c r="B939" s="82"/>
      <c r="C939" s="82"/>
      <c r="D939" s="82"/>
      <c r="E939" s="82"/>
      <c r="F939" s="83"/>
      <c r="G939" s="83"/>
      <c r="H939" s="83"/>
      <c r="I939" s="6"/>
      <c r="J939" s="6"/>
      <c r="K939" s="6"/>
      <c r="L939" s="6"/>
      <c r="M939" s="6"/>
      <c r="N939" s="6"/>
      <c r="O939" s="6"/>
      <c r="P939" s="6"/>
      <c r="Q939" s="6"/>
      <c r="R939" s="6"/>
      <c r="S939" s="6"/>
    </row>
    <row r="940" spans="1:19">
      <c r="A940" s="83"/>
      <c r="B940" s="82"/>
      <c r="C940" s="82"/>
      <c r="D940" s="82"/>
      <c r="E940" s="82"/>
      <c r="F940" s="83"/>
      <c r="G940" s="83"/>
      <c r="H940" s="83"/>
      <c r="I940" s="6"/>
      <c r="J940" s="6"/>
      <c r="K940" s="6"/>
      <c r="L940" s="6"/>
      <c r="M940" s="6"/>
      <c r="N940" s="6"/>
      <c r="O940" s="6"/>
      <c r="P940" s="6"/>
      <c r="Q940" s="6"/>
      <c r="R940" s="6"/>
      <c r="S940" s="6"/>
    </row>
    <row r="941" spans="1:19">
      <c r="A941" s="83"/>
      <c r="B941" s="82"/>
      <c r="C941" s="82"/>
      <c r="D941" s="82"/>
      <c r="E941" s="82"/>
      <c r="F941" s="83"/>
      <c r="G941" s="83"/>
      <c r="H941" s="83"/>
      <c r="I941" s="6"/>
      <c r="J941" s="6"/>
      <c r="K941" s="6"/>
      <c r="L941" s="6"/>
      <c r="M941" s="6"/>
      <c r="N941" s="6"/>
      <c r="O941" s="6"/>
      <c r="P941" s="6"/>
      <c r="Q941" s="6"/>
      <c r="R941" s="6"/>
      <c r="S941" s="6"/>
    </row>
    <row r="942" spans="1:19">
      <c r="A942" s="83"/>
      <c r="B942" s="82"/>
      <c r="C942" s="82"/>
      <c r="D942" s="82"/>
      <c r="E942" s="82"/>
      <c r="F942" s="83"/>
      <c r="G942" s="83"/>
      <c r="H942" s="83"/>
      <c r="I942" s="6"/>
      <c r="J942" s="6"/>
      <c r="K942" s="6"/>
      <c r="L942" s="6"/>
      <c r="M942" s="6"/>
      <c r="N942" s="6"/>
      <c r="O942" s="6"/>
      <c r="P942" s="6"/>
      <c r="Q942" s="6"/>
      <c r="R942" s="6"/>
      <c r="S942" s="6"/>
    </row>
    <row r="943" spans="1:19">
      <c r="A943" s="83"/>
      <c r="B943" s="82"/>
      <c r="C943" s="82"/>
      <c r="D943" s="82"/>
      <c r="E943" s="82"/>
      <c r="F943" s="83"/>
      <c r="G943" s="83"/>
      <c r="H943" s="83"/>
      <c r="I943" s="6"/>
      <c r="J943" s="6"/>
      <c r="K943" s="6"/>
      <c r="L943" s="6"/>
      <c r="M943" s="6"/>
      <c r="N943" s="6"/>
      <c r="O943" s="6"/>
      <c r="P943" s="6"/>
      <c r="Q943" s="6"/>
      <c r="R943" s="6"/>
      <c r="S943" s="6"/>
    </row>
    <row r="944" spans="1:19">
      <c r="A944" s="83"/>
      <c r="B944" s="82"/>
      <c r="C944" s="82"/>
      <c r="D944" s="82"/>
      <c r="E944" s="82"/>
      <c r="F944" s="83"/>
      <c r="G944" s="83"/>
      <c r="H944" s="83"/>
      <c r="I944" s="6"/>
      <c r="J944" s="6"/>
      <c r="K944" s="6"/>
      <c r="L944" s="6"/>
      <c r="M944" s="6"/>
      <c r="N944" s="6"/>
      <c r="O944" s="6"/>
      <c r="P944" s="6"/>
      <c r="Q944" s="6"/>
      <c r="R944" s="6"/>
      <c r="S944" s="6"/>
    </row>
    <row r="945" spans="1:19">
      <c r="A945" s="83"/>
      <c r="B945" s="82"/>
      <c r="C945" s="82"/>
      <c r="D945" s="82"/>
      <c r="E945" s="82"/>
      <c r="F945" s="83"/>
      <c r="G945" s="83"/>
      <c r="H945" s="83"/>
      <c r="I945" s="6"/>
      <c r="J945" s="6"/>
      <c r="K945" s="6"/>
      <c r="L945" s="6"/>
      <c r="M945" s="6"/>
      <c r="N945" s="6"/>
      <c r="O945" s="6"/>
      <c r="P945" s="6"/>
      <c r="Q945" s="6"/>
      <c r="R945" s="6"/>
      <c r="S945" s="6"/>
    </row>
    <row r="946" spans="1:19">
      <c r="A946" s="83"/>
      <c r="B946" s="82"/>
      <c r="C946" s="82"/>
      <c r="D946" s="82"/>
      <c r="E946" s="82"/>
      <c r="F946" s="83"/>
      <c r="G946" s="83"/>
      <c r="H946" s="83"/>
      <c r="I946" s="6"/>
      <c r="J946" s="6"/>
      <c r="K946" s="6"/>
      <c r="L946" s="6"/>
      <c r="M946" s="6"/>
      <c r="N946" s="6"/>
      <c r="O946" s="6"/>
      <c r="P946" s="6"/>
      <c r="Q946" s="6"/>
      <c r="R946" s="6"/>
      <c r="S946" s="6"/>
    </row>
    <row r="947" spans="1:19">
      <c r="A947" s="83"/>
      <c r="B947" s="82"/>
      <c r="C947" s="82"/>
      <c r="D947" s="82"/>
      <c r="E947" s="82"/>
      <c r="F947" s="83"/>
      <c r="G947" s="83"/>
      <c r="H947" s="83"/>
      <c r="I947" s="6"/>
      <c r="J947" s="6"/>
      <c r="K947" s="6"/>
      <c r="L947" s="6"/>
      <c r="M947" s="6"/>
      <c r="N947" s="6"/>
      <c r="O947" s="6"/>
      <c r="P947" s="6"/>
      <c r="Q947" s="6"/>
      <c r="R947" s="6"/>
      <c r="S947" s="6"/>
    </row>
    <row r="948" spans="1:19">
      <c r="A948" s="83"/>
      <c r="B948" s="82"/>
      <c r="C948" s="82"/>
      <c r="D948" s="82"/>
      <c r="E948" s="82"/>
      <c r="F948" s="83"/>
      <c r="G948" s="83"/>
      <c r="H948" s="83"/>
      <c r="I948" s="6"/>
      <c r="J948" s="6"/>
      <c r="K948" s="6"/>
      <c r="L948" s="6"/>
      <c r="M948" s="6"/>
      <c r="N948" s="6"/>
      <c r="O948" s="6"/>
      <c r="P948" s="6"/>
      <c r="Q948" s="6"/>
      <c r="R948" s="6"/>
      <c r="S948" s="6"/>
    </row>
    <row r="949" spans="1:19">
      <c r="A949" s="83"/>
      <c r="B949" s="82"/>
      <c r="C949" s="82"/>
      <c r="D949" s="82"/>
      <c r="E949" s="82"/>
      <c r="F949" s="83"/>
      <c r="G949" s="83"/>
      <c r="H949" s="83"/>
      <c r="I949" s="6"/>
      <c r="J949" s="6"/>
      <c r="K949" s="6"/>
      <c r="L949" s="6"/>
      <c r="M949" s="6"/>
      <c r="N949" s="6"/>
      <c r="O949" s="6"/>
      <c r="P949" s="6"/>
      <c r="Q949" s="6"/>
      <c r="R949" s="6"/>
      <c r="S949" s="6"/>
    </row>
    <row r="950" spans="1:19">
      <c r="A950" s="83"/>
      <c r="B950" s="82"/>
      <c r="C950" s="82"/>
      <c r="D950" s="82"/>
      <c r="E950" s="82"/>
      <c r="F950" s="83"/>
      <c r="G950" s="83"/>
      <c r="H950" s="83"/>
      <c r="I950" s="6"/>
      <c r="J950" s="6"/>
      <c r="K950" s="6"/>
      <c r="L950" s="6"/>
      <c r="M950" s="6"/>
      <c r="N950" s="6"/>
      <c r="O950" s="6"/>
      <c r="P950" s="6"/>
      <c r="Q950" s="6"/>
      <c r="R950" s="6"/>
      <c r="S950" s="6"/>
    </row>
    <row r="951" spans="1:19">
      <c r="A951" s="83"/>
      <c r="B951" s="82"/>
      <c r="C951" s="82"/>
      <c r="D951" s="82"/>
      <c r="E951" s="82"/>
      <c r="F951" s="83"/>
      <c r="G951" s="83"/>
      <c r="H951" s="83"/>
      <c r="I951" s="6"/>
      <c r="J951" s="6"/>
      <c r="K951" s="6"/>
      <c r="L951" s="6"/>
      <c r="M951" s="6"/>
      <c r="N951" s="6"/>
      <c r="O951" s="6"/>
      <c r="P951" s="6"/>
      <c r="Q951" s="6"/>
      <c r="R951" s="6"/>
      <c r="S951" s="6"/>
    </row>
    <row r="952" spans="1:19">
      <c r="A952" s="83"/>
      <c r="B952" s="82"/>
      <c r="C952" s="82"/>
      <c r="D952" s="82"/>
      <c r="E952" s="82"/>
      <c r="F952" s="83"/>
      <c r="G952" s="83"/>
      <c r="H952" s="83"/>
      <c r="I952" s="6"/>
      <c r="J952" s="6"/>
      <c r="K952" s="6"/>
      <c r="L952" s="6"/>
      <c r="M952" s="6"/>
      <c r="N952" s="6"/>
      <c r="O952" s="6"/>
      <c r="P952" s="6"/>
      <c r="Q952" s="6"/>
      <c r="R952" s="6"/>
      <c r="S952" s="6"/>
    </row>
    <row r="953" spans="1:19">
      <c r="A953" s="83"/>
      <c r="B953" s="82"/>
      <c r="C953" s="82"/>
      <c r="D953" s="82"/>
      <c r="E953" s="82"/>
      <c r="F953" s="83"/>
      <c r="G953" s="83"/>
      <c r="H953" s="83"/>
      <c r="I953" s="6"/>
      <c r="J953" s="6"/>
      <c r="K953" s="6"/>
      <c r="L953" s="6"/>
      <c r="M953" s="6"/>
      <c r="N953" s="6"/>
      <c r="O953" s="6"/>
      <c r="P953" s="6"/>
      <c r="Q953" s="6"/>
      <c r="R953" s="6"/>
      <c r="S953" s="6"/>
    </row>
    <row r="954" spans="1:19">
      <c r="A954" s="83"/>
      <c r="B954" s="82"/>
      <c r="C954" s="82"/>
      <c r="D954" s="82"/>
      <c r="E954" s="82"/>
      <c r="F954" s="83"/>
      <c r="G954" s="83"/>
      <c r="H954" s="83"/>
      <c r="I954" s="6"/>
      <c r="J954" s="6"/>
      <c r="K954" s="6"/>
      <c r="L954" s="6"/>
      <c r="M954" s="6"/>
      <c r="N954" s="6"/>
      <c r="O954" s="6"/>
      <c r="P954" s="6"/>
      <c r="Q954" s="6"/>
      <c r="R954" s="6"/>
      <c r="S954" s="6"/>
    </row>
    <row r="955" spans="1:19">
      <c r="A955" s="83"/>
      <c r="B955" s="82"/>
      <c r="C955" s="82"/>
      <c r="D955" s="82"/>
      <c r="E955" s="82"/>
      <c r="F955" s="83"/>
      <c r="G955" s="83"/>
      <c r="H955" s="83"/>
      <c r="I955" s="6"/>
      <c r="J955" s="6"/>
      <c r="K955" s="6"/>
      <c r="L955" s="6"/>
      <c r="M955" s="6"/>
      <c r="N955" s="6"/>
      <c r="O955" s="6"/>
      <c r="P955" s="6"/>
      <c r="Q955" s="6"/>
      <c r="R955" s="6"/>
      <c r="S955" s="6"/>
    </row>
    <row r="956" spans="1:19">
      <c r="A956" s="83"/>
      <c r="B956" s="82"/>
      <c r="C956" s="82"/>
      <c r="D956" s="82"/>
      <c r="E956" s="82"/>
      <c r="F956" s="83"/>
      <c r="G956" s="83"/>
      <c r="H956" s="83"/>
      <c r="I956" s="6"/>
      <c r="J956" s="6"/>
      <c r="K956" s="6"/>
      <c r="L956" s="6"/>
      <c r="M956" s="6"/>
      <c r="N956" s="6"/>
      <c r="O956" s="6"/>
      <c r="P956" s="6"/>
      <c r="Q956" s="6"/>
      <c r="R956" s="6"/>
      <c r="S956" s="6"/>
    </row>
    <row r="957" spans="1:19">
      <c r="A957" s="83"/>
      <c r="B957" s="82"/>
      <c r="C957" s="82"/>
      <c r="D957" s="82"/>
      <c r="E957" s="82"/>
      <c r="F957" s="83"/>
      <c r="G957" s="83"/>
      <c r="H957" s="83"/>
      <c r="I957" s="6"/>
      <c r="J957" s="6"/>
      <c r="K957" s="6"/>
      <c r="L957" s="6"/>
      <c r="M957" s="6"/>
      <c r="N957" s="6"/>
      <c r="O957" s="6"/>
      <c r="P957" s="6"/>
      <c r="Q957" s="6"/>
      <c r="R957" s="6"/>
      <c r="S957" s="6"/>
    </row>
    <row r="958" spans="1:19">
      <c r="A958" s="83"/>
      <c r="B958" s="82"/>
      <c r="C958" s="82"/>
      <c r="D958" s="82"/>
      <c r="E958" s="82"/>
      <c r="F958" s="83"/>
      <c r="G958" s="83"/>
      <c r="H958" s="83"/>
      <c r="I958" s="6"/>
      <c r="J958" s="6"/>
      <c r="K958" s="6"/>
      <c r="L958" s="6"/>
      <c r="M958" s="6"/>
      <c r="N958" s="6"/>
      <c r="O958" s="6"/>
      <c r="P958" s="6"/>
      <c r="Q958" s="6"/>
      <c r="R958" s="6"/>
      <c r="S958" s="6"/>
    </row>
    <row r="959" spans="1:19">
      <c r="A959" s="83"/>
      <c r="B959" s="82"/>
      <c r="C959" s="82"/>
      <c r="D959" s="82"/>
      <c r="E959" s="82"/>
      <c r="F959" s="83"/>
      <c r="G959" s="83"/>
      <c r="H959" s="83"/>
      <c r="I959" s="6"/>
      <c r="J959" s="6"/>
      <c r="K959" s="6"/>
      <c r="L959" s="6"/>
      <c r="M959" s="6"/>
      <c r="N959" s="6"/>
      <c r="O959" s="6"/>
      <c r="P959" s="6"/>
      <c r="Q959" s="6"/>
      <c r="R959" s="6"/>
      <c r="S959" s="6"/>
    </row>
    <row r="960" spans="1:19">
      <c r="A960" s="83"/>
      <c r="B960" s="82"/>
      <c r="C960" s="82"/>
      <c r="D960" s="82"/>
      <c r="E960" s="82"/>
      <c r="F960" s="83"/>
      <c r="G960" s="83"/>
      <c r="H960" s="83"/>
      <c r="I960" s="6"/>
      <c r="J960" s="6"/>
      <c r="K960" s="6"/>
      <c r="L960" s="6"/>
      <c r="M960" s="6"/>
      <c r="N960" s="6"/>
      <c r="O960" s="6"/>
      <c r="P960" s="6"/>
      <c r="Q960" s="6"/>
      <c r="R960" s="6"/>
      <c r="S960" s="6"/>
    </row>
    <row r="961" spans="1:19">
      <c r="A961" s="83"/>
      <c r="B961" s="82"/>
      <c r="C961" s="82"/>
      <c r="D961" s="82"/>
      <c r="E961" s="82"/>
      <c r="F961" s="83"/>
      <c r="G961" s="83"/>
      <c r="H961" s="83"/>
      <c r="I961" s="6"/>
      <c r="J961" s="6"/>
      <c r="K961" s="6"/>
      <c r="L961" s="6"/>
      <c r="M961" s="6"/>
      <c r="N961" s="6"/>
      <c r="O961" s="6"/>
      <c r="P961" s="6"/>
      <c r="Q961" s="6"/>
      <c r="R961" s="6"/>
      <c r="S961" s="6"/>
    </row>
    <row r="962" spans="1:19">
      <c r="A962" s="83"/>
      <c r="B962" s="82"/>
      <c r="C962" s="82"/>
      <c r="D962" s="82"/>
      <c r="E962" s="82"/>
      <c r="F962" s="83"/>
      <c r="G962" s="83"/>
      <c r="H962" s="83"/>
      <c r="I962" s="6"/>
      <c r="J962" s="6"/>
      <c r="K962" s="6"/>
      <c r="L962" s="6"/>
      <c r="M962" s="6"/>
      <c r="N962" s="6"/>
      <c r="O962" s="6"/>
      <c r="P962" s="6"/>
      <c r="Q962" s="6"/>
      <c r="R962" s="6"/>
      <c r="S962" s="6"/>
    </row>
    <row r="963" spans="1:19">
      <c r="A963" s="83"/>
      <c r="B963" s="82"/>
      <c r="C963" s="82"/>
      <c r="D963" s="82"/>
      <c r="E963" s="82"/>
      <c r="F963" s="83"/>
      <c r="G963" s="83"/>
      <c r="H963" s="83"/>
      <c r="I963" s="6"/>
      <c r="J963" s="6"/>
      <c r="K963" s="6"/>
      <c r="L963" s="6"/>
      <c r="M963" s="6"/>
      <c r="N963" s="6"/>
      <c r="O963" s="6"/>
      <c r="P963" s="6"/>
      <c r="Q963" s="6"/>
      <c r="R963" s="6"/>
      <c r="S963" s="6"/>
    </row>
    <row r="964" spans="1:19">
      <c r="A964" s="83"/>
      <c r="B964" s="82"/>
      <c r="C964" s="82"/>
      <c r="D964" s="82"/>
      <c r="E964" s="82"/>
      <c r="F964" s="83"/>
      <c r="G964" s="83"/>
      <c r="H964" s="83"/>
      <c r="I964" s="6"/>
      <c r="J964" s="6"/>
      <c r="K964" s="6"/>
      <c r="L964" s="6"/>
      <c r="M964" s="6"/>
      <c r="N964" s="6"/>
      <c r="O964" s="6"/>
      <c r="P964" s="6"/>
      <c r="Q964" s="6"/>
      <c r="R964" s="6"/>
      <c r="S964" s="6"/>
    </row>
    <row r="965" spans="1:19">
      <c r="A965" s="83"/>
      <c r="B965" s="82"/>
      <c r="C965" s="82"/>
      <c r="D965" s="82"/>
      <c r="E965" s="82"/>
      <c r="F965" s="83"/>
      <c r="G965" s="83"/>
      <c r="H965" s="83"/>
      <c r="I965" s="6"/>
      <c r="J965" s="6"/>
      <c r="K965" s="6"/>
      <c r="L965" s="6"/>
      <c r="M965" s="6"/>
      <c r="N965" s="6"/>
      <c r="O965" s="6"/>
      <c r="P965" s="6"/>
      <c r="Q965" s="6"/>
      <c r="R965" s="6"/>
      <c r="S965" s="6"/>
    </row>
    <row r="966" spans="1:19">
      <c r="A966" s="83"/>
      <c r="B966" s="82"/>
      <c r="C966" s="82"/>
      <c r="D966" s="82"/>
      <c r="E966" s="82"/>
      <c r="F966" s="83"/>
      <c r="G966" s="83"/>
      <c r="H966" s="83"/>
      <c r="I966" s="6"/>
      <c r="J966" s="6"/>
      <c r="K966" s="6"/>
      <c r="L966" s="6"/>
      <c r="M966" s="6"/>
      <c r="N966" s="6"/>
      <c r="O966" s="6"/>
      <c r="P966" s="6"/>
      <c r="Q966" s="6"/>
      <c r="R966" s="6"/>
      <c r="S966" s="6"/>
    </row>
    <row r="967" spans="1:19">
      <c r="A967" s="83"/>
      <c r="B967" s="82"/>
      <c r="C967" s="82"/>
      <c r="D967" s="82"/>
      <c r="E967" s="82"/>
      <c r="F967" s="83"/>
      <c r="G967" s="83"/>
      <c r="H967" s="83"/>
      <c r="I967" s="6"/>
      <c r="J967" s="6"/>
      <c r="K967" s="6"/>
      <c r="L967" s="6"/>
      <c r="M967" s="6"/>
      <c r="N967" s="6"/>
      <c r="O967" s="6"/>
      <c r="P967" s="6"/>
      <c r="Q967" s="6"/>
      <c r="R967" s="6"/>
      <c r="S967" s="6"/>
    </row>
    <row r="968" spans="1:19">
      <c r="A968" s="83"/>
      <c r="B968" s="82"/>
      <c r="C968" s="82"/>
      <c r="D968" s="82"/>
      <c r="E968" s="82"/>
      <c r="F968" s="83"/>
      <c r="G968" s="83"/>
      <c r="H968" s="83"/>
      <c r="I968" s="6"/>
      <c r="J968" s="6"/>
      <c r="K968" s="6"/>
      <c r="L968" s="6"/>
      <c r="M968" s="6"/>
      <c r="N968" s="6"/>
      <c r="O968" s="6"/>
      <c r="P968" s="6"/>
      <c r="Q968" s="6"/>
      <c r="R968" s="6"/>
      <c r="S968" s="6"/>
    </row>
    <row r="969" spans="1:19">
      <c r="A969" s="83"/>
      <c r="B969" s="82"/>
      <c r="C969" s="82"/>
      <c r="D969" s="82"/>
      <c r="E969" s="82"/>
      <c r="F969" s="83"/>
      <c r="G969" s="83"/>
      <c r="H969" s="83"/>
      <c r="I969" s="6"/>
      <c r="J969" s="6"/>
      <c r="K969" s="6"/>
      <c r="L969" s="6"/>
      <c r="M969" s="6"/>
      <c r="N969" s="6"/>
      <c r="O969" s="6"/>
      <c r="P969" s="6"/>
      <c r="Q969" s="6"/>
      <c r="R969" s="6"/>
      <c r="S969" s="6"/>
    </row>
    <row r="970" spans="1:19">
      <c r="A970" s="83"/>
      <c r="B970" s="82"/>
      <c r="C970" s="82"/>
      <c r="D970" s="82"/>
      <c r="E970" s="82"/>
      <c r="F970" s="83"/>
      <c r="G970" s="83"/>
      <c r="H970" s="83"/>
      <c r="I970" s="6"/>
      <c r="J970" s="6"/>
      <c r="K970" s="6"/>
      <c r="L970" s="6"/>
      <c r="M970" s="6"/>
      <c r="N970" s="6"/>
      <c r="O970" s="6"/>
      <c r="P970" s="6"/>
      <c r="Q970" s="6"/>
      <c r="R970" s="6"/>
      <c r="S970" s="6"/>
    </row>
    <row r="971" spans="1:19">
      <c r="A971" s="83"/>
      <c r="B971" s="82"/>
      <c r="C971" s="82"/>
      <c r="D971" s="82"/>
      <c r="E971" s="82"/>
      <c r="F971" s="83"/>
      <c r="G971" s="83"/>
      <c r="H971" s="83"/>
      <c r="I971" s="6"/>
      <c r="J971" s="6"/>
      <c r="K971" s="6"/>
      <c r="L971" s="6"/>
      <c r="M971" s="6"/>
      <c r="N971" s="6"/>
      <c r="O971" s="6"/>
      <c r="P971" s="6"/>
      <c r="Q971" s="6"/>
      <c r="R971" s="6"/>
      <c r="S971" s="6"/>
    </row>
    <row r="972" spans="1:19">
      <c r="A972" s="83"/>
      <c r="B972" s="82"/>
      <c r="C972" s="82"/>
      <c r="D972" s="82"/>
      <c r="E972" s="82"/>
      <c r="F972" s="83"/>
      <c r="G972" s="83"/>
      <c r="H972" s="83"/>
      <c r="I972" s="6"/>
      <c r="J972" s="6"/>
      <c r="K972" s="6"/>
      <c r="L972" s="6"/>
      <c r="M972" s="6"/>
      <c r="N972" s="6"/>
      <c r="O972" s="6"/>
      <c r="P972" s="6"/>
      <c r="Q972" s="6"/>
      <c r="R972" s="6"/>
      <c r="S972" s="6"/>
    </row>
    <row r="973" spans="1:19">
      <c r="A973" s="83"/>
      <c r="B973" s="82"/>
      <c r="C973" s="82"/>
      <c r="D973" s="82"/>
      <c r="E973" s="82"/>
      <c r="F973" s="83"/>
      <c r="G973" s="83"/>
      <c r="H973" s="83"/>
      <c r="I973" s="6"/>
      <c r="J973" s="6"/>
      <c r="K973" s="6"/>
      <c r="L973" s="6"/>
      <c r="M973" s="6"/>
      <c r="N973" s="6"/>
      <c r="O973" s="6"/>
      <c r="P973" s="6"/>
      <c r="Q973" s="6"/>
      <c r="R973" s="6"/>
      <c r="S973" s="6"/>
    </row>
    <row r="974" spans="1:19">
      <c r="A974" s="83"/>
      <c r="B974" s="82"/>
      <c r="C974" s="82"/>
      <c r="D974" s="82"/>
      <c r="E974" s="82"/>
      <c r="F974" s="83"/>
      <c r="G974" s="83"/>
      <c r="H974" s="83"/>
      <c r="I974" s="6"/>
      <c r="J974" s="6"/>
      <c r="K974" s="6"/>
      <c r="L974" s="6"/>
      <c r="M974" s="6"/>
      <c r="N974" s="6"/>
      <c r="O974" s="6"/>
      <c r="P974" s="6"/>
      <c r="Q974" s="6"/>
      <c r="R974" s="6"/>
      <c r="S974" s="6"/>
    </row>
    <row r="975" spans="1:19">
      <c r="A975" s="83"/>
      <c r="B975" s="82"/>
      <c r="C975" s="82"/>
      <c r="D975" s="82"/>
      <c r="E975" s="82"/>
      <c r="F975" s="83"/>
      <c r="G975" s="83"/>
      <c r="H975" s="83"/>
      <c r="I975" s="6"/>
      <c r="J975" s="6"/>
      <c r="K975" s="6"/>
      <c r="L975" s="6"/>
      <c r="M975" s="6"/>
      <c r="N975" s="6"/>
      <c r="O975" s="6"/>
      <c r="P975" s="6"/>
      <c r="Q975" s="6"/>
      <c r="R975" s="6"/>
      <c r="S975" s="6"/>
    </row>
    <row r="976" spans="1:19">
      <c r="A976" s="83"/>
      <c r="B976" s="82"/>
      <c r="C976" s="82"/>
      <c r="D976" s="82"/>
      <c r="E976" s="82"/>
      <c r="F976" s="83"/>
      <c r="G976" s="83"/>
      <c r="H976" s="83"/>
      <c r="I976" s="6"/>
      <c r="J976" s="6"/>
      <c r="K976" s="6"/>
      <c r="L976" s="6"/>
      <c r="M976" s="6"/>
      <c r="N976" s="6"/>
      <c r="O976" s="6"/>
      <c r="P976" s="6"/>
      <c r="Q976" s="6"/>
      <c r="R976" s="6"/>
      <c r="S976" s="6"/>
    </row>
    <row r="977" spans="1:19">
      <c r="A977" s="83"/>
      <c r="B977" s="82"/>
      <c r="C977" s="82"/>
      <c r="D977" s="82"/>
      <c r="E977" s="82"/>
      <c r="F977" s="83"/>
      <c r="G977" s="83"/>
      <c r="H977" s="83"/>
      <c r="I977" s="6"/>
      <c r="J977" s="6"/>
      <c r="K977" s="6"/>
      <c r="L977" s="6"/>
      <c r="M977" s="6"/>
      <c r="N977" s="6"/>
      <c r="O977" s="6"/>
      <c r="P977" s="6"/>
      <c r="Q977" s="6"/>
      <c r="R977" s="6"/>
      <c r="S977" s="6"/>
    </row>
    <row r="978" spans="1:19">
      <c r="A978" s="83"/>
      <c r="B978" s="82"/>
      <c r="C978" s="82"/>
      <c r="D978" s="82"/>
      <c r="E978" s="82"/>
      <c r="F978" s="83"/>
      <c r="G978" s="83"/>
      <c r="H978" s="83"/>
      <c r="I978" s="6"/>
      <c r="J978" s="6"/>
      <c r="K978" s="6"/>
      <c r="L978" s="6"/>
      <c r="M978" s="6"/>
      <c r="N978" s="6"/>
      <c r="O978" s="6"/>
      <c r="P978" s="6"/>
      <c r="Q978" s="6"/>
      <c r="R978" s="6"/>
      <c r="S978" s="6"/>
    </row>
    <row r="979" spans="1:19">
      <c r="A979" s="83"/>
      <c r="B979" s="82"/>
      <c r="C979" s="82"/>
      <c r="D979" s="82"/>
      <c r="E979" s="82"/>
      <c r="F979" s="83"/>
      <c r="G979" s="83"/>
      <c r="H979" s="83"/>
      <c r="I979" s="6"/>
      <c r="J979" s="6"/>
      <c r="K979" s="6"/>
      <c r="L979" s="6"/>
      <c r="M979" s="6"/>
      <c r="N979" s="6"/>
      <c r="O979" s="6"/>
      <c r="P979" s="6"/>
      <c r="Q979" s="6"/>
      <c r="R979" s="6"/>
      <c r="S979" s="6"/>
    </row>
    <row r="980" spans="1:19">
      <c r="A980" s="83"/>
      <c r="B980" s="82"/>
      <c r="C980" s="82"/>
      <c r="D980" s="82"/>
      <c r="E980" s="82"/>
      <c r="F980" s="83"/>
      <c r="G980" s="83"/>
      <c r="H980" s="83"/>
      <c r="I980" s="6"/>
      <c r="J980" s="6"/>
      <c r="K980" s="6"/>
      <c r="L980" s="6"/>
      <c r="M980" s="6"/>
      <c r="N980" s="6"/>
      <c r="O980" s="6"/>
      <c r="P980" s="6"/>
      <c r="Q980" s="6"/>
      <c r="R980" s="6"/>
      <c r="S980" s="6"/>
    </row>
    <row r="981" spans="1:19">
      <c r="A981" s="83"/>
      <c r="B981" s="82"/>
      <c r="C981" s="82"/>
      <c r="D981" s="82"/>
      <c r="E981" s="82"/>
      <c r="F981" s="83"/>
      <c r="G981" s="83"/>
      <c r="H981" s="83"/>
      <c r="I981" s="6"/>
      <c r="J981" s="6"/>
      <c r="K981" s="6"/>
      <c r="L981" s="6"/>
      <c r="M981" s="6"/>
      <c r="N981" s="6"/>
      <c r="O981" s="6"/>
      <c r="P981" s="6"/>
      <c r="Q981" s="6"/>
      <c r="R981" s="6"/>
      <c r="S981" s="6"/>
    </row>
    <row r="982" spans="1:19">
      <c r="A982" s="83"/>
      <c r="B982" s="82"/>
      <c r="C982" s="82"/>
      <c r="D982" s="82"/>
      <c r="E982" s="82"/>
      <c r="F982" s="83"/>
      <c r="G982" s="83"/>
      <c r="H982" s="83"/>
      <c r="I982" s="6"/>
      <c r="J982" s="6"/>
      <c r="K982" s="6"/>
      <c r="L982" s="6"/>
      <c r="M982" s="6"/>
      <c r="N982" s="6"/>
      <c r="O982" s="6"/>
      <c r="P982" s="6"/>
      <c r="Q982" s="6"/>
      <c r="R982" s="6"/>
      <c r="S982" s="6"/>
    </row>
    <row r="983" spans="1:19">
      <c r="A983" s="83"/>
      <c r="B983" s="82"/>
      <c r="C983" s="82"/>
      <c r="D983" s="82"/>
      <c r="E983" s="82"/>
      <c r="F983" s="83"/>
      <c r="G983" s="83"/>
      <c r="H983" s="83"/>
      <c r="I983" s="6"/>
      <c r="J983" s="6"/>
      <c r="K983" s="6"/>
      <c r="L983" s="6"/>
      <c r="M983" s="6"/>
      <c r="N983" s="6"/>
      <c r="O983" s="6"/>
      <c r="P983" s="6"/>
      <c r="Q983" s="6"/>
      <c r="R983" s="6"/>
      <c r="S983" s="6"/>
    </row>
    <row r="984" spans="1:19">
      <c r="A984" s="83"/>
      <c r="B984" s="82"/>
      <c r="C984" s="82"/>
      <c r="D984" s="82"/>
      <c r="E984" s="82"/>
      <c r="F984" s="83"/>
      <c r="G984" s="83"/>
      <c r="H984" s="83"/>
      <c r="I984" s="6"/>
      <c r="J984" s="6"/>
      <c r="K984" s="6"/>
      <c r="L984" s="6"/>
      <c r="M984" s="6"/>
      <c r="N984" s="6"/>
      <c r="O984" s="6"/>
      <c r="P984" s="6"/>
      <c r="Q984" s="6"/>
      <c r="R984" s="6"/>
      <c r="S984" s="6"/>
    </row>
    <row r="985" spans="1:19">
      <c r="A985" s="83"/>
      <c r="B985" s="82"/>
      <c r="C985" s="82"/>
      <c r="D985" s="82"/>
      <c r="E985" s="82"/>
      <c r="F985" s="83"/>
      <c r="G985" s="83"/>
      <c r="H985" s="83"/>
      <c r="I985" s="6"/>
      <c r="J985" s="6"/>
      <c r="K985" s="6"/>
      <c r="L985" s="6"/>
      <c r="M985" s="6"/>
      <c r="N985" s="6"/>
      <c r="O985" s="6"/>
      <c r="P985" s="6"/>
      <c r="Q985" s="6"/>
      <c r="R985" s="6"/>
      <c r="S985" s="6"/>
    </row>
    <row r="986" spans="1:19">
      <c r="A986" s="83"/>
      <c r="B986" s="82"/>
      <c r="C986" s="82"/>
      <c r="D986" s="82"/>
      <c r="E986" s="82"/>
      <c r="F986" s="83"/>
      <c r="G986" s="83"/>
      <c r="H986" s="83"/>
      <c r="I986" s="6"/>
      <c r="J986" s="6"/>
      <c r="K986" s="6"/>
      <c r="L986" s="6"/>
      <c r="M986" s="6"/>
      <c r="N986" s="6"/>
      <c r="O986" s="6"/>
      <c r="P986" s="6"/>
      <c r="Q986" s="6"/>
      <c r="R986" s="6"/>
      <c r="S986" s="6"/>
    </row>
    <row r="987" spans="1:19">
      <c r="A987" s="83"/>
      <c r="B987" s="82"/>
      <c r="C987" s="82"/>
      <c r="D987" s="82"/>
      <c r="E987" s="82"/>
      <c r="F987" s="83"/>
      <c r="G987" s="83"/>
      <c r="H987" s="83"/>
      <c r="I987" s="6"/>
      <c r="J987" s="6"/>
      <c r="K987" s="6"/>
      <c r="L987" s="6"/>
      <c r="M987" s="6"/>
      <c r="N987" s="6"/>
      <c r="O987" s="6"/>
      <c r="P987" s="6"/>
      <c r="Q987" s="6"/>
      <c r="R987" s="6"/>
      <c r="S987" s="6"/>
    </row>
    <row r="988" spans="1:19">
      <c r="A988" s="83"/>
      <c r="B988" s="82"/>
      <c r="C988" s="82"/>
      <c r="D988" s="82"/>
      <c r="E988" s="82"/>
      <c r="F988" s="83"/>
      <c r="G988" s="83"/>
      <c r="H988" s="83"/>
      <c r="I988" s="6"/>
      <c r="J988" s="6"/>
      <c r="K988" s="6"/>
      <c r="L988" s="6"/>
      <c r="M988" s="6"/>
      <c r="N988" s="6"/>
      <c r="O988" s="6"/>
      <c r="P988" s="6"/>
      <c r="Q988" s="6"/>
      <c r="R988" s="6"/>
      <c r="S988" s="6"/>
    </row>
    <row r="989" spans="1:19">
      <c r="A989" s="83"/>
      <c r="B989" s="82"/>
      <c r="C989" s="82"/>
      <c r="D989" s="82"/>
      <c r="E989" s="82"/>
      <c r="F989" s="83"/>
      <c r="G989" s="83"/>
      <c r="H989" s="83"/>
      <c r="I989" s="6"/>
      <c r="J989" s="6"/>
      <c r="K989" s="6"/>
      <c r="L989" s="6"/>
      <c r="M989" s="6"/>
      <c r="N989" s="6"/>
      <c r="O989" s="6"/>
      <c r="P989" s="6"/>
      <c r="Q989" s="6"/>
      <c r="R989" s="6"/>
      <c r="S989" s="6"/>
    </row>
    <row r="990" spans="1:19">
      <c r="A990" s="83"/>
      <c r="B990" s="82"/>
      <c r="C990" s="82"/>
      <c r="D990" s="82"/>
      <c r="E990" s="82"/>
      <c r="F990" s="83"/>
      <c r="G990" s="83"/>
      <c r="H990" s="83"/>
      <c r="I990" s="6"/>
      <c r="J990" s="6"/>
      <c r="K990" s="6"/>
      <c r="L990" s="6"/>
      <c r="M990" s="6"/>
      <c r="N990" s="6"/>
      <c r="O990" s="6"/>
      <c r="P990" s="6"/>
      <c r="Q990" s="6"/>
      <c r="R990" s="6"/>
      <c r="S990" s="6"/>
    </row>
    <row r="991" spans="1:19">
      <c r="A991" s="83"/>
      <c r="B991" s="82"/>
      <c r="C991" s="82"/>
      <c r="D991" s="82"/>
      <c r="E991" s="82"/>
      <c r="F991" s="83"/>
      <c r="G991" s="83"/>
      <c r="H991" s="83"/>
      <c r="I991" s="6"/>
      <c r="J991" s="6"/>
      <c r="K991" s="6"/>
      <c r="L991" s="6"/>
      <c r="M991" s="6"/>
      <c r="N991" s="6"/>
      <c r="O991" s="6"/>
      <c r="P991" s="6"/>
      <c r="Q991" s="6"/>
      <c r="R991" s="6"/>
      <c r="S991" s="6"/>
    </row>
    <row r="992" spans="1:19">
      <c r="A992" s="83"/>
      <c r="B992" s="82"/>
      <c r="C992" s="82"/>
      <c r="D992" s="82"/>
      <c r="E992" s="82"/>
      <c r="F992" s="83"/>
      <c r="G992" s="83"/>
      <c r="H992" s="83"/>
      <c r="I992" s="6"/>
      <c r="J992" s="6"/>
      <c r="K992" s="6"/>
      <c r="L992" s="6"/>
      <c r="M992" s="6"/>
      <c r="N992" s="6"/>
      <c r="O992" s="6"/>
      <c r="P992" s="6"/>
      <c r="Q992" s="6"/>
      <c r="R992" s="6"/>
      <c r="S992" s="6"/>
    </row>
    <row r="993" spans="1:19">
      <c r="A993" s="83"/>
      <c r="B993" s="82"/>
      <c r="C993" s="82"/>
      <c r="D993" s="82"/>
      <c r="E993" s="82"/>
      <c r="F993" s="83"/>
      <c r="G993" s="83"/>
      <c r="H993" s="83"/>
      <c r="I993" s="6"/>
      <c r="J993" s="6"/>
      <c r="K993" s="6"/>
      <c r="L993" s="6"/>
      <c r="M993" s="6"/>
      <c r="N993" s="6"/>
      <c r="O993" s="6"/>
      <c r="P993" s="6"/>
      <c r="Q993" s="6"/>
      <c r="R993" s="6"/>
      <c r="S993" s="6"/>
    </row>
    <row r="994" spans="1:19">
      <c r="A994" s="83"/>
      <c r="B994" s="82"/>
      <c r="C994" s="82"/>
      <c r="D994" s="82"/>
      <c r="E994" s="82"/>
      <c r="F994" s="83"/>
      <c r="G994" s="83"/>
      <c r="H994" s="83"/>
      <c r="I994" s="6"/>
      <c r="J994" s="6"/>
      <c r="K994" s="6"/>
      <c r="L994" s="6"/>
      <c r="M994" s="6"/>
      <c r="N994" s="6"/>
      <c r="O994" s="6"/>
      <c r="P994" s="6"/>
      <c r="Q994" s="6"/>
      <c r="R994" s="6"/>
      <c r="S994" s="6"/>
    </row>
    <row r="995" spans="1:19">
      <c r="A995" s="83"/>
      <c r="B995" s="82"/>
      <c r="C995" s="82"/>
      <c r="D995" s="82"/>
      <c r="E995" s="82"/>
      <c r="F995" s="83"/>
      <c r="G995" s="83"/>
      <c r="H995" s="83"/>
      <c r="I995" s="6"/>
      <c r="J995" s="6"/>
      <c r="K995" s="6"/>
      <c r="L995" s="6"/>
      <c r="M995" s="6"/>
      <c r="N995" s="6"/>
      <c r="O995" s="6"/>
      <c r="P995" s="6"/>
      <c r="Q995" s="6"/>
      <c r="R995" s="6"/>
      <c r="S995" s="6"/>
    </row>
    <row r="996" spans="1:19">
      <c r="A996" s="83"/>
      <c r="B996" s="82"/>
      <c r="C996" s="82"/>
      <c r="D996" s="82"/>
      <c r="E996" s="82"/>
      <c r="F996" s="83"/>
      <c r="G996" s="83"/>
      <c r="H996" s="83"/>
      <c r="I996" s="6"/>
      <c r="J996" s="6"/>
      <c r="K996" s="6"/>
      <c r="L996" s="6"/>
      <c r="M996" s="6"/>
      <c r="N996" s="6"/>
      <c r="O996" s="6"/>
      <c r="P996" s="6"/>
      <c r="Q996" s="6"/>
      <c r="R996" s="6"/>
      <c r="S996" s="6"/>
    </row>
    <row r="997" spans="1:19">
      <c r="A997" s="83"/>
      <c r="B997" s="82"/>
      <c r="C997" s="82"/>
      <c r="D997" s="82"/>
      <c r="E997" s="82"/>
      <c r="F997" s="83"/>
      <c r="G997" s="83"/>
      <c r="H997" s="83"/>
      <c r="I997" s="6"/>
      <c r="J997" s="6"/>
      <c r="K997" s="6"/>
      <c r="L997" s="6"/>
      <c r="M997" s="6"/>
      <c r="N997" s="6"/>
      <c r="O997" s="6"/>
      <c r="P997" s="6"/>
      <c r="Q997" s="6"/>
      <c r="R997" s="6"/>
      <c r="S997" s="6"/>
    </row>
    <row r="998" spans="1:19">
      <c r="A998" s="83"/>
      <c r="B998" s="82"/>
      <c r="C998" s="82"/>
      <c r="D998" s="82"/>
      <c r="E998" s="82"/>
      <c r="F998" s="83"/>
      <c r="G998" s="83"/>
      <c r="H998" s="83"/>
      <c r="I998" s="6"/>
      <c r="J998" s="6"/>
      <c r="K998" s="6"/>
      <c r="L998" s="6"/>
      <c r="M998" s="6"/>
      <c r="N998" s="6"/>
      <c r="O998" s="6"/>
      <c r="P998" s="6"/>
      <c r="Q998" s="6"/>
      <c r="R998" s="6"/>
      <c r="S998" s="6"/>
    </row>
    <row r="999" spans="1:19">
      <c r="A999" s="83"/>
      <c r="B999" s="82"/>
      <c r="C999" s="82"/>
      <c r="D999" s="82"/>
      <c r="E999" s="82"/>
      <c r="F999" s="83"/>
      <c r="G999" s="83"/>
      <c r="H999" s="83"/>
      <c r="I999" s="6"/>
      <c r="J999" s="6"/>
      <c r="K999" s="6"/>
      <c r="L999" s="6"/>
      <c r="M999" s="6"/>
      <c r="N999" s="6"/>
      <c r="O999" s="6"/>
      <c r="P999" s="6"/>
      <c r="Q999" s="6"/>
      <c r="R999" s="6"/>
      <c r="S999" s="6"/>
    </row>
    <row r="1000" spans="1:19">
      <c r="A1000" s="83"/>
      <c r="B1000" s="82"/>
      <c r="C1000" s="82"/>
      <c r="D1000" s="82"/>
      <c r="E1000" s="82"/>
      <c r="F1000" s="83"/>
      <c r="G1000" s="83"/>
      <c r="H1000" s="83"/>
      <c r="I1000" s="6"/>
      <c r="J1000" s="6"/>
      <c r="K1000" s="6"/>
      <c r="L1000" s="6"/>
      <c r="M1000" s="6"/>
      <c r="N1000" s="6"/>
      <c r="O1000" s="6"/>
      <c r="P1000" s="6"/>
      <c r="Q1000" s="6"/>
      <c r="R1000" s="6"/>
      <c r="S1000" s="6"/>
    </row>
    <row r="1001" spans="1:19">
      <c r="A1001" s="83"/>
      <c r="B1001" s="82"/>
      <c r="C1001" s="82"/>
      <c r="D1001" s="82"/>
      <c r="E1001" s="82"/>
      <c r="F1001" s="83"/>
      <c r="G1001" s="83"/>
      <c r="H1001" s="83"/>
      <c r="I1001" s="6"/>
      <c r="J1001" s="6"/>
      <c r="K1001" s="6"/>
      <c r="L1001" s="6"/>
      <c r="M1001" s="6"/>
      <c r="N1001" s="6"/>
      <c r="O1001" s="6"/>
      <c r="P1001" s="6"/>
      <c r="Q1001" s="6"/>
      <c r="R1001" s="6"/>
      <c r="S1001" s="6"/>
    </row>
    <row r="1002" spans="1:19">
      <c r="A1002" s="83"/>
      <c r="B1002" s="82"/>
      <c r="C1002" s="82"/>
      <c r="D1002" s="82"/>
      <c r="E1002" s="82"/>
      <c r="F1002" s="83"/>
      <c r="G1002" s="83"/>
      <c r="H1002" s="83"/>
      <c r="I1002" s="6"/>
      <c r="J1002" s="6"/>
      <c r="K1002" s="6"/>
      <c r="L1002" s="6"/>
      <c r="M1002" s="6"/>
      <c r="N1002" s="6"/>
      <c r="O1002" s="6"/>
      <c r="P1002" s="6"/>
      <c r="Q1002" s="6"/>
      <c r="R1002" s="6"/>
      <c r="S1002" s="6"/>
    </row>
    <row r="1003" spans="1:19">
      <c r="A1003" s="83"/>
      <c r="B1003" s="82"/>
      <c r="C1003" s="82"/>
      <c r="D1003" s="82"/>
      <c r="E1003" s="82"/>
      <c r="F1003" s="83"/>
      <c r="G1003" s="83"/>
      <c r="H1003" s="83"/>
      <c r="I1003" s="6"/>
      <c r="J1003" s="6"/>
      <c r="K1003" s="6"/>
      <c r="L1003" s="6"/>
      <c r="M1003" s="6"/>
      <c r="N1003" s="6"/>
      <c r="O1003" s="6"/>
      <c r="P1003" s="6"/>
      <c r="Q1003" s="6"/>
      <c r="R1003" s="6"/>
      <c r="S1003" s="6"/>
    </row>
    <row r="1004" spans="1:19">
      <c r="A1004" s="83"/>
      <c r="B1004" s="82"/>
      <c r="C1004" s="82"/>
      <c r="D1004" s="82"/>
      <c r="E1004" s="82"/>
      <c r="F1004" s="83"/>
      <c r="G1004" s="83"/>
      <c r="H1004" s="83"/>
      <c r="I1004" s="6"/>
      <c r="J1004" s="6"/>
      <c r="K1004" s="6"/>
      <c r="L1004" s="6"/>
      <c r="M1004" s="6"/>
      <c r="N1004" s="6"/>
      <c r="O1004" s="6"/>
      <c r="P1004" s="6"/>
      <c r="Q1004" s="6"/>
      <c r="R1004" s="6"/>
      <c r="S1004" s="6"/>
    </row>
    <row r="1005" spans="1:19">
      <c r="A1005" s="83"/>
      <c r="B1005" s="82"/>
      <c r="C1005" s="82"/>
      <c r="D1005" s="82"/>
      <c r="E1005" s="82"/>
      <c r="F1005" s="83"/>
      <c r="G1005" s="83"/>
      <c r="H1005" s="83"/>
      <c r="I1005" s="6"/>
      <c r="J1005" s="6"/>
      <c r="K1005" s="6"/>
      <c r="L1005" s="6"/>
      <c r="M1005" s="6"/>
      <c r="N1005" s="6"/>
      <c r="O1005" s="6"/>
      <c r="P1005" s="6"/>
      <c r="Q1005" s="6"/>
      <c r="R1005" s="6"/>
      <c r="S1005" s="6"/>
    </row>
    <row r="1006" spans="1:19">
      <c r="A1006" s="83"/>
      <c r="B1006" s="82"/>
      <c r="C1006" s="82"/>
      <c r="D1006" s="82"/>
      <c r="E1006" s="82"/>
      <c r="F1006" s="83"/>
      <c r="G1006" s="83"/>
      <c r="H1006" s="83"/>
      <c r="I1006" s="6"/>
      <c r="J1006" s="6"/>
      <c r="K1006" s="6"/>
      <c r="L1006" s="6"/>
      <c r="M1006" s="6"/>
      <c r="N1006" s="6"/>
      <c r="O1006" s="6"/>
      <c r="P1006" s="6"/>
      <c r="Q1006" s="6"/>
      <c r="R1006" s="6"/>
      <c r="S1006" s="6"/>
    </row>
    <row r="1007" spans="1:19">
      <c r="A1007" s="83"/>
      <c r="B1007" s="82"/>
      <c r="C1007" s="82"/>
      <c r="D1007" s="82"/>
      <c r="E1007" s="82"/>
      <c r="F1007" s="83"/>
      <c r="G1007" s="83"/>
      <c r="H1007" s="83"/>
      <c r="I1007" s="6"/>
      <c r="J1007" s="6"/>
      <c r="K1007" s="6"/>
      <c r="L1007" s="6"/>
      <c r="M1007" s="6"/>
      <c r="N1007" s="6"/>
      <c r="O1007" s="6"/>
      <c r="P1007" s="6"/>
      <c r="Q1007" s="6"/>
      <c r="R1007" s="6"/>
      <c r="S1007" s="6"/>
    </row>
    <row r="1008" spans="1:19">
      <c r="A1008" s="83"/>
      <c r="B1008" s="82"/>
      <c r="C1008" s="82"/>
      <c r="D1008" s="82"/>
      <c r="E1008" s="82"/>
      <c r="F1008" s="83"/>
      <c r="G1008" s="83"/>
      <c r="H1008" s="83"/>
      <c r="I1008" s="6"/>
      <c r="J1008" s="6"/>
      <c r="K1008" s="6"/>
      <c r="L1008" s="6"/>
      <c r="M1008" s="6"/>
      <c r="N1008" s="6"/>
      <c r="O1008" s="6"/>
      <c r="P1008" s="6"/>
      <c r="Q1008" s="6"/>
      <c r="R1008" s="6"/>
      <c r="S1008" s="6"/>
    </row>
    <row r="1009" spans="1:19">
      <c r="A1009" s="83"/>
      <c r="B1009" s="82"/>
      <c r="C1009" s="82"/>
      <c r="D1009" s="82"/>
      <c r="E1009" s="82"/>
      <c r="F1009" s="83"/>
      <c r="G1009" s="83"/>
      <c r="H1009" s="83"/>
      <c r="I1009" s="6"/>
      <c r="J1009" s="6"/>
      <c r="K1009" s="6"/>
      <c r="L1009" s="6"/>
      <c r="M1009" s="6"/>
      <c r="N1009" s="6"/>
      <c r="O1009" s="6"/>
      <c r="P1009" s="6"/>
      <c r="Q1009" s="6"/>
      <c r="R1009" s="6"/>
      <c r="S1009" s="6"/>
    </row>
  </sheetData>
  <mergeCells count="7">
    <mergeCell ref="G1:G2"/>
    <mergeCell ref="H1:H2"/>
    <mergeCell ref="B1:B2"/>
    <mergeCell ref="C1:C2"/>
    <mergeCell ref="D1:D2"/>
    <mergeCell ref="E1:E2"/>
    <mergeCell ref="F1:F2"/>
  </mergeCells>
  <conditionalFormatting sqref="C3:D47 F3:F47 E37:E42 G37:G42 H37:H39">
    <cfRule type="colorScale" priority="4">
      <colorScale>
        <cfvo type="formula" val="1"/>
        <cfvo type="formula" val="3"/>
        <cfvo type="formula" val="5"/>
        <color rgb="FFE67C73"/>
        <color rgb="FFFFFFFF"/>
        <color rgb="FF57BB8A"/>
      </colorScale>
    </cfRule>
  </conditionalFormatting>
  <conditionalFormatting sqref="C3:H47">
    <cfRule type="containsText" dxfId="37" priority="2" operator="containsText" text="Null">
      <formula>NOT(ISERROR(SEARCH(("Null"),(C3))))</formula>
    </cfRule>
    <cfRule type="containsText" dxfId="36" priority="3" operator="containsText" text="NA">
      <formula>NOT(ISERROR(SEARCH(("NA"),(C3))))</formula>
    </cfRule>
  </conditionalFormatting>
  <conditionalFormatting sqref="E3:E47">
    <cfRule type="colorScale" priority="6">
      <colorScale>
        <cfvo type="formula" val="1"/>
        <cfvo type="formula" val="3"/>
        <cfvo type="formula" val="5"/>
        <color rgb="FF57BB8A"/>
        <color rgb="FFFFFFFF"/>
        <color rgb="FFE67C73"/>
      </colorScale>
    </cfRule>
  </conditionalFormatting>
  <conditionalFormatting sqref="G3:G47">
    <cfRule type="colorScale" priority="5">
      <colorScale>
        <cfvo type="percentile" val="0"/>
        <cfvo type="percentile" val="50"/>
        <cfvo type="percentile" val="100"/>
        <color rgb="FF57BB8A"/>
        <color rgb="FFFFFFFF"/>
        <color rgb="FFE67C73"/>
      </colorScale>
    </cfRule>
  </conditionalFormatting>
  <conditionalFormatting sqref="H3:H47">
    <cfRule type="colorScale" priority="1">
      <colorScale>
        <cfvo type="percentile" val="0"/>
        <cfvo type="percentile" val="50"/>
        <cfvo type="percentile" val="100"/>
        <color rgb="FF6AA84F"/>
        <color rgb="FFFFFFFF"/>
        <color rgb="FFA61C00"/>
      </colorScale>
    </cfRule>
  </conditionalFormatting>
  <hyperlinks>
    <hyperlink ref="A1" r:id="rId1" xr:uid="{00000000-0004-0000-0200-000000000000}"/>
  </hyperlinks>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EA9999"/>
    <outlinePr summaryBelow="0" summaryRight="0"/>
  </sheetPr>
  <dimension ref="A1:AA1000"/>
  <sheetViews>
    <sheetView topLeftCell="G1" workbookViewId="0"/>
  </sheetViews>
  <sheetFormatPr baseColWidth="10" defaultColWidth="14.5" defaultRowHeight="15" customHeight="1"/>
  <cols>
    <col min="1" max="2" width="37.33203125" hidden="1" customWidth="1"/>
    <col min="3" max="3" width="49" hidden="1" customWidth="1"/>
    <col min="4" max="6" width="14.5" hidden="1"/>
    <col min="7" max="7" width="36.83203125" customWidth="1"/>
    <col min="8" max="8" width="157.6640625" customWidth="1"/>
    <col min="9" max="10" width="14.5" hidden="1"/>
  </cols>
  <sheetData>
    <row r="1" spans="1:27" ht="23.25" customHeight="1">
      <c r="A1" s="166" t="s">
        <v>271</v>
      </c>
      <c r="B1" s="166" t="s">
        <v>271</v>
      </c>
      <c r="C1" s="167" t="s">
        <v>272</v>
      </c>
      <c r="D1" s="168" t="s">
        <v>273</v>
      </c>
      <c r="E1" s="168" t="s">
        <v>273</v>
      </c>
      <c r="G1" s="169" t="str">
        <f ca="1">IFERROR(__xludf.DUMMYFUNCTION("QUERY(B:E, ""SELECT * ORDER BY D DESC, E ASC"", 1)"),"Course Name")</f>
        <v>Course Name</v>
      </c>
      <c r="H1" s="169" t="str">
        <f ca="1">IFERROR(__xludf.DUMMYFUNCTION("""COMPUTED_VALUE"""),"Feedback on the Course")</f>
        <v>Feedback on the Course</v>
      </c>
      <c r="I1" s="168" t="str">
        <f ca="1">IFERROR(__xludf.DUMMYFUNCTION("""COMPUTED_VALUE"""),"Filters")</f>
        <v>Filters</v>
      </c>
      <c r="J1" s="168" t="str">
        <f ca="1">IFERROR(__xludf.DUMMYFUNCTION("""COMPUTED_VALUE"""),"Filters")</f>
        <v>Filters</v>
      </c>
    </row>
    <row r="2" spans="1:27" ht="34">
      <c r="A2" s="170" t="str">
        <f t="shared" ref="A2:A189" ca="1" si="0">IFERROR(RIGHT(B2, LEN(B2) - FIND(" - ", B2) - 2),"")</f>
        <v>Dynamic Programming, Greedy Algorithms</v>
      </c>
      <c r="B2" s="171" t="str">
        <f t="shared" ref="B2:B218" ca="1" si="1">INDIRECT("'MSCS Review Responses'!B" &amp; ROW())</f>
        <v>CSCA 5414 - Dynamic Programming, Greedy Algorithms</v>
      </c>
      <c r="C2" s="171" t="str">
        <f t="shared" ref="C2:C252" ca="1" si="2">INDIRECT("'MSCS Review Responses'!G" &amp; ROW())</f>
        <v>The course is very well structured and you honestly just have to listen carefully to the Prof and do the assignments that helped to reinforce the learning. Its good to do the first 2 series of the DSA courses as they are the building foundation for the rest of the specialisation although they are non credited.</v>
      </c>
      <c r="D2" s="172">
        <f t="shared" ref="D2:D189" ca="1" si="3">IF(ISBLANK(C2), 0, 1)</f>
        <v>1</v>
      </c>
      <c r="E2" s="172">
        <v>3</v>
      </c>
      <c r="F2" s="172"/>
      <c r="G2" s="173" t="str">
        <f ca="1">IFERROR(__xludf.DUMMYFUNCTION("""COMPUTED_VALUE"""),"CSCA 5234 - Ethical Issues in Computing Applications")</f>
        <v>CSCA 5234 - Ethical Issues in Computing Applications</v>
      </c>
      <c r="H2" s="174" t="str">
        <f ca="1">IFERROR(__xludf.DUMMYFUNCTION("""COMPUTED_VALUE"""),"Prepare in advance to write many essays")</f>
        <v>Prepare in advance to write many essays</v>
      </c>
      <c r="I2" s="172">
        <f ca="1">IFERROR(__xludf.DUMMYFUNCTION("""COMPUTED_VALUE"""),1)</f>
        <v>1</v>
      </c>
      <c r="J2" s="172"/>
      <c r="K2" s="172"/>
      <c r="L2" s="172"/>
      <c r="M2" s="172"/>
      <c r="N2" s="172"/>
      <c r="O2" s="172"/>
      <c r="P2" s="172"/>
      <c r="Q2" s="172"/>
      <c r="R2" s="172"/>
      <c r="S2" s="172"/>
      <c r="T2" s="172"/>
      <c r="U2" s="172"/>
      <c r="V2" s="172"/>
      <c r="W2" s="172"/>
      <c r="X2" s="172"/>
      <c r="Y2" s="172"/>
      <c r="Z2" s="172"/>
      <c r="AA2" s="172"/>
    </row>
    <row r="3" spans="1:27" ht="34">
      <c r="A3" s="170" t="str">
        <f t="shared" ca="1" si="0"/>
        <v>Introduction to Machine Learning: Supervised Learning</v>
      </c>
      <c r="B3" s="171" t="str">
        <f t="shared" ca="1" si="1"/>
        <v>CSCA 5622 - Introduction to Machine Learning: Supervised Learning</v>
      </c>
      <c r="C3" s="171">
        <f t="shared" ca="1" si="2"/>
        <v>0</v>
      </c>
      <c r="D3" s="172">
        <f t="shared" ca="1" si="3"/>
        <v>1</v>
      </c>
      <c r="E3" s="172">
        <v>9</v>
      </c>
      <c r="F3" s="172"/>
      <c r="G3" s="174" t="str">
        <f ca="1">IFERROR(__xludf.DUMMYFUNCTION("""COMPUTED_VALUE"""),"CSCA 5414 - Dynamic Programming, Greedy Algorithms")</f>
        <v>CSCA 5414 - Dynamic Programming, Greedy Algorithms</v>
      </c>
      <c r="H3" s="174" t="str">
        <f ca="1">IFERROR(__xludf.DUMMYFUNCTION("""COMPUTED_VALUE"""),"The course is very well structured and you honestly just have to listen carefully to the Prof and do the assignments that helped to reinforce the learning. Its good to do the first 2 series of the DSA courses as they are the building foundation for the re"&amp;"st of the specialisation although they are non credited.")</f>
        <v>The course is very well structured and you honestly just have to listen carefully to the Prof and do the assignments that helped to reinforce the learning. Its good to do the first 2 series of the DSA courses as they are the building foundation for the rest of the specialisation although they are non credited.</v>
      </c>
      <c r="I3" s="172">
        <f ca="1">IFERROR(__xludf.DUMMYFUNCTION("""COMPUTED_VALUE"""),1)</f>
        <v>1</v>
      </c>
      <c r="J3" s="172">
        <f ca="1">IFERROR(__xludf.DUMMYFUNCTION("""COMPUTED_VALUE"""),3)</f>
        <v>3</v>
      </c>
      <c r="K3" s="172"/>
      <c r="L3" s="172"/>
      <c r="M3" s="172"/>
      <c r="N3" s="172"/>
      <c r="O3" s="172"/>
      <c r="P3" s="172"/>
      <c r="Q3" s="172"/>
      <c r="R3" s="172"/>
      <c r="S3" s="172"/>
      <c r="T3" s="172"/>
      <c r="U3" s="172"/>
      <c r="V3" s="172"/>
      <c r="W3" s="172"/>
      <c r="X3" s="172"/>
      <c r="Y3" s="172"/>
      <c r="Z3" s="172"/>
      <c r="AA3" s="172"/>
    </row>
    <row r="4" spans="1:27" ht="34">
      <c r="A4" s="170" t="str">
        <f t="shared" ca="1" si="0"/>
        <v>Fundamentals of Software Architecture for Big Data</v>
      </c>
      <c r="B4" s="171" t="str">
        <f t="shared" ca="1" si="1"/>
        <v>CSCA 5008 - Fundamentals of Software Architecture for Big Data</v>
      </c>
      <c r="C4" s="171">
        <f t="shared" ca="1" si="2"/>
        <v>0</v>
      </c>
      <c r="D4" s="172">
        <f t="shared" ca="1" si="3"/>
        <v>1</v>
      </c>
      <c r="E4" s="172">
        <v>22</v>
      </c>
      <c r="F4" s="172"/>
      <c r="G4" s="174" t="str">
        <f ca="1">IFERROR(__xludf.DUMMYFUNCTION("""COMPUTED_VALUE"""),"CSCA 5414 - Dynamic Programming, Greedy Algorithms")</f>
        <v>CSCA 5414 - Dynamic Programming, Greedy Algorithms</v>
      </c>
      <c r="H4" s="174" t="str">
        <f ca="1">IFERROR(__xludf.DUMMYFUNCTION("""COMPUTED_VALUE"""),"Python, heaps, graphs. A couple of exercises are hard. I read the book chapters before the videos.")</f>
        <v>Python, heaps, graphs. A couple of exercises are hard. I read the book chapters before the videos.</v>
      </c>
      <c r="I4" s="172">
        <f ca="1">IFERROR(__xludf.DUMMYFUNCTION("""COMPUTED_VALUE"""),1)</f>
        <v>1</v>
      </c>
      <c r="J4" s="172">
        <f ca="1">IFERROR(__xludf.DUMMYFUNCTION("""COMPUTED_VALUE"""),3)</f>
        <v>3</v>
      </c>
      <c r="K4" s="172"/>
      <c r="L4" s="172"/>
      <c r="M4" s="172"/>
      <c r="N4" s="172"/>
      <c r="O4" s="172"/>
      <c r="P4" s="172"/>
      <c r="Q4" s="172"/>
      <c r="R4" s="172"/>
      <c r="S4" s="172"/>
      <c r="T4" s="172"/>
      <c r="U4" s="172"/>
      <c r="V4" s="172"/>
      <c r="W4" s="172"/>
      <c r="X4" s="172"/>
      <c r="Y4" s="172"/>
      <c r="Z4" s="172"/>
      <c r="AA4" s="172"/>
    </row>
    <row r="5" spans="1:27" ht="34">
      <c r="A5" s="170" t="str">
        <f t="shared" ca="1" si="0"/>
        <v>Dynamic Programming, Greedy Algorithms</v>
      </c>
      <c r="B5" s="171" t="str">
        <f t="shared" ca="1" si="1"/>
        <v>CSCA 5414 - Dynamic Programming, Greedy Algorithms</v>
      </c>
      <c r="C5" s="171" t="str">
        <f t="shared" ca="1" si="2"/>
        <v>Python, heaps, graphs. A couple of exercises are hard. I read the book chapters before the videos.</v>
      </c>
      <c r="D5" s="172">
        <f t="shared" ca="1" si="3"/>
        <v>1</v>
      </c>
      <c r="E5" s="172">
        <v>3</v>
      </c>
      <c r="F5" s="172"/>
      <c r="G5" s="174" t="str">
        <f ca="1">IFERROR(__xludf.DUMMYFUNCTION("""COMPUTED_VALUE"""),"CSCA 5414 - Dynamic Programming, Greedy Algorithms")</f>
        <v>CSCA 5414 - Dynamic Programming, Greedy Algorithms</v>
      </c>
      <c r="H5" s="174" t="str">
        <f ca="1">IFERROR(__xludf.DUMMYFUNCTION("""COMPUTED_VALUE"""),"Reviewing the first two non credit courses helped with data structures used in the course")</f>
        <v>Reviewing the first two non credit courses helped with data structures used in the course</v>
      </c>
      <c r="I5" s="172">
        <f ca="1">IFERROR(__xludf.DUMMYFUNCTION("""COMPUTED_VALUE"""),1)</f>
        <v>1</v>
      </c>
      <c r="J5" s="172">
        <f ca="1">IFERROR(__xludf.DUMMYFUNCTION("""COMPUTED_VALUE"""),3)</f>
        <v>3</v>
      </c>
      <c r="K5" s="172"/>
      <c r="L5" s="172"/>
      <c r="M5" s="172"/>
      <c r="N5" s="172"/>
      <c r="O5" s="172"/>
      <c r="P5" s="172"/>
      <c r="Q5" s="172"/>
      <c r="R5" s="172"/>
      <c r="S5" s="172"/>
      <c r="T5" s="172"/>
      <c r="U5" s="172"/>
      <c r="V5" s="172"/>
      <c r="W5" s="172"/>
      <c r="X5" s="172"/>
      <c r="Y5" s="172"/>
      <c r="Z5" s="172"/>
      <c r="AA5" s="172"/>
    </row>
    <row r="6" spans="1:27" ht="34">
      <c r="A6" s="170" t="str">
        <f t="shared" ca="1" si="0"/>
        <v>Dynamic Programming, Greedy Algorithms</v>
      </c>
      <c r="B6" s="171" t="str">
        <f t="shared" ca="1" si="1"/>
        <v>CSCA 5414 - Dynamic Programming, Greedy Algorithms</v>
      </c>
      <c r="C6" s="171" t="str">
        <f t="shared" ca="1" si="2"/>
        <v>Reviewing the first two non credit courses helped with data structures used in the course</v>
      </c>
      <c r="D6" s="172">
        <f t="shared" ca="1" si="3"/>
        <v>1</v>
      </c>
      <c r="E6" s="172">
        <v>3</v>
      </c>
      <c r="F6" s="172"/>
      <c r="G6" s="174" t="str">
        <f ca="1">IFERROR(__xludf.DUMMYFUNCTION("""COMPUTED_VALUE"""),"CSCA 5414 - Dynamic Programming, Greedy Algorithms")</f>
        <v>CSCA 5414 - Dynamic Programming, Greedy Algorithms</v>
      </c>
      <c r="H6" s="174" t="str">
        <f ca="1">IFERROR(__xludf.DUMMYFUNCTION("""COMPUTED_VALUE"""),"The instructor is excellent and the assignments are very well thought out.  It is challenging, but it is also a great example of a well-structured course.  The video lectures each week build you up to the weekly programming assignment, and the final exam "&amp;"pulls it all together to test your overall knowledge.  I really enjoyed this course.")</f>
        <v>The instructor is excellent and the assignments are very well thought out.  It is challenging, but it is also a great example of a well-structured course.  The video lectures each week build you up to the weekly programming assignment, and the final exam pulls it all together to test your overall knowledge.  I really enjoyed this course.</v>
      </c>
      <c r="I6" s="172">
        <f ca="1">IFERROR(__xludf.DUMMYFUNCTION("""COMPUTED_VALUE"""),1)</f>
        <v>1</v>
      </c>
      <c r="J6" s="172">
        <f ca="1">IFERROR(__xludf.DUMMYFUNCTION("""COMPUTED_VALUE"""),3)</f>
        <v>3</v>
      </c>
      <c r="K6" s="172"/>
      <c r="L6" s="172"/>
      <c r="M6" s="172"/>
      <c r="N6" s="172"/>
      <c r="O6" s="172"/>
      <c r="P6" s="172"/>
      <c r="Q6" s="172"/>
      <c r="R6" s="172"/>
      <c r="S6" s="172"/>
      <c r="T6" s="172"/>
      <c r="U6" s="172"/>
      <c r="V6" s="172"/>
      <c r="W6" s="172"/>
      <c r="X6" s="172"/>
      <c r="Y6" s="172"/>
      <c r="Z6" s="172"/>
      <c r="AA6" s="172"/>
    </row>
    <row r="7" spans="1:27" ht="34">
      <c r="A7" s="170" t="str">
        <f t="shared" ca="1" si="0"/>
        <v>Approximation Algorithms and Linear Programming</v>
      </c>
      <c r="B7" s="171" t="str">
        <f t="shared" ca="1" si="1"/>
        <v>CSCA 5424 - Approximation Algorithms and Linear Programming</v>
      </c>
      <c r="C7" s="171" t="str">
        <f t="shared" ca="1" si="2"/>
        <v>The course was just released when I took it and had a lot of mistakes in quizzes.  Instructor has been responsive in correcting them.</v>
      </c>
      <c r="D7" s="172">
        <f t="shared" ca="1" si="3"/>
        <v>1</v>
      </c>
      <c r="E7" s="172">
        <v>4</v>
      </c>
      <c r="F7" s="172"/>
      <c r="G7" s="174" t="str">
        <f ca="1">IFERROR(__xludf.DUMMYFUNCTION("""COMPUTED_VALUE"""),"CSCA 5414 - Dynamic Programming, Greedy Algorithms")</f>
        <v>CSCA 5414 - Dynamic Programming, Greedy Algorithms</v>
      </c>
      <c r="H7" s="174" t="str">
        <f ca="1">IFERROR(__xludf.DUMMYFUNCTION("""COMPUTED_VALUE"""),"Going through the previous two courses in the certificate is very helpful for refreshing or getting up to speed. Assignments are nice twists on the in-class examples that require you to understand the underlying algorithms and how to tweak them")</f>
        <v>Going through the previous two courses in the certificate is very helpful for refreshing or getting up to speed. Assignments are nice twists on the in-class examples that require you to understand the underlying algorithms and how to tweak them</v>
      </c>
      <c r="I7" s="172">
        <f ca="1">IFERROR(__xludf.DUMMYFUNCTION("""COMPUTED_VALUE"""),1)</f>
        <v>1</v>
      </c>
      <c r="J7" s="172">
        <f ca="1">IFERROR(__xludf.DUMMYFUNCTION("""COMPUTED_VALUE"""),3)</f>
        <v>3</v>
      </c>
      <c r="K7" s="172"/>
      <c r="L7" s="172"/>
      <c r="M7" s="172"/>
      <c r="N7" s="172"/>
      <c r="O7" s="172"/>
      <c r="P7" s="172"/>
      <c r="Q7" s="172"/>
      <c r="R7" s="172"/>
      <c r="S7" s="172"/>
      <c r="T7" s="172"/>
      <c r="U7" s="172"/>
      <c r="V7" s="172"/>
      <c r="W7" s="172"/>
      <c r="X7" s="172"/>
      <c r="Y7" s="172"/>
      <c r="Z7" s="172"/>
      <c r="AA7" s="172"/>
    </row>
    <row r="8" spans="1:27" ht="34">
      <c r="A8" s="170" t="str">
        <f t="shared" ca="1" si="0"/>
        <v>Fundamentals of Software Architecture for Big Data</v>
      </c>
      <c r="B8" s="171" t="str">
        <f t="shared" ca="1" si="1"/>
        <v>CSCA 5008 - Fundamentals of Software Architecture for Big Data</v>
      </c>
      <c r="C8" s="171" t="str">
        <f t="shared" ca="1" si="2"/>
        <v>I found the assignments difficult to understand.  In some cases, the tests could pass without actually doing what the software was intended to do.  TA advice on how to grade this contradicted the grading rubric.  I don't know if the vagueness and lack of documentation on programming assignments was intended to weed out students who aren't prepared for this level of material, or if it was just poor instruction, but I found the course to be frustrating.</v>
      </c>
      <c r="D8" s="172">
        <f t="shared" ca="1" si="3"/>
        <v>1</v>
      </c>
      <c r="E8" s="172">
        <v>22</v>
      </c>
      <c r="F8" s="172"/>
      <c r="G8" s="174" t="str">
        <f ca="1">IFERROR(__xludf.DUMMYFUNCTION("""COMPUTED_VALUE"""),"CSCA 5414 - Dynamic Programming, Greedy Algorithms")</f>
        <v>CSCA 5414 - Dynamic Programming, Greedy Algorithms</v>
      </c>
      <c r="H8" s="174" t="str">
        <f ca="1">IFERROR(__xludf.DUMMYFUNCTION("""COMPUTED_VALUE"""),"The two DS&amp;A courses before this one aren't necessary but they are helpful for getting used to the thinking patterns for DS&amp;A.")</f>
        <v>The two DS&amp;A courses before this one aren't necessary but they are helpful for getting used to the thinking patterns for DS&amp;A.</v>
      </c>
      <c r="I8" s="172">
        <f ca="1">IFERROR(__xludf.DUMMYFUNCTION("""COMPUTED_VALUE"""),1)</f>
        <v>1</v>
      </c>
      <c r="J8" s="172">
        <f ca="1">IFERROR(__xludf.DUMMYFUNCTION("""COMPUTED_VALUE"""),3)</f>
        <v>3</v>
      </c>
      <c r="K8" s="172"/>
      <c r="L8" s="172"/>
      <c r="M8" s="172"/>
      <c r="N8" s="172"/>
      <c r="O8" s="172"/>
      <c r="P8" s="172"/>
      <c r="Q8" s="172"/>
      <c r="R8" s="172"/>
      <c r="S8" s="172"/>
      <c r="T8" s="172"/>
      <c r="U8" s="172"/>
      <c r="V8" s="172"/>
      <c r="W8" s="172"/>
      <c r="X8" s="172"/>
      <c r="Y8" s="172"/>
      <c r="Z8" s="172"/>
      <c r="AA8" s="172"/>
    </row>
    <row r="9" spans="1:27" ht="34">
      <c r="A9" s="170" t="str">
        <f t="shared" ca="1" si="0"/>
        <v>Fundamentals of Software Architecture for Big Data</v>
      </c>
      <c r="B9" s="171" t="str">
        <f t="shared" ca="1" si="1"/>
        <v>CSCA 5008 - Fundamentals of Software Architecture for Big Data</v>
      </c>
      <c r="C9" s="171" t="str">
        <f t="shared" ca="1" si="2"/>
        <v>The book Understanding Distributed Systems by Roberto Vitillo is incredibly useful for this entire specialisation</v>
      </c>
      <c r="D9" s="172">
        <f t="shared" ca="1" si="3"/>
        <v>1</v>
      </c>
      <c r="E9" s="172">
        <v>22</v>
      </c>
      <c r="F9" s="172"/>
      <c r="G9" s="174" t="str">
        <f ca="1">IFERROR(__xludf.DUMMYFUNCTION("""COMPUTED_VALUE"""),"CSCA 5414 - Dynamic Programming, Greedy Algorithms")</f>
        <v>CSCA 5414 - Dynamic Programming, Greedy Algorithms</v>
      </c>
      <c r="H9" s="174" t="str">
        <f ca="1">IFERROR(__xludf.DUMMYFUNCTION("""COMPUTED_VALUE"""),"The course is hard for people haven't take any data structure course before. Even if I took the previous two courses in this specialization, I found it really hard. ")</f>
        <v xml:space="preserve">The course is hard for people haven't take any data structure course before. Even if I took the previous two courses in this specialization, I found it really hard. </v>
      </c>
      <c r="I9" s="172">
        <f ca="1">IFERROR(__xludf.DUMMYFUNCTION("""COMPUTED_VALUE"""),1)</f>
        <v>1</v>
      </c>
      <c r="J9" s="172">
        <f ca="1">IFERROR(__xludf.DUMMYFUNCTION("""COMPUTED_VALUE"""),3)</f>
        <v>3</v>
      </c>
      <c r="K9" s="172"/>
      <c r="L9" s="172"/>
      <c r="M9" s="172"/>
      <c r="N9" s="172"/>
      <c r="O9" s="172"/>
      <c r="P9" s="172"/>
      <c r="Q9" s="172"/>
      <c r="R9" s="172"/>
      <c r="S9" s="172"/>
      <c r="T9" s="172"/>
      <c r="U9" s="172"/>
      <c r="V9" s="172"/>
      <c r="W9" s="172"/>
      <c r="X9" s="172"/>
      <c r="Y9" s="172"/>
      <c r="Z9" s="172"/>
      <c r="AA9" s="172"/>
    </row>
    <row r="10" spans="1:27" ht="119">
      <c r="A10" s="170" t="str">
        <f t="shared" ca="1" si="0"/>
        <v>Software Architecture Patterns for Big Data</v>
      </c>
      <c r="B10" s="171" t="str">
        <f t="shared" ca="1" si="1"/>
        <v>CSCA 5018 - Software Architecture Patterns for Big Data</v>
      </c>
      <c r="C10" s="171">
        <f t="shared" ca="1" si="2"/>
        <v>0</v>
      </c>
      <c r="D10" s="172">
        <f t="shared" ca="1" si="3"/>
        <v>1</v>
      </c>
      <c r="E10" s="172">
        <v>23</v>
      </c>
      <c r="F10" s="172"/>
      <c r="G10" s="174" t="str">
        <f ca="1">IFERROR(__xludf.DUMMYFUNCTION("""COMPUTED_VALUE"""),"CSCA 5414 - Dynamic Programming, Greedy Algorithms")</f>
        <v>CSCA 5414 - Dynamic Programming, Greedy Algorithms</v>
      </c>
      <c r="H10" s="174" t="str">
        <f ca="1">IFERROR(__xludf.DUMMYFUNCTION("""COMPUTED_VALUE"""),"I don't hold an undergraduate degree, so I started my journey by taking discrete mathematics, linear algebra &amp; calculus courses on Coursera followed by the previous 2 courses in the Algorithms specialization. They really helped me get up-to-speed.
Some o"&amp;"f the programming assignments were quite challenging, but on average I found the estimated time quite accurate.
However the final caught me somewhat off-guard and I couldn't solve all the problems.
It's not that much harder than the other assignments but"&amp;" don't underestimate it. You should be quite comfortable with the main topics in this course.")</f>
        <v>I don't hold an undergraduate degree, so I started my journey by taking discrete mathematics, linear algebra &amp; calculus courses on Coursera followed by the previous 2 courses in the Algorithms specialization. They really helped me get up-to-speed.
Some of the programming assignments were quite challenging, but on average I found the estimated time quite accurate.
However the final caught me somewhat off-guard and I couldn't solve all the problems.
It's not that much harder than the other assignments but don't underestimate it. You should be quite comfortable with the main topics in this course.</v>
      </c>
      <c r="I10" s="172">
        <f ca="1">IFERROR(__xludf.DUMMYFUNCTION("""COMPUTED_VALUE"""),1)</f>
        <v>1</v>
      </c>
      <c r="J10" s="172">
        <f ca="1">IFERROR(__xludf.DUMMYFUNCTION("""COMPUTED_VALUE"""),3)</f>
        <v>3</v>
      </c>
      <c r="K10" s="172"/>
      <c r="L10" s="172"/>
      <c r="M10" s="172"/>
      <c r="N10" s="172"/>
      <c r="O10" s="172"/>
      <c r="P10" s="172"/>
      <c r="Q10" s="172"/>
      <c r="R10" s="172"/>
      <c r="S10" s="172"/>
      <c r="T10" s="172"/>
      <c r="U10" s="172"/>
      <c r="V10" s="172"/>
      <c r="W10" s="172"/>
      <c r="X10" s="172"/>
      <c r="Y10" s="172"/>
      <c r="Z10" s="172"/>
      <c r="AA10" s="172"/>
    </row>
    <row r="11" spans="1:27" ht="34">
      <c r="A11" s="170" t="str">
        <f t="shared" ca="1" si="0"/>
        <v>Applications of Software Architecture for Big Data</v>
      </c>
      <c r="B11" s="171" t="str">
        <f t="shared" ca="1" si="1"/>
        <v>CSCA 5028 - Applications of Software Architecture for Big Data</v>
      </c>
      <c r="C11" s="171" t="str">
        <f t="shared" ca="1" si="2"/>
        <v>Time commitment will vary widely, dependent on the project one chooses and the detail into which one goes</v>
      </c>
      <c r="D11" s="172">
        <f t="shared" ca="1" si="3"/>
        <v>1</v>
      </c>
      <c r="E11" s="172">
        <v>24</v>
      </c>
      <c r="F11" s="172"/>
      <c r="G11" s="174" t="str">
        <f ca="1">IFERROR(__xludf.DUMMYFUNCTION("""COMPUTED_VALUE"""),"CSCA 5414 - Dynamic Programming, Greedy Algorithms")</f>
        <v>CSCA 5414 - Dynamic Programming, Greedy Algorithms</v>
      </c>
      <c r="H11" s="174" t="str">
        <f ca="1">IFERROR(__xludf.DUMMYFUNCTION("""COMPUTED_VALUE"""),"memoization was tricky but was so satisfying to figure out! Great class!")</f>
        <v>memoization was tricky but was so satisfying to figure out! Great class!</v>
      </c>
      <c r="I11" s="172">
        <f ca="1">IFERROR(__xludf.DUMMYFUNCTION("""COMPUTED_VALUE"""),1)</f>
        <v>1</v>
      </c>
      <c r="J11" s="172">
        <f ca="1">IFERROR(__xludf.DUMMYFUNCTION("""COMPUTED_VALUE"""),3)</f>
        <v>3</v>
      </c>
      <c r="K11" s="172"/>
      <c r="L11" s="172"/>
      <c r="M11" s="172"/>
      <c r="N11" s="172"/>
      <c r="O11" s="172"/>
      <c r="P11" s="172"/>
      <c r="Q11" s="172"/>
      <c r="R11" s="172"/>
      <c r="S11" s="172"/>
      <c r="T11" s="172"/>
      <c r="U11" s="172"/>
      <c r="V11" s="172"/>
      <c r="W11" s="172"/>
      <c r="X11" s="172"/>
      <c r="Y11" s="172"/>
      <c r="Z11" s="172"/>
      <c r="AA11" s="172"/>
    </row>
    <row r="12" spans="1:27" ht="102">
      <c r="A12" s="170" t="str">
        <f t="shared" ca="1" si="0"/>
        <v>Data Mining Pipeline</v>
      </c>
      <c r="B12" s="171" t="str">
        <f t="shared" ca="1" si="1"/>
        <v>CSCA 5502 - Data Mining Pipeline</v>
      </c>
      <c r="C12" s="171">
        <f t="shared" ca="1" si="2"/>
        <v>0</v>
      </c>
      <c r="D12" s="172">
        <f t="shared" ca="1" si="3"/>
        <v>1</v>
      </c>
      <c r="E12" s="172">
        <v>19</v>
      </c>
      <c r="F12" s="172"/>
      <c r="G12" s="174" t="str">
        <f ca="1">IFERROR(__xludf.DUMMYFUNCTION("""COMPUTED_VALUE"""),"CSCA 5414 - Dynamic Programming, Greedy Algorithms")</f>
        <v>CSCA 5414 - Dynamic Programming, Greedy Algorithms</v>
      </c>
      <c r="H12" s="174" t="str">
        <f ca="1">IFERROR(__xludf.DUMMYFUNCTION("""COMPUTED_VALUE"""),"Course Preparation: I felt very prepared after taking the prior 3 courses in this sequence.
Assignments and quizzes were reflective of the course content and difficulty. The final exam  took 3-4 hours for me to complete.
Tips for Future Students: I spen"&amp;"t more time trying to mentally digest DP than any other topic so far. I found that modelling the dynamic programs in excel helped me grasp the topic. However, this of course requires more than basic excel skills, such as index/match.")</f>
        <v>Course Preparation: I felt very prepared after taking the prior 3 courses in this sequence.
Assignments and quizzes were reflective of the course content and difficulty. The final exam  took 3-4 hours for me to complete.
Tips for Future Students: I spent more time trying to mentally digest DP than any other topic so far. I found that modelling the dynamic programs in excel helped me grasp the topic. However, this of course requires more than basic excel skills, such as index/match.</v>
      </c>
      <c r="I12" s="172">
        <f ca="1">IFERROR(__xludf.DUMMYFUNCTION("""COMPUTED_VALUE"""),1)</f>
        <v>1</v>
      </c>
      <c r="J12" s="172">
        <f ca="1">IFERROR(__xludf.DUMMYFUNCTION("""COMPUTED_VALUE"""),3)</f>
        <v>3</v>
      </c>
      <c r="K12" s="172"/>
      <c r="L12" s="172"/>
      <c r="M12" s="172"/>
      <c r="N12" s="172"/>
      <c r="O12" s="172"/>
      <c r="P12" s="172"/>
      <c r="Q12" s="172"/>
      <c r="R12" s="172"/>
      <c r="S12" s="172"/>
      <c r="T12" s="172"/>
      <c r="U12" s="172"/>
      <c r="V12" s="172"/>
      <c r="W12" s="172"/>
      <c r="X12" s="172"/>
      <c r="Y12" s="172"/>
      <c r="Z12" s="172"/>
      <c r="AA12" s="172"/>
    </row>
    <row r="13" spans="1:27" ht="85">
      <c r="A13" s="170" t="str">
        <f t="shared" ca="1" si="0"/>
        <v>Computing, Ethics, and Society Foundations</v>
      </c>
      <c r="B13" s="171" t="str">
        <f t="shared" ca="1" si="1"/>
        <v>CSCA 5214 - Computing, Ethics, and Society Foundations</v>
      </c>
      <c r="C13" s="171">
        <f t="shared" ca="1" si="2"/>
        <v>0</v>
      </c>
      <c r="D13" s="172">
        <f t="shared" ca="1" si="3"/>
        <v>1</v>
      </c>
      <c r="E13" s="172">
        <v>15</v>
      </c>
      <c r="F13" s="172"/>
      <c r="G13" s="174" t="str">
        <f ca="1">IFERROR(__xludf.DUMMYFUNCTION("""COMPUTED_VALUE"""),"CSCA 5414 - Dynamic Programming, Greedy Algorithms")</f>
        <v>CSCA 5414 - Dynamic Programming, Greedy Algorithms</v>
      </c>
      <c r="H13" s="174" t="str">
        <f ca="1">IFERROR(__xludf.DUMMYFUNCTION("""COMPUTED_VALUE"""),"This course a great introduction and brief overview of Dynamic Programming. The assignments and final are challenging and add appropriate ""altering"" of standard DP problems. The toughest part of this class is understanding how to build memoization and s"&amp;"olution tables to extract optimal solutions. The idea of DP is simple and easy to understand; however, the implementation part is where DP is challenging.
If you took the two previous DSA courses to this, know that this course is a much larger step up in"&amp;" terms of difficulty. ")</f>
        <v xml:space="preserve">This course a great introduction and brief overview of Dynamic Programming. The assignments and final are challenging and add appropriate "altering" of standard DP problems. The toughest part of this class is understanding how to build memoization and solution tables to extract optimal solutions. The idea of DP is simple and easy to understand; however, the implementation part is where DP is challenging.
If you took the two previous DSA courses to this, know that this course is a much larger step up in terms of difficulty. </v>
      </c>
      <c r="I13" s="172">
        <f ca="1">IFERROR(__xludf.DUMMYFUNCTION("""COMPUTED_VALUE"""),1)</f>
        <v>1</v>
      </c>
      <c r="J13" s="172">
        <f ca="1">IFERROR(__xludf.DUMMYFUNCTION("""COMPUTED_VALUE"""),3)</f>
        <v>3</v>
      </c>
      <c r="K13" s="172"/>
      <c r="L13" s="172"/>
      <c r="M13" s="172"/>
      <c r="N13" s="172"/>
      <c r="O13" s="172"/>
      <c r="P13" s="172"/>
      <c r="Q13" s="172"/>
      <c r="R13" s="172"/>
      <c r="S13" s="172"/>
      <c r="T13" s="172"/>
      <c r="U13" s="172"/>
      <c r="V13" s="172"/>
      <c r="W13" s="172"/>
      <c r="X13" s="172"/>
      <c r="Y13" s="172"/>
      <c r="Z13" s="172"/>
      <c r="AA13" s="172"/>
    </row>
    <row r="14" spans="1:27" ht="34">
      <c r="A14" s="170" t="str">
        <f t="shared" ca="1" si="0"/>
        <v>Approximation Algorithms and Linear Programming</v>
      </c>
      <c r="B14" s="171" t="str">
        <f t="shared" ca="1" si="1"/>
        <v>CSCA 5424 - Approximation Algorithms and Linear Programming</v>
      </c>
      <c r="C14" s="171">
        <f t="shared" ca="1" si="2"/>
        <v>0</v>
      </c>
      <c r="D14" s="172">
        <f t="shared" ca="1" si="3"/>
        <v>1</v>
      </c>
      <c r="E14" s="172">
        <v>4</v>
      </c>
      <c r="F14" s="172"/>
      <c r="G14" s="174" t="str">
        <f ca="1">IFERROR(__xludf.DUMMYFUNCTION("""COMPUTED_VALUE"""),"CSCA 5424 - Approximation Algorithms and Linear Programming")</f>
        <v>CSCA 5424 - Approximation Algorithms and Linear Programming</v>
      </c>
      <c r="H14" s="174" t="str">
        <f ca="1">IFERROR(__xludf.DUMMYFUNCTION("""COMPUTED_VALUE"""),"The course was just released when I took it and had a lot of mistakes in quizzes.  Instructor has been responsive in correcting them.")</f>
        <v>The course was just released when I took it and had a lot of mistakes in quizzes.  Instructor has been responsive in correcting them.</v>
      </c>
      <c r="I14" s="172">
        <f ca="1">IFERROR(__xludf.DUMMYFUNCTION("""COMPUTED_VALUE"""),1)</f>
        <v>1</v>
      </c>
      <c r="J14" s="172">
        <f ca="1">IFERROR(__xludf.DUMMYFUNCTION("""COMPUTED_VALUE"""),4)</f>
        <v>4</v>
      </c>
      <c r="K14" s="172"/>
      <c r="L14" s="172"/>
      <c r="M14" s="172"/>
      <c r="N14" s="172"/>
      <c r="O14" s="172"/>
      <c r="P14" s="172"/>
      <c r="Q14" s="172"/>
      <c r="R14" s="172"/>
      <c r="S14" s="172"/>
      <c r="T14" s="172"/>
      <c r="U14" s="172"/>
      <c r="V14" s="172"/>
      <c r="W14" s="172"/>
      <c r="X14" s="172"/>
      <c r="Y14" s="172"/>
      <c r="Z14" s="172"/>
      <c r="AA14" s="172"/>
    </row>
    <row r="15" spans="1:27" ht="51">
      <c r="A15" s="170" t="str">
        <f t="shared" ca="1" si="0"/>
        <v>Dynamic Programming, Greedy Algorithms</v>
      </c>
      <c r="B15" s="171" t="str">
        <f t="shared" ca="1" si="1"/>
        <v>CSCA 5414 - Dynamic Programming, Greedy Algorithms</v>
      </c>
      <c r="C15" s="171">
        <f t="shared" ca="1" si="2"/>
        <v>0</v>
      </c>
      <c r="D15" s="172">
        <f t="shared" ca="1" si="3"/>
        <v>1</v>
      </c>
      <c r="E15" s="172">
        <v>3</v>
      </c>
      <c r="F15" s="172"/>
      <c r="G15" s="174" t="str">
        <f ca="1">IFERROR(__xludf.DUMMYFUNCTION("""COMPUTED_VALUE"""),"CSCA 5424 - Approximation Algorithms and Linear Programming")</f>
        <v>CSCA 5424 - Approximation Algorithms and Linear Programming</v>
      </c>
      <c r="H15" s="174" t="str">
        <f ca="1">IFERROR(__xludf.DUMMYFUNCTION("""COMPUTED_VALUE"""),"Completing 5414 should be enough to prep you for this course. Understanding how to work with python libraries is helpful for the Linear Solver packages you use. 
Assignments were slightly tougher than 5414. On first pass of the course there were a few er"&amp;"rors but the community has gotten most of them corrected")</f>
        <v>Completing 5414 should be enough to prep you for this course. Understanding how to work with python libraries is helpful for the Linear Solver packages you use. 
Assignments were slightly tougher than 5414. On first pass of the course there were a few errors but the community has gotten most of them corrected</v>
      </c>
      <c r="I15" s="172">
        <f ca="1">IFERROR(__xludf.DUMMYFUNCTION("""COMPUTED_VALUE"""),1)</f>
        <v>1</v>
      </c>
      <c r="J15" s="172">
        <f ca="1">IFERROR(__xludf.DUMMYFUNCTION("""COMPUTED_VALUE"""),4)</f>
        <v>4</v>
      </c>
      <c r="K15" s="172"/>
      <c r="L15" s="172"/>
      <c r="M15" s="172"/>
      <c r="N15" s="172"/>
      <c r="O15" s="172"/>
      <c r="P15" s="172"/>
      <c r="Q15" s="172"/>
      <c r="R15" s="172"/>
      <c r="S15" s="172"/>
      <c r="T15" s="172"/>
      <c r="U15" s="172"/>
      <c r="V15" s="172"/>
      <c r="W15" s="172"/>
      <c r="X15" s="172"/>
      <c r="Y15" s="172"/>
      <c r="Z15" s="172"/>
      <c r="AA15" s="172"/>
    </row>
    <row r="16" spans="1:27" ht="51">
      <c r="A16" s="170" t="str">
        <f t="shared" ca="1" si="0"/>
        <v>Introduction to Machine Learning: Supervised Learning</v>
      </c>
      <c r="B16" s="171" t="str">
        <f t="shared" ca="1" si="1"/>
        <v>CSCA 5622 - Introduction to Machine Learning: Supervised Learning</v>
      </c>
      <c r="C16" s="171" t="str">
        <f t="shared" ca="1" si="2"/>
        <v xml:space="preserve">The final project took significantly longer than the rest of the assignments, but was very valuable since it provides a real-world project example.  Python is used heavily in the programming assignments, but (as someone who had next to 0 knowledge of Python before this course) it was too difficult to come up to speed on the required info during the course.  The instructor's videos were poor and did not help me understand the content, so seek external guidance online for the more challenging topics.  </v>
      </c>
      <c r="D16" s="172">
        <f t="shared" ca="1" si="3"/>
        <v>1</v>
      </c>
      <c r="E16" s="172">
        <v>9</v>
      </c>
      <c r="F16" s="172"/>
      <c r="G16" s="174" t="str">
        <f ca="1">IFERROR(__xludf.DUMMYFUNCTION("""COMPUTED_VALUE"""),"CSCA 5424 - Approximation Algorithms and Linear Programming")</f>
        <v>CSCA 5424 - Approximation Algorithms and Linear Programming</v>
      </c>
      <c r="H16" s="174" t="str">
        <f ca="1">IFERROR(__xludf.DUMMYFUNCTION("""COMPUTED_VALUE"""),"Unlike previous courses in the specialization (CSCA5414 etc) this course itself does not mandate CLRS reading.
Relevant Chapters would be (4th ed) C29 Linear Programming C35 Approximation Algorithms and to an extent (and not covered by previous courses) C"&amp;"24 Maximum flow (covers flow networks)")</f>
        <v>Unlike previous courses in the specialization (CSCA5414 etc) this course itself does not mandate CLRS reading.
Relevant Chapters would be (4th ed) C29 Linear Programming C35 Approximation Algorithms and to an extent (and not covered by previous courses) C24 Maximum flow (covers flow networks)</v>
      </c>
      <c r="I16" s="172">
        <f ca="1">IFERROR(__xludf.DUMMYFUNCTION("""COMPUTED_VALUE"""),1)</f>
        <v>1</v>
      </c>
      <c r="J16" s="172">
        <f ca="1">IFERROR(__xludf.DUMMYFUNCTION("""COMPUTED_VALUE"""),4)</f>
        <v>4</v>
      </c>
      <c r="K16" s="172"/>
      <c r="L16" s="172"/>
      <c r="M16" s="172"/>
      <c r="N16" s="172"/>
      <c r="O16" s="172"/>
      <c r="P16" s="172"/>
      <c r="Q16" s="172"/>
      <c r="R16" s="172"/>
      <c r="S16" s="172"/>
      <c r="T16" s="172"/>
      <c r="U16" s="172"/>
      <c r="V16" s="172"/>
      <c r="W16" s="172"/>
      <c r="X16" s="172"/>
      <c r="Y16" s="172"/>
      <c r="Z16" s="172"/>
      <c r="AA16" s="172"/>
    </row>
    <row r="17" spans="1:27" ht="85">
      <c r="A17" s="170" t="str">
        <f t="shared" ca="1" si="0"/>
        <v>Dynamic Programming, Greedy Algorithms</v>
      </c>
      <c r="B17" s="171" t="str">
        <f t="shared" ca="1" si="1"/>
        <v>CSCA 5414 - Dynamic Programming, Greedy Algorithms</v>
      </c>
      <c r="C17" s="171" t="str">
        <f t="shared" ca="1" si="2"/>
        <v>The instructor is excellent and the assignments are very well thought out.  It is challenging, but it is also a great example of a well-structured course.  The video lectures each week build you up to the weekly programming assignment, and the final exam pulls it all together to test your overall knowledge.  I really enjoyed this course.</v>
      </c>
      <c r="D17" s="172">
        <f t="shared" ca="1" si="3"/>
        <v>1</v>
      </c>
      <c r="E17" s="172">
        <v>3</v>
      </c>
      <c r="F17" s="172"/>
      <c r="G17" s="174" t="str">
        <f ca="1">IFERROR(__xludf.DUMMYFUNCTION("""COMPUTED_VALUE"""),"CSCA 5424 - Approximation Algorithms and Linear Programming")</f>
        <v>CSCA 5424 - Approximation Algorithms and Linear Programming</v>
      </c>
      <c r="H17" s="174" t="str">
        <f ca="1">IFERROR(__xludf.DUMMYFUNCTION("""COMPUTED_VALUE"""),"Unlike previous courses in the specialization (CSCA5414 etc) this course itself does not mandate CLRS reading.
Relevant Chapters would be (4th ed) C29 Linear Programming C35 Approximation Algorithms and to an extent (and not covered by previous courses) C"&amp;"24 Maximum flow (covers flow networks)
Consensus opinion of student seems to be that CLRS reading is not necessary, but could be helpful for this course itself and for foundational learning in general.")</f>
        <v>Unlike previous courses in the specialization (CSCA5414 etc) this course itself does not mandate CLRS reading.
Relevant Chapters would be (4th ed) C29 Linear Programming C35 Approximation Algorithms and to an extent (and not covered by previous courses) C24 Maximum flow (covers flow networks)
Consensus opinion of student seems to be that CLRS reading is not necessary, but could be helpful for this course itself and for foundational learning in general.</v>
      </c>
      <c r="I17" s="172">
        <f ca="1">IFERROR(__xludf.DUMMYFUNCTION("""COMPUTED_VALUE"""),1)</f>
        <v>1</v>
      </c>
      <c r="J17" s="172">
        <f ca="1">IFERROR(__xludf.DUMMYFUNCTION("""COMPUTED_VALUE"""),4)</f>
        <v>4</v>
      </c>
      <c r="K17" s="172"/>
      <c r="L17" s="172"/>
      <c r="M17" s="172"/>
      <c r="N17" s="172"/>
      <c r="O17" s="172"/>
      <c r="P17" s="172"/>
      <c r="Q17" s="172"/>
      <c r="R17" s="172"/>
      <c r="S17" s="172"/>
      <c r="T17" s="172"/>
      <c r="U17" s="172"/>
      <c r="V17" s="172"/>
      <c r="W17" s="172"/>
      <c r="X17" s="172"/>
      <c r="Y17" s="172"/>
      <c r="Z17" s="172"/>
      <c r="AA17" s="172"/>
    </row>
    <row r="18" spans="1:27" ht="34">
      <c r="A18" s="170" t="str">
        <f t="shared" ca="1" si="0"/>
        <v>Computing, Ethics, and Society Foundations</v>
      </c>
      <c r="B18" s="171" t="str">
        <f t="shared" ca="1" si="1"/>
        <v>CSCA 5214 - Computing, Ethics, and Society Foundations</v>
      </c>
      <c r="C18" s="171" t="str">
        <f t="shared" ca="1" si="2"/>
        <v>The audio portion of the videos is excellent, but staring at the professor's eyes darting across the screen for 10-20 minutes is odd and does not add any value to the course.  The essays are not particularly challenging, but this is a course where "you get out what you put in" since there is a wealth of interesting information presented.  I enjoyed the course overall and I feel that it was a valuable addition to a computer science masters program.</v>
      </c>
      <c r="D18" s="172">
        <f t="shared" ca="1" si="3"/>
        <v>1</v>
      </c>
      <c r="E18" s="172">
        <v>15</v>
      </c>
      <c r="F18" s="172"/>
      <c r="G18" s="174" t="str">
        <f ca="1">IFERROR(__xludf.DUMMYFUNCTION("""COMPUTED_VALUE"""),"CSCA 5424 - Approximation Algorithms and Linear Programming")</f>
        <v>CSCA 5424 - Approximation Algorithms and Linear Programming</v>
      </c>
      <c r="H18" s="174" t="str">
        <f ca="1">IFERROR(__xludf.DUMMYFUNCTION("""COMPUTED_VALUE"""),"You need the previous modules for sure. This is a major improvement over the previous because of the labs")</f>
        <v>You need the previous modules for sure. This is a major improvement over the previous because of the labs</v>
      </c>
      <c r="I18" s="172">
        <f ca="1">IFERROR(__xludf.DUMMYFUNCTION("""COMPUTED_VALUE"""),1)</f>
        <v>1</v>
      </c>
      <c r="J18" s="172">
        <f ca="1">IFERROR(__xludf.DUMMYFUNCTION("""COMPUTED_VALUE"""),4)</f>
        <v>4</v>
      </c>
      <c r="K18" s="172"/>
      <c r="L18" s="172"/>
      <c r="M18" s="172"/>
      <c r="N18" s="172"/>
      <c r="O18" s="172"/>
      <c r="P18" s="172"/>
      <c r="Q18" s="172"/>
      <c r="R18" s="172"/>
      <c r="S18" s="172"/>
      <c r="T18" s="172"/>
      <c r="U18" s="172"/>
      <c r="V18" s="172"/>
      <c r="W18" s="172"/>
      <c r="X18" s="172"/>
      <c r="Y18" s="172"/>
      <c r="Z18" s="172"/>
      <c r="AA18" s="172"/>
    </row>
    <row r="19" spans="1:27" ht="34">
      <c r="A19" s="170" t="str">
        <f t="shared" ca="1" si="0"/>
        <v>Fundamentals of Software Architecture for Big Data</v>
      </c>
      <c r="B19" s="171" t="str">
        <f t="shared" ca="1" si="1"/>
        <v>CSCA 5008 - Fundamentals of Software Architecture for Big Data</v>
      </c>
      <c r="C19" s="171" t="str">
        <f t="shared" ca="1" si="2"/>
        <v xml:space="preserve">The video lectures are almost confusingly unrelated to the weekly assignments, causing me to think that I somehow got mixed up.  The video lectures are often extremely high level while the programming assignments then ask you to do something very specific that requires additional knowledge not presented in the course, so be prepared to do significant external research to supplement this course.  </v>
      </c>
      <c r="D19" s="172">
        <f t="shared" ca="1" si="3"/>
        <v>1</v>
      </c>
      <c r="E19" s="172">
        <v>22</v>
      </c>
      <c r="F19" s="172"/>
      <c r="G19" s="174" t="str">
        <f ca="1">IFERROR(__xludf.DUMMYFUNCTION("""COMPUTED_VALUE"""),"CSCA 5424 - Approximation Algorithms and Linear Programming")</f>
        <v>CSCA 5424 - Approximation Algorithms and Linear Programming</v>
      </c>
      <c r="H19" s="174" t="str">
        <f ca="1">IFERROR(__xludf.DUMMYFUNCTION("""COMPUTED_VALUE"""),"You definetely need strong programming knowledge for this class, the videos will help you understand the theory behind each topic which is very helpful, but the labs and notes do a poor job to explain the programming portion of the course. I referred to e"&amp;"xternal resources for this and even found Youtube videos that explain it better")</f>
        <v>You definetely need strong programming knowledge for this class, the videos will help you understand the theory behind each topic which is very helpful, but the labs and notes do a poor job to explain the programming portion of the course. I referred to external resources for this and even found Youtube videos that explain it better</v>
      </c>
      <c r="I19" s="172">
        <f ca="1">IFERROR(__xludf.DUMMYFUNCTION("""COMPUTED_VALUE"""),1)</f>
        <v>1</v>
      </c>
      <c r="J19" s="172">
        <f ca="1">IFERROR(__xludf.DUMMYFUNCTION("""COMPUTED_VALUE"""),4)</f>
        <v>4</v>
      </c>
      <c r="K19" s="172"/>
      <c r="L19" s="172"/>
      <c r="M19" s="172"/>
      <c r="N19" s="172"/>
      <c r="O19" s="172"/>
      <c r="P19" s="172"/>
      <c r="Q19" s="172"/>
      <c r="R19" s="172"/>
      <c r="S19" s="172"/>
      <c r="T19" s="172"/>
      <c r="U19" s="172"/>
      <c r="V19" s="172"/>
      <c r="W19" s="172"/>
      <c r="X19" s="172"/>
      <c r="Y19" s="172"/>
      <c r="Z19" s="172"/>
      <c r="AA19" s="172"/>
    </row>
    <row r="20" spans="1:27" ht="34">
      <c r="A20" s="170" t="str">
        <f t="shared" ca="1" si="0"/>
        <v>Applications of Software Architecture for Big Data</v>
      </c>
      <c r="B20" s="171" t="str">
        <f t="shared" ca="1" si="1"/>
        <v>CSCA 5028 - Applications of Software Architecture for Big Data</v>
      </c>
      <c r="C20" s="171" t="str">
        <f t="shared" ca="1" si="2"/>
        <v xml:space="preserve">The final project was very challenging.  It was frustrating to receive a rubric for the project that I tried to follow strictly, but then the grading criteria included a small subset of the content that the rubric called out.  This felt like a bait-and-switch --&gt; I would have preferred that they actually grade you on the rubric provided or that they provide you with the rubric that you would be graded on.  However I learned a ton while creating my final project, so I have bumped up my overall scores because of that.  I had 0 web framework experience coming into this (I am an embedded software engineer), so I needed to do significant external research to determine the details of my final project.  </v>
      </c>
      <c r="D20" s="172">
        <f t="shared" ca="1" si="3"/>
        <v>1</v>
      </c>
      <c r="E20" s="172">
        <v>24</v>
      </c>
      <c r="F20" s="172"/>
      <c r="G20" s="174" t="str">
        <f ca="1">IFERROR(__xludf.DUMMYFUNCTION("""COMPUTED_VALUE"""),"CSCA 5424 - Approximation Algorithms and Linear Programming")</f>
        <v>CSCA 5424 - Approximation Algorithms and Linear Programming</v>
      </c>
      <c r="H20" s="174" t="str">
        <f ca="1">IFERROR(__xludf.DUMMYFUNCTION("""COMPUTED_VALUE"""),"Content doesn't match the assignments, you learn the theory but for the programming portion they only give you some notes that don't even prepare you for the programming assignments ")</f>
        <v xml:space="preserve">Content doesn't match the assignments, you learn the theory but for the programming portion they only give you some notes that don't even prepare you for the programming assignments </v>
      </c>
      <c r="I20" s="172">
        <f ca="1">IFERROR(__xludf.DUMMYFUNCTION("""COMPUTED_VALUE"""),1)</f>
        <v>1</v>
      </c>
      <c r="J20" s="172">
        <f ca="1">IFERROR(__xludf.DUMMYFUNCTION("""COMPUTED_VALUE"""),4)</f>
        <v>4</v>
      </c>
      <c r="K20" s="172"/>
      <c r="L20" s="172"/>
      <c r="M20" s="172"/>
      <c r="N20" s="172"/>
      <c r="O20" s="172"/>
      <c r="P20" s="172"/>
      <c r="Q20" s="172"/>
      <c r="R20" s="172"/>
      <c r="S20" s="172"/>
      <c r="T20" s="172"/>
      <c r="U20" s="172"/>
      <c r="V20" s="172"/>
      <c r="W20" s="172"/>
      <c r="X20" s="172"/>
      <c r="Y20" s="172"/>
      <c r="Z20" s="172"/>
      <c r="AA20" s="172"/>
    </row>
    <row r="21" spans="1:27" ht="34">
      <c r="A21" s="170" t="str">
        <f t="shared" ca="1" si="0"/>
        <v>Dynamic Programming, Greedy Algorithms</v>
      </c>
      <c r="B21" s="171" t="str">
        <f t="shared" ca="1" si="1"/>
        <v>CSCA 5414 - Dynamic Programming, Greedy Algorithms</v>
      </c>
      <c r="C21" s="171" t="str">
        <f t="shared" ca="1" si="2"/>
        <v>Going through the previous two courses in the certificate is very helpful for refreshing or getting up to speed. Assignments are nice twists on the in-class examples that require you to understand the underlying algorithms and how to tweak them</v>
      </c>
      <c r="D21" s="172">
        <f t="shared" ca="1" si="3"/>
        <v>1</v>
      </c>
      <c r="E21" s="172">
        <v>3</v>
      </c>
      <c r="F21" s="172"/>
      <c r="G21" s="174" t="str">
        <f ca="1">IFERROR(__xludf.DUMMYFUNCTION("""COMPUTED_VALUE"""),"CSCA 5424 - Approximation Algorithms and Linear Programming")</f>
        <v>CSCA 5424 - Approximation Algorithms and Linear Programming</v>
      </c>
      <c r="H21" s="174" t="str">
        <f ca="1">IFERROR(__xludf.DUMMYFUNCTION("""COMPUTED_VALUE"""),"Really good class. Can't say enough about how good the entire pathway is. ")</f>
        <v xml:space="preserve">Really good class. Can't say enough about how good the entire pathway is. </v>
      </c>
      <c r="I21" s="172">
        <f ca="1">IFERROR(__xludf.DUMMYFUNCTION("""COMPUTED_VALUE"""),1)</f>
        <v>1</v>
      </c>
      <c r="J21" s="172">
        <f ca="1">IFERROR(__xludf.DUMMYFUNCTION("""COMPUTED_VALUE"""),4)</f>
        <v>4</v>
      </c>
      <c r="K21" s="172"/>
      <c r="L21" s="172"/>
      <c r="M21" s="172"/>
      <c r="N21" s="172"/>
      <c r="O21" s="172"/>
      <c r="P21" s="172"/>
      <c r="Q21" s="172"/>
      <c r="R21" s="172"/>
      <c r="S21" s="172"/>
      <c r="T21" s="172"/>
      <c r="U21" s="172"/>
      <c r="V21" s="172"/>
      <c r="W21" s="172"/>
      <c r="X21" s="172"/>
      <c r="Y21" s="172"/>
      <c r="Z21" s="172"/>
      <c r="AA21" s="172"/>
    </row>
    <row r="22" spans="1:27" ht="68">
      <c r="A22" s="170" t="str">
        <f t="shared" ca="1" si="0"/>
        <v>Approximation Algorithms and Linear Programming</v>
      </c>
      <c r="B22" s="171" t="str">
        <f t="shared" ca="1" si="1"/>
        <v>CSCA 5424 - Approximation Algorithms and Linear Programming</v>
      </c>
      <c r="C22" s="171" t="str">
        <f t="shared" ca="1" si="2"/>
        <v>Completing 5414 should be enough to prep you for this course. Understanding how to work with python libraries is helpful for the Linear Solver packages you use. 
Assignments were slightly tougher than 5414. On first pass of the course there were a few errors but the community has gotten most of them corrected</v>
      </c>
      <c r="D22" s="172">
        <f t="shared" ca="1" si="3"/>
        <v>1</v>
      </c>
      <c r="E22" s="172">
        <v>4</v>
      </c>
      <c r="F22" s="172"/>
      <c r="G22" s="174" t="str">
        <f ca="1">IFERROR(__xludf.DUMMYFUNCTION("""COMPUTED_VALUE"""),"CSCA 5424 - Approximation Algorithms and Linear Programming")</f>
        <v>CSCA 5424 - Approximation Algorithms and Linear Programming</v>
      </c>
      <c r="H22" s="174" t="str">
        <f ca="1">IFERROR(__xludf.DUMMYFUNCTION("""COMPUTED_VALUE"""),"Tips for Future Students: I had used PuLP extensively in the past, making this course a breeze. It's not necessary, but practicing how to formulate problems in PuLP or a similar package is very useful not just for this course but potentially also in your "&amp;"career. I'd also recommend, where appropriate, to stop using academic-looking variable and parameter names when writing code. For example, don't call a decision variable for quantity of items to ship from A to B ""x[a,b]"", instead call it ""quantity_to_s"&amp;"hip[a,b]"" - it makes readability easier for everyone.")</f>
        <v>Tips for Future Students: I had used PuLP extensively in the past, making this course a breeze. It's not necessary, but practicing how to formulate problems in PuLP or a similar package is very useful not just for this course but potentially also in your career. I'd also recommend, where appropriate, to stop using academic-looking variable and parameter names when writing code. For example, don't call a decision variable for quantity of items to ship from A to B "x[a,b]", instead call it "quantity_to_ship[a,b]" - it makes readability easier for everyone.</v>
      </c>
      <c r="I22" s="172">
        <f ca="1">IFERROR(__xludf.DUMMYFUNCTION("""COMPUTED_VALUE"""),1)</f>
        <v>1</v>
      </c>
      <c r="J22" s="172">
        <f ca="1">IFERROR(__xludf.DUMMYFUNCTION("""COMPUTED_VALUE"""),4)</f>
        <v>4</v>
      </c>
      <c r="K22" s="172"/>
      <c r="L22" s="172"/>
      <c r="M22" s="172"/>
      <c r="N22" s="172"/>
      <c r="O22" s="172"/>
      <c r="P22" s="172"/>
      <c r="Q22" s="172"/>
      <c r="R22" s="172"/>
      <c r="S22" s="172"/>
      <c r="T22" s="172"/>
      <c r="U22" s="172"/>
      <c r="V22" s="172"/>
      <c r="W22" s="172"/>
      <c r="X22" s="172"/>
      <c r="Y22" s="172"/>
      <c r="Z22" s="172"/>
      <c r="AA22" s="172"/>
    </row>
    <row r="23" spans="1:27" ht="68">
      <c r="A23" s="170" t="str">
        <f t="shared" ca="1" si="0"/>
        <v>Approximation Algorithms and Linear Programming</v>
      </c>
      <c r="B23" s="171" t="str">
        <f t="shared" ca="1" si="1"/>
        <v>CSCA 5424 - Approximation Algorithms and Linear Programming</v>
      </c>
      <c r="C23" s="171">
        <f t="shared" ca="1" si="2"/>
        <v>0</v>
      </c>
      <c r="D23" s="172">
        <f t="shared" ca="1" si="3"/>
        <v>1</v>
      </c>
      <c r="E23" s="172">
        <v>4</v>
      </c>
      <c r="F23" s="172"/>
      <c r="G23" s="174" t="str">
        <f ca="1">IFERROR(__xludf.DUMMYFUNCTION("""COMPUTED_VALUE"""),"CSCA 5454 - Advanced Data Structures, RSA and Quantum Algorithms")</f>
        <v>CSCA 5454 - Advanced Data Structures, RSA and Quantum Algorithms</v>
      </c>
      <c r="H23" s="174" t="str">
        <f ca="1">IFERROR(__xludf.DUMMYFUNCTION("""COMPUTED_VALUE"""),"Definitely the toughest out of the three algorithms courses. The concepts can take a while to wrap your head around -- as a result the labs are a little easier than previous courses so there is some reprieve there. The final exam is easily twice as long a"&amp;"s the other courses but overall wasn't insanely difficult. The material can feel a bit disjointed -- there's no real connective thread between the RSA/Quantum material and the BTrees/Tries. As always, Dr. S is a fantastic professor and goes to great lengt"&amp;"hs to effectively communicate and explain these complicated topics")</f>
        <v>Definitely the toughest out of the three algorithms courses. The concepts can take a while to wrap your head around -- as a result the labs are a little easier than previous courses so there is some reprieve there. The final exam is easily twice as long as the other courses but overall wasn't insanely difficult. The material can feel a bit disjointed -- there's no real connective thread between the RSA/Quantum material and the BTrees/Tries. As always, Dr. S is a fantastic professor and goes to great lengths to effectively communicate and explain these complicated topics</v>
      </c>
      <c r="I23" s="172">
        <f ca="1">IFERROR(__xludf.DUMMYFUNCTION("""COMPUTED_VALUE"""),1)</f>
        <v>1</v>
      </c>
      <c r="J23" s="172">
        <f ca="1">IFERROR(__xludf.DUMMYFUNCTION("""COMPUTED_VALUE"""),5)</f>
        <v>5</v>
      </c>
      <c r="K23" s="172"/>
      <c r="L23" s="172"/>
      <c r="M23" s="172"/>
      <c r="N23" s="172"/>
      <c r="O23" s="172"/>
      <c r="P23" s="172"/>
      <c r="Q23" s="172"/>
      <c r="R23" s="172"/>
      <c r="S23" s="172"/>
      <c r="T23" s="172"/>
      <c r="U23" s="172"/>
      <c r="V23" s="172"/>
      <c r="W23" s="172"/>
      <c r="X23" s="172"/>
      <c r="Y23" s="172"/>
      <c r="Z23" s="172"/>
      <c r="AA23" s="172"/>
    </row>
    <row r="24" spans="1:27" ht="51">
      <c r="A24" s="170" t="str">
        <f t="shared" ca="1" si="0"/>
        <v>Fundamentals of Software Architecture for Big Data</v>
      </c>
      <c r="B24" s="171" t="str">
        <f t="shared" ca="1" si="1"/>
        <v>CSCA 5008 - Fundamentals of Software Architecture for Big Data</v>
      </c>
      <c r="C24" s="171">
        <f t="shared" ca="1" si="2"/>
        <v>0</v>
      </c>
      <c r="D24" s="172">
        <f t="shared" ca="1" si="3"/>
        <v>1</v>
      </c>
      <c r="E24" s="172">
        <v>22</v>
      </c>
      <c r="F24" s="172"/>
      <c r="G24" s="174" t="str">
        <f ca="1">IFERROR(__xludf.DUMMYFUNCTION("""COMPUTED_VALUE"""),"CSCA 5454 - Advanced Data Structures, RSA and Quantum Algorithms")</f>
        <v>CSCA 5454 - Advanced Data Structures, RSA and Quantum Algorithms</v>
      </c>
      <c r="H24" s="174" t="str">
        <f ca="1">IFERROR(__xludf.DUMMYFUNCTION("""COMPUTED_VALUE"""),"The quantum computing section was pretty difficult to wrap my head around.  The biggest piece of advice I'd give is to not wait to fully understand the quantum computing stuff before starting in on the programming assignments.  I felt way underwater going"&amp;" into them but they are a lot less difficult than I expected.")</f>
        <v>The quantum computing section was pretty difficult to wrap my head around.  The biggest piece of advice I'd give is to not wait to fully understand the quantum computing stuff before starting in on the programming assignments.  I felt way underwater going into them but they are a lot less difficult than I expected.</v>
      </c>
      <c r="I24" s="172">
        <f ca="1">IFERROR(__xludf.DUMMYFUNCTION("""COMPUTED_VALUE"""),1)</f>
        <v>1</v>
      </c>
      <c r="J24" s="172">
        <f ca="1">IFERROR(__xludf.DUMMYFUNCTION("""COMPUTED_VALUE"""),5)</f>
        <v>5</v>
      </c>
      <c r="K24" s="172"/>
      <c r="L24" s="172"/>
      <c r="M24" s="172"/>
      <c r="N24" s="172"/>
      <c r="O24" s="172"/>
      <c r="P24" s="172"/>
      <c r="Q24" s="172"/>
      <c r="R24" s="172"/>
      <c r="S24" s="172"/>
      <c r="T24" s="172"/>
      <c r="U24" s="172"/>
      <c r="V24" s="172"/>
      <c r="W24" s="172"/>
      <c r="X24" s="172"/>
      <c r="Y24" s="172"/>
      <c r="Z24" s="172"/>
      <c r="AA24" s="172"/>
    </row>
    <row r="25" spans="1:27" ht="51">
      <c r="A25" s="170" t="str">
        <f t="shared" ca="1" si="0"/>
        <v>Software Architecture Patterns for Big Data</v>
      </c>
      <c r="B25" s="171" t="str">
        <f t="shared" ca="1" si="1"/>
        <v>CSCA 5018 - Software Architecture Patterns for Big Data</v>
      </c>
      <c r="C25" s="171">
        <f t="shared" ca="1" si="2"/>
        <v>0</v>
      </c>
      <c r="D25" s="172">
        <f t="shared" ca="1" si="3"/>
        <v>1</v>
      </c>
      <c r="E25" s="172">
        <v>23</v>
      </c>
      <c r="F25" s="172"/>
      <c r="G25" s="174" t="str">
        <f ca="1">IFERROR(__xludf.DUMMYFUNCTION("""COMPUTED_VALUE"""),"CSCA 5454 - Advanced Data Structures, RSA and Quantum Algorithms")</f>
        <v>CSCA 5454 - Advanced Data Structures, RSA and Quantum Algorithms</v>
      </c>
      <c r="H25" s="174" t="str">
        <f ca="1">IFERROR(__xludf.DUMMYFUNCTION("""COMPUTED_VALUE"""),"1. Prof S teaches all number theory required for the course. 2. Assignments are challenging but doable with what you learn. 3. Pay close attention to lectures and labs ")</f>
        <v xml:space="preserve">1. Prof S teaches all number theory required for the course. 2. Assignments are challenging but doable with what you learn. 3. Pay close attention to lectures and labs </v>
      </c>
      <c r="I25" s="172">
        <f ca="1">IFERROR(__xludf.DUMMYFUNCTION("""COMPUTED_VALUE"""),1)</f>
        <v>1</v>
      </c>
      <c r="J25" s="172">
        <f ca="1">IFERROR(__xludf.DUMMYFUNCTION("""COMPUTED_VALUE"""),5)</f>
        <v>5</v>
      </c>
      <c r="K25" s="172"/>
      <c r="L25" s="172"/>
      <c r="M25" s="172"/>
      <c r="N25" s="172"/>
      <c r="O25" s="172"/>
      <c r="P25" s="172"/>
      <c r="Q25" s="172"/>
      <c r="R25" s="172"/>
      <c r="S25" s="172"/>
      <c r="T25" s="172"/>
      <c r="U25" s="172"/>
      <c r="V25" s="172"/>
      <c r="W25" s="172"/>
      <c r="X25" s="172"/>
      <c r="Y25" s="172"/>
      <c r="Z25" s="172"/>
      <c r="AA25" s="172"/>
    </row>
    <row r="26" spans="1:27" ht="51">
      <c r="A26" s="170" t="str">
        <f t="shared" ca="1" si="0"/>
        <v>Applications of Software Architecture for Big Data</v>
      </c>
      <c r="B26" s="171" t="str">
        <f t="shared" ca="1" si="1"/>
        <v>CSCA 5028 - Applications of Software Architecture for Big Data</v>
      </c>
      <c r="C26" s="171">
        <f t="shared" ca="1" si="2"/>
        <v>0</v>
      </c>
      <c r="D26" s="172">
        <f t="shared" ca="1" si="3"/>
        <v>1</v>
      </c>
      <c r="E26" s="172">
        <v>24</v>
      </c>
      <c r="F26" s="172"/>
      <c r="G26" s="174" t="str">
        <f ca="1">IFERROR(__xludf.DUMMYFUNCTION("""COMPUTED_VALUE"""),"CSCA 5454 - Advanced Data Structures, RSA and Quantum Algorithms")</f>
        <v>CSCA 5454 - Advanced Data Structures, RSA and Quantum Algorithms</v>
      </c>
      <c r="H26" s="174" t="str">
        <f ca="1">IFERROR(__xludf.DUMMYFUNCTION("""COMPUTED_VALUE"""),"The Quantum Computing parts are easily the most complicated. The basic concepts &amp; basic qubit gates are very doable, but once it went into more complex multi-qubit systems I got lost quite a bit. I was still able to solve most problems and get an A.")</f>
        <v>The Quantum Computing parts are easily the most complicated. The basic concepts &amp; basic qubit gates are very doable, but once it went into more complex multi-qubit systems I got lost quite a bit. I was still able to solve most problems and get an A.</v>
      </c>
      <c r="I26" s="172">
        <f ca="1">IFERROR(__xludf.DUMMYFUNCTION("""COMPUTED_VALUE"""),1)</f>
        <v>1</v>
      </c>
      <c r="J26" s="172">
        <f ca="1">IFERROR(__xludf.DUMMYFUNCTION("""COMPUTED_VALUE"""),5)</f>
        <v>5</v>
      </c>
      <c r="K26" s="172"/>
      <c r="L26" s="172"/>
      <c r="M26" s="172"/>
      <c r="N26" s="172"/>
      <c r="O26" s="172"/>
      <c r="P26" s="172"/>
      <c r="Q26" s="172"/>
      <c r="R26" s="172"/>
      <c r="S26" s="172"/>
      <c r="T26" s="172"/>
      <c r="U26" s="172"/>
      <c r="V26" s="172"/>
      <c r="W26" s="172"/>
      <c r="X26" s="172"/>
      <c r="Y26" s="172"/>
      <c r="Z26" s="172"/>
      <c r="AA26" s="172"/>
    </row>
    <row r="27" spans="1:27" ht="68">
      <c r="A27" s="170" t="str">
        <f t="shared" ca="1" si="0"/>
        <v>Introduction to Machine Learning: Supervised Learning</v>
      </c>
      <c r="B27" s="171" t="str">
        <f t="shared" ca="1" si="1"/>
        <v>CSCA 5622 - Introduction to Machine Learning: Supervised Learning</v>
      </c>
      <c r="C27" s="171">
        <f t="shared" ca="1" si="2"/>
        <v>0</v>
      </c>
      <c r="D27" s="172">
        <f t="shared" ca="1" si="3"/>
        <v>1</v>
      </c>
      <c r="E27" s="172">
        <v>9</v>
      </c>
      <c r="F27" s="172"/>
      <c r="G27" s="174" t="str">
        <f ca="1">IFERROR(__xludf.DUMMYFUNCTION("""COMPUTED_VALUE"""),"CSCA 5454 - Advanced Data Structures, RSA and Quantum Algorithms")</f>
        <v>CSCA 5454 - Advanced Data Structures, RSA and Quantum Algorithms</v>
      </c>
      <c r="H27" s="174" t="str">
        <f ca="1">IFERROR(__xludf.DUMMYFUNCTION("""COMPUTED_VALUE"""),"Weeks 2 and 3 had some of the most dense content of the pathway in my opinion. The videos were relatively easy to follow along but I felt that the prof stopped short of explaining the concepts fully enough (primarily when it came to multi-qubit circuits) "&amp;"to do the assignments with confidence. It's as if he knew this, because the assignments had enough hints that they were not difficult to stumble through. At the very least the interactive labs should be updated to expanded on the topics with more end-to-e"&amp;"nd examples, if not also the video lectures.")</f>
        <v>Weeks 2 and 3 had some of the most dense content of the pathway in my opinion. The videos were relatively easy to follow along but I felt that the prof stopped short of explaining the concepts fully enough (primarily when it came to multi-qubit circuits) to do the assignments with confidence. It's as if he knew this, because the assignments had enough hints that they were not difficult to stumble through. At the very least the interactive labs should be updated to expanded on the topics with more end-to-end examples, if not also the video lectures.</v>
      </c>
      <c r="I27" s="172">
        <f ca="1">IFERROR(__xludf.DUMMYFUNCTION("""COMPUTED_VALUE"""),1)</f>
        <v>1</v>
      </c>
      <c r="J27" s="172">
        <f ca="1">IFERROR(__xludf.DUMMYFUNCTION("""COMPUTED_VALUE"""),5)</f>
        <v>5</v>
      </c>
      <c r="K27" s="172"/>
      <c r="L27" s="172"/>
      <c r="M27" s="172"/>
      <c r="N27" s="172"/>
      <c r="O27" s="172"/>
      <c r="P27" s="172"/>
      <c r="Q27" s="172"/>
      <c r="R27" s="172"/>
      <c r="S27" s="172"/>
      <c r="T27" s="172"/>
      <c r="U27" s="172"/>
      <c r="V27" s="172"/>
      <c r="W27" s="172"/>
      <c r="X27" s="172"/>
      <c r="Y27" s="172"/>
      <c r="Z27" s="172"/>
      <c r="AA27" s="172"/>
    </row>
    <row r="28" spans="1:27" ht="34">
      <c r="A28" s="170" t="str">
        <f t="shared" ca="1" si="0"/>
        <v>Unsupervised Algorithms in Machine Learning</v>
      </c>
      <c r="B28" s="171" t="str">
        <f t="shared" ca="1" si="1"/>
        <v>CSCA 5632 - Unsupervised Algorithms in Machine Learning</v>
      </c>
      <c r="C28" s="171">
        <f t="shared" ca="1" si="2"/>
        <v>0</v>
      </c>
      <c r="D28" s="172">
        <f t="shared" ca="1" si="3"/>
        <v>1</v>
      </c>
      <c r="E28" s="172">
        <v>10</v>
      </c>
      <c r="F28" s="172"/>
      <c r="G28" s="174" t="str">
        <f ca="1">IFERROR(__xludf.DUMMYFUNCTION("""COMPUTED_VALUE"""),"CSCA 5063 - Network Systems Foundation")</f>
        <v>CSCA 5063 - Network Systems Foundation</v>
      </c>
      <c r="H28" s="174" t="str">
        <f ca="1">IFERROR(__xludf.DUMMYFUNCTION("""COMPUTED_VALUE"""),"Thorough, clear introduction.  Straightforward lab assignments (except for one, which could use some revision)")</f>
        <v>Thorough, clear introduction.  Straightforward lab assignments (except for one, which could use some revision)</v>
      </c>
      <c r="I28" s="172">
        <f ca="1">IFERROR(__xludf.DUMMYFUNCTION("""COMPUTED_VALUE"""),1)</f>
        <v>1</v>
      </c>
      <c r="J28" s="172">
        <f ca="1">IFERROR(__xludf.DUMMYFUNCTION("""COMPUTED_VALUE"""),6)</f>
        <v>6</v>
      </c>
      <c r="K28" s="172"/>
      <c r="L28" s="172"/>
      <c r="M28" s="172"/>
      <c r="N28" s="172"/>
      <c r="O28" s="172"/>
      <c r="P28" s="172"/>
      <c r="Q28" s="172"/>
      <c r="R28" s="172"/>
      <c r="S28" s="172"/>
      <c r="T28" s="172"/>
      <c r="U28" s="172"/>
      <c r="V28" s="172"/>
      <c r="W28" s="172"/>
      <c r="X28" s="172"/>
      <c r="Y28" s="172"/>
      <c r="Z28" s="172"/>
      <c r="AA28" s="172"/>
    </row>
    <row r="29" spans="1:27" ht="34">
      <c r="A29" s="170" t="str">
        <f t="shared" ca="1" si="0"/>
        <v>Fundamentals of Software Architecture for Big Data</v>
      </c>
      <c r="B29" s="171" t="str">
        <f t="shared" ca="1" si="1"/>
        <v>CSCA 5008 - Fundamentals of Software Architecture for Big Data</v>
      </c>
      <c r="C29" s="171" t="str">
        <f t="shared" ca="1" si="2"/>
        <v>You should have a general understanding of back-end dev and OOP using Java. Knowing basic Kotlin will help. Assignments vary in difficulty and you usually end up trying different things until you find a correct solution. You might need to Google some topics as well. I recommend starting this as a non-credit and brushing up on your general programming skills if it’s too much.</v>
      </c>
      <c r="D29" s="172">
        <f t="shared" ca="1" si="3"/>
        <v>1</v>
      </c>
      <c r="E29" s="172">
        <v>22</v>
      </c>
      <c r="F29" s="172"/>
      <c r="G29" s="174" t="str">
        <f ca="1">IFERROR(__xludf.DUMMYFUNCTION("""COMPUTED_VALUE"""),"CSCA 5063 - Network Systems Foundation")</f>
        <v>CSCA 5063 - Network Systems Foundation</v>
      </c>
      <c r="H29" s="174" t="str">
        <f ca="1">IFERROR(__xludf.DUMMYFUNCTION("""COMPUTED_VALUE"""),"Relatively chill content and interesting. Not much needed as foundation")</f>
        <v>Relatively chill content and interesting. Not much needed as foundation</v>
      </c>
      <c r="I29" s="172">
        <f ca="1">IFERROR(__xludf.DUMMYFUNCTION("""COMPUTED_VALUE"""),1)</f>
        <v>1</v>
      </c>
      <c r="J29" s="172">
        <f ca="1">IFERROR(__xludf.DUMMYFUNCTION("""COMPUTED_VALUE"""),6)</f>
        <v>6</v>
      </c>
      <c r="K29" s="172"/>
      <c r="L29" s="172"/>
      <c r="M29" s="172"/>
      <c r="N29" s="172"/>
      <c r="O29" s="172"/>
      <c r="P29" s="172"/>
      <c r="Q29" s="172"/>
      <c r="R29" s="172"/>
      <c r="S29" s="172"/>
      <c r="T29" s="172"/>
      <c r="U29" s="172"/>
      <c r="V29" s="172"/>
      <c r="W29" s="172"/>
      <c r="X29" s="172"/>
      <c r="Y29" s="172"/>
      <c r="Z29" s="172"/>
      <c r="AA29" s="172"/>
    </row>
    <row r="30" spans="1:27" ht="34">
      <c r="A30" s="170" t="str">
        <f t="shared" ca="1" si="0"/>
        <v>Fundamentals of Software Architecture for Big Data</v>
      </c>
      <c r="B30" s="171" t="str">
        <f t="shared" ca="1" si="1"/>
        <v>CSCA 5008 - Fundamentals of Software Architecture for Big Data</v>
      </c>
      <c r="C30" s="171" t="str">
        <f t="shared" ca="1" si="2"/>
        <v>It would be helpful to have some knowledge of backend programming and kotlin.</v>
      </c>
      <c r="D30" s="172">
        <f t="shared" ca="1" si="3"/>
        <v>1</v>
      </c>
      <c r="E30" s="172">
        <v>22</v>
      </c>
      <c r="F30" s="172"/>
      <c r="G30" s="174" t="str">
        <f ca="1">IFERROR(__xludf.DUMMYFUNCTION("""COMPUTED_VALUE"""),"CSCA 5063 - Network Systems Foundation")</f>
        <v>CSCA 5063 - Network Systems Foundation</v>
      </c>
      <c r="H30" s="174" t="str">
        <f ca="1">IFERROR(__xludf.DUMMYFUNCTION("""COMPUTED_VALUE"""),"Way too many 'youknow's in the course. Its very distracting and difficult to focus.")</f>
        <v>Way too many 'youknow's in the course. Its very distracting and difficult to focus.</v>
      </c>
      <c r="I30" s="172">
        <f ca="1">IFERROR(__xludf.DUMMYFUNCTION("""COMPUTED_VALUE"""),1)</f>
        <v>1</v>
      </c>
      <c r="J30" s="172">
        <f ca="1">IFERROR(__xludf.DUMMYFUNCTION("""COMPUTED_VALUE"""),6)</f>
        <v>6</v>
      </c>
      <c r="K30" s="172"/>
      <c r="L30" s="172"/>
      <c r="M30" s="172"/>
      <c r="N30" s="172"/>
      <c r="O30" s="172"/>
      <c r="P30" s="172"/>
      <c r="Q30" s="172"/>
      <c r="R30" s="172"/>
      <c r="S30" s="172"/>
      <c r="T30" s="172"/>
      <c r="U30" s="172"/>
      <c r="V30" s="172"/>
      <c r="W30" s="172"/>
      <c r="X30" s="172"/>
      <c r="Y30" s="172"/>
      <c r="Z30" s="172"/>
      <c r="AA30" s="172"/>
    </row>
    <row r="31" spans="1:27" ht="85">
      <c r="A31" s="170" t="str">
        <f t="shared" ca="1" si="0"/>
        <v>Software Architecture Patterns for Big Data</v>
      </c>
      <c r="B31" s="171" t="str">
        <f t="shared" ca="1" si="1"/>
        <v>CSCA 5018 - Software Architecture Patterns for Big Data</v>
      </c>
      <c r="C31" s="171" t="str">
        <f t="shared" ca="1" si="2"/>
        <v>Same as prev course—Java, Kotlin, bit of Python. Make sure you complete these classes in order!</v>
      </c>
      <c r="D31" s="172">
        <f t="shared" ca="1" si="3"/>
        <v>1</v>
      </c>
      <c r="E31" s="172">
        <v>23</v>
      </c>
      <c r="F31" s="172"/>
      <c r="G31" s="174" t="str">
        <f ca="1">IFERROR(__xludf.DUMMYFUNCTION("""COMPUTED_VALUE"""),"CSCA 5063 - Network Systems Foundation")</f>
        <v>CSCA 5063 - Network Systems Foundation</v>
      </c>
      <c r="H31" s="174" t="str">
        <f ca="1">IFERROR(__xludf.DUMMYFUNCTION("""COMPUTED_VALUE"""),"The material covered is very high level - which is appropriate given that this is aimed at a graduate level study. For someone wanting a stronger foundation for Computer Networking, I recommend pairing this course with another undergraduate online network"&amp;"ing class. I did the Top-Down Networking class by Jim Kurose at UMass Amherst, videos available online - just google. The combination worked very well: Kurose's class provided very thorough foundational knowledge about computer networking, and Eric Keller"&amp;"'s class provided the high level overview + implementation aspects of networking through programming assignments. Good class overall - I've learned a lot. ")</f>
        <v xml:space="preserve">The material covered is very high level - which is appropriate given that this is aimed at a graduate level study. For someone wanting a stronger foundation for Computer Networking, I recommend pairing this course with another undergraduate online networking class. I did the Top-Down Networking class by Jim Kurose at UMass Amherst, videos available online - just google. The combination worked very well: Kurose's class provided very thorough foundational knowledge about computer networking, and Eric Keller's class provided the high level overview + implementation aspects of networking through programming assignments. Good class overall - I've learned a lot. </v>
      </c>
      <c r="I31" s="172">
        <f ca="1">IFERROR(__xludf.DUMMYFUNCTION("""COMPUTED_VALUE"""),1)</f>
        <v>1</v>
      </c>
      <c r="J31" s="172">
        <f ca="1">IFERROR(__xludf.DUMMYFUNCTION("""COMPUTED_VALUE"""),6)</f>
        <v>6</v>
      </c>
      <c r="K31" s="172"/>
      <c r="L31" s="172"/>
      <c r="M31" s="172"/>
      <c r="N31" s="172"/>
      <c r="O31" s="172"/>
      <c r="P31" s="172"/>
      <c r="Q31" s="172"/>
      <c r="R31" s="172"/>
      <c r="S31" s="172"/>
      <c r="T31" s="172"/>
      <c r="U31" s="172"/>
      <c r="V31" s="172"/>
      <c r="W31" s="172"/>
      <c r="X31" s="172"/>
      <c r="Y31" s="172"/>
      <c r="Z31" s="172"/>
      <c r="AA31" s="172"/>
    </row>
    <row r="32" spans="1:27" ht="34">
      <c r="A32" s="170" t="str">
        <f t="shared" ca="1" si="0"/>
        <v>Applications of Software Architecture for Big Data</v>
      </c>
      <c r="B32" s="171" t="str">
        <f t="shared" ca="1" si="1"/>
        <v>CSCA 5028 - Applications of Software Architecture for Big Data</v>
      </c>
      <c r="C32" s="171" t="str">
        <f t="shared" ca="1" si="2"/>
        <v>Brush up on basic Python and SQL. Make sure you understand the instructors’ tutorials and be ready to Google/Stack Overflow a lot of questions when working on the final project. Also, start coding as early as possible. It could take you a lot of time if you’re a beginner!</v>
      </c>
      <c r="D32" s="172">
        <f t="shared" ca="1" si="3"/>
        <v>1</v>
      </c>
      <c r="E32" s="172">
        <v>24</v>
      </c>
      <c r="F32" s="172"/>
      <c r="G32" s="174" t="str">
        <f ca="1">IFERROR(__xludf.DUMMYFUNCTION("""COMPUTED_VALUE"""),"CSCA 5063 - Network Systems Foundation")</f>
        <v>CSCA 5063 - Network Systems Foundation</v>
      </c>
      <c r="H32" s="174" t="str">
        <f ca="1">IFERROR(__xludf.DUMMYFUNCTION("""COMPUTED_VALUE"""),"Nice course. I like the instructors teaching style and the assignments reinforce the material learned for each week.  I think the exam was fairly tricky, but fair. ")</f>
        <v xml:space="preserve">Nice course. I like the instructors teaching style and the assignments reinforce the material learned for each week.  I think the exam was fairly tricky, but fair. </v>
      </c>
      <c r="I32" s="172">
        <f ca="1">IFERROR(__xludf.DUMMYFUNCTION("""COMPUTED_VALUE"""),1)</f>
        <v>1</v>
      </c>
      <c r="J32" s="172">
        <f ca="1">IFERROR(__xludf.DUMMYFUNCTION("""COMPUTED_VALUE"""),6)</f>
        <v>6</v>
      </c>
      <c r="K32" s="172"/>
      <c r="L32" s="172"/>
      <c r="M32" s="172"/>
      <c r="N32" s="172"/>
      <c r="O32" s="172"/>
      <c r="P32" s="172"/>
      <c r="Q32" s="172"/>
      <c r="R32" s="172"/>
      <c r="S32" s="172"/>
      <c r="T32" s="172"/>
      <c r="U32" s="172"/>
      <c r="V32" s="172"/>
      <c r="W32" s="172"/>
      <c r="X32" s="172"/>
      <c r="Y32" s="172"/>
      <c r="Z32" s="172"/>
      <c r="AA32" s="172"/>
    </row>
    <row r="33" spans="1:27" ht="34">
      <c r="A33" s="170" t="str">
        <f t="shared" ca="1" si="0"/>
        <v>Introduction to Machine Learning: Supervised Learning</v>
      </c>
      <c r="B33" s="171" t="str">
        <f t="shared" ca="1" si="1"/>
        <v>CSCA 5622 - Introduction to Machine Learning: Supervised Learning</v>
      </c>
      <c r="C33" s="171" t="str">
        <f t="shared" ca="1" si="2"/>
        <v>Probably more hands on quizes or problems that have a guide solution to get some practice and familiarity before diving into the big final project</v>
      </c>
      <c r="D33" s="172">
        <f t="shared" ca="1" si="3"/>
        <v>1</v>
      </c>
      <c r="E33" s="172">
        <v>9</v>
      </c>
      <c r="F33" s="172"/>
      <c r="G33" s="174" t="str">
        <f ca="1">IFERROR(__xludf.DUMMYFUNCTION("""COMPUTED_VALUE"""),"CSCA 5063 - Network Systems Foundation")</f>
        <v>CSCA 5063 - Network Systems Foundation</v>
      </c>
      <c r="H33" s="174" t="str">
        <f ca="1">IFERROR(__xludf.DUMMYFUNCTION("""COMPUTED_VALUE"""),"The programming assignments aren't always worded very clearly, pay attention to the test results. ")</f>
        <v xml:space="preserve">The programming assignments aren't always worded very clearly, pay attention to the test results. </v>
      </c>
      <c r="I33" s="172">
        <f ca="1">IFERROR(__xludf.DUMMYFUNCTION("""COMPUTED_VALUE"""),1)</f>
        <v>1</v>
      </c>
      <c r="J33" s="172">
        <f ca="1">IFERROR(__xludf.DUMMYFUNCTION("""COMPUTED_VALUE"""),6)</f>
        <v>6</v>
      </c>
      <c r="K33" s="172"/>
      <c r="L33" s="172"/>
      <c r="M33" s="172"/>
      <c r="N33" s="172"/>
      <c r="O33" s="172"/>
      <c r="P33" s="172"/>
      <c r="Q33" s="172"/>
      <c r="R33" s="172"/>
      <c r="S33" s="172"/>
      <c r="T33" s="172"/>
      <c r="U33" s="172"/>
      <c r="V33" s="172"/>
      <c r="W33" s="172"/>
      <c r="X33" s="172"/>
      <c r="Y33" s="172"/>
      <c r="Z33" s="172"/>
      <c r="AA33" s="172"/>
    </row>
    <row r="34" spans="1:27" ht="34">
      <c r="A34" s="170" t="str">
        <f t="shared" ca="1" si="0"/>
        <v>Fundamentals of Software Architecture for Big Data</v>
      </c>
      <c r="B34" s="171" t="str">
        <f t="shared" ca="1" si="1"/>
        <v>CSCA 5008 - Fundamentals of Software Architecture for Big Data</v>
      </c>
      <c r="C34" s="171" t="str">
        <f t="shared" ca="1" si="2"/>
        <v>1. CS undergrad is crucial</v>
      </c>
      <c r="D34" s="172">
        <f t="shared" ca="1" si="3"/>
        <v>1</v>
      </c>
      <c r="E34" s="172">
        <v>22</v>
      </c>
      <c r="F34" s="172"/>
      <c r="G34" s="174" t="str">
        <f ca="1">IFERROR(__xludf.DUMMYFUNCTION("""COMPUTED_VALUE"""),"CSCA 5073 - Network Principles in Practice: Linux Networking")</f>
        <v>CSCA 5073 - Network Principles in Practice: Linux Networking</v>
      </c>
      <c r="H34" s="174" t="str">
        <f ca="1">IFERROR(__xludf.DUMMYFUNCTION("""COMPUTED_VALUE"""),"The labs are pretty easy and fun.  Ironically it is way easier to set them up on a windows system than Linux.")</f>
        <v>The labs are pretty easy and fun.  Ironically it is way easier to set them up on a windows system than Linux.</v>
      </c>
      <c r="I34" s="172">
        <f ca="1">IFERROR(__xludf.DUMMYFUNCTION("""COMPUTED_VALUE"""),1)</f>
        <v>1</v>
      </c>
      <c r="J34" s="172">
        <f ca="1">IFERROR(__xludf.DUMMYFUNCTION("""COMPUTED_VALUE"""),7)</f>
        <v>7</v>
      </c>
      <c r="K34" s="172"/>
      <c r="L34" s="172"/>
      <c r="M34" s="172"/>
      <c r="N34" s="172"/>
      <c r="O34" s="172"/>
      <c r="P34" s="172"/>
      <c r="Q34" s="172"/>
      <c r="R34" s="172"/>
      <c r="S34" s="172"/>
      <c r="T34" s="172"/>
      <c r="U34" s="172"/>
      <c r="V34" s="172"/>
      <c r="W34" s="172"/>
      <c r="X34" s="172"/>
      <c r="Y34" s="172"/>
      <c r="Z34" s="172"/>
      <c r="AA34" s="172"/>
    </row>
    <row r="35" spans="1:27" ht="34">
      <c r="A35" s="170" t="str">
        <f t="shared" ca="1" si="0"/>
        <v>Software Architecture Patterns for Big Data</v>
      </c>
      <c r="B35" s="171" t="str">
        <f t="shared" ca="1" si="1"/>
        <v>CSCA 5018 - Software Architecture Patterns for Big Data</v>
      </c>
      <c r="C35" s="171" t="str">
        <f t="shared" ca="1" si="2"/>
        <v>CS undergrad is crucial here</v>
      </c>
      <c r="D35" s="172">
        <f t="shared" ca="1" si="3"/>
        <v>1</v>
      </c>
      <c r="E35" s="172">
        <v>23</v>
      </c>
      <c r="F35" s="172"/>
      <c r="G35" s="174" t="str">
        <f ca="1">IFERROR(__xludf.DUMMYFUNCTION("""COMPUTED_VALUE"""),"CSCA 5073 - Network Principles in Practice: Linux Networking")</f>
        <v>CSCA 5073 - Network Principles in Practice: Linux Networking</v>
      </c>
      <c r="H35" s="174" t="str">
        <f ca="1">IFERROR(__xludf.DUMMYFUNCTION("""COMPUTED_VALUE"""),"I found this a lot more interesting than the first course in the specialization. I do have quite a bit of background working with containers &amp; Kubernetes, so those bits were very easy &amp; quick for me to get through, but I still learned a lot about how k8s "&amp;"networking works below the surface.")</f>
        <v>I found this a lot more interesting than the first course in the specialization. I do have quite a bit of background working with containers &amp; Kubernetes, so those bits were very easy &amp; quick for me to get through, but I still learned a lot about how k8s networking works below the surface.</v>
      </c>
      <c r="I35" s="172">
        <f ca="1">IFERROR(__xludf.DUMMYFUNCTION("""COMPUTED_VALUE"""),1)</f>
        <v>1</v>
      </c>
      <c r="J35" s="172">
        <f ca="1">IFERROR(__xludf.DUMMYFUNCTION("""COMPUTED_VALUE"""),7)</f>
        <v>7</v>
      </c>
      <c r="K35" s="172"/>
      <c r="L35" s="172"/>
      <c r="M35" s="172"/>
      <c r="N35" s="172"/>
      <c r="O35" s="172"/>
      <c r="P35" s="172"/>
      <c r="Q35" s="172"/>
      <c r="R35" s="172"/>
      <c r="S35" s="172"/>
      <c r="T35" s="172"/>
      <c r="U35" s="172"/>
      <c r="V35" s="172"/>
      <c r="W35" s="172"/>
      <c r="X35" s="172"/>
      <c r="Y35" s="172"/>
      <c r="Z35" s="172"/>
      <c r="AA35" s="172"/>
    </row>
    <row r="36" spans="1:27" ht="51">
      <c r="A36" s="170" t="str">
        <f t="shared" ca="1" si="0"/>
        <v>Applications of Software Architecture for Big Data</v>
      </c>
      <c r="B36" s="171" t="str">
        <f t="shared" ca="1" si="1"/>
        <v>CSCA 5028 - Applications of Software Architecture for Big Data</v>
      </c>
      <c r="C36" s="171" t="str">
        <f t="shared" ca="1" si="2"/>
        <v>Computer Science undergrad STRONGLY RECOMMENDED.</v>
      </c>
      <c r="D36" s="172">
        <f t="shared" ca="1" si="3"/>
        <v>1</v>
      </c>
      <c r="E36" s="172">
        <v>24</v>
      </c>
      <c r="F36" s="172"/>
      <c r="G36" s="174" t="str">
        <f ca="1">IFERROR(__xludf.DUMMYFUNCTION("""COMPUTED_VALUE"""),"CSCA 5083 - Network Principles in Practice: Cloud Networking")</f>
        <v>CSCA 5083 - Network Principles in Practice: Cloud Networking</v>
      </c>
      <c r="H36" s="174" t="str">
        <f ca="1">IFERROR(__xludf.DUMMYFUNCTION("""COMPUTED_VALUE"""),"Course focuses on Google Cloud Platform.  The labs are well designed, more like the first course and require more thought than the Linux networking labs, but still fairly quick to complete.  There is a trick to the week 3 lab--he intentionally left someth"&amp;"ing out and you have to figure it out.  Be aware that if all you do is follow the directions, you won't get it working.  The final contains a lot of questions that weren't covered directly on earlier quizzes, so prepare well.")</f>
        <v>Course focuses on Google Cloud Platform.  The labs are well designed, more like the first course and require more thought than the Linux networking labs, but still fairly quick to complete.  There is a trick to the week 3 lab--he intentionally left something out and you have to figure it out.  Be aware that if all you do is follow the directions, you won't get it working.  The final contains a lot of questions that weren't covered directly on earlier quizzes, so prepare well.</v>
      </c>
      <c r="I36" s="172">
        <f ca="1">IFERROR(__xludf.DUMMYFUNCTION("""COMPUTED_VALUE"""),1)</f>
        <v>1</v>
      </c>
      <c r="J36" s="172">
        <f ca="1">IFERROR(__xludf.DUMMYFUNCTION("""COMPUTED_VALUE"""),8)</f>
        <v>8</v>
      </c>
      <c r="K36" s="172"/>
      <c r="L36" s="172"/>
      <c r="M36" s="172"/>
      <c r="N36" s="172"/>
      <c r="O36" s="172"/>
      <c r="P36" s="172"/>
      <c r="Q36" s="172"/>
      <c r="R36" s="172"/>
      <c r="S36" s="172"/>
      <c r="T36" s="172"/>
      <c r="U36" s="172"/>
      <c r="V36" s="172"/>
      <c r="W36" s="172"/>
      <c r="X36" s="172"/>
      <c r="Y36" s="172"/>
      <c r="Z36" s="172"/>
      <c r="AA36" s="172"/>
    </row>
    <row r="37" spans="1:27" ht="51">
      <c r="A37" s="170" t="str">
        <f t="shared" ca="1" si="0"/>
        <v>Computing, Ethics, and Society Foundations</v>
      </c>
      <c r="B37" s="171" t="str">
        <f t="shared" ca="1" si="1"/>
        <v>CSCA 5214 - Computing, Ethics, and Society Foundations</v>
      </c>
      <c r="C37" s="171">
        <f t="shared" ca="1" si="2"/>
        <v>0</v>
      </c>
      <c r="D37" s="172">
        <f t="shared" ca="1" si="3"/>
        <v>1</v>
      </c>
      <c r="E37" s="172">
        <v>15</v>
      </c>
      <c r="F37" s="172"/>
      <c r="G37" s="174" t="str">
        <f ca="1">IFERROR(__xludf.DUMMYFUNCTION("""COMPUTED_VALUE"""),"CSCA 5083 - Network Principles in Practice: Cloud Networking")</f>
        <v>CSCA 5083 - Network Principles in Practice: Cloud Networking</v>
      </c>
      <c r="H37" s="174" t="str">
        <f ca="1">IFERROR(__xludf.DUMMYFUNCTION("""COMPUTED_VALUE"""),"Prep : Previous courses would be enough
Assignments and exams : have to go deep into the readings but not much besides that
Tips : Assignments involve actually getting a GCP account and using it. Be prepared to spend money or new GCP account free credits.")</f>
        <v>Prep : Previous courses would be enough
Assignments and exams : have to go deep into the readings but not much besides that
Tips : Assignments involve actually getting a GCP account and using it. Be prepared to spend money or new GCP account free credits.</v>
      </c>
      <c r="I37" s="172">
        <f ca="1">IFERROR(__xludf.DUMMYFUNCTION("""COMPUTED_VALUE"""),1)</f>
        <v>1</v>
      </c>
      <c r="J37" s="172">
        <f ca="1">IFERROR(__xludf.DUMMYFUNCTION("""COMPUTED_VALUE"""),8)</f>
        <v>8</v>
      </c>
      <c r="K37" s="172"/>
      <c r="L37" s="172"/>
      <c r="M37" s="172"/>
      <c r="N37" s="172"/>
      <c r="O37" s="172"/>
      <c r="P37" s="172"/>
      <c r="Q37" s="172"/>
      <c r="R37" s="172"/>
      <c r="S37" s="172"/>
      <c r="T37" s="172"/>
      <c r="U37" s="172"/>
      <c r="V37" s="172"/>
      <c r="W37" s="172"/>
      <c r="X37" s="172"/>
      <c r="Y37" s="172"/>
      <c r="Z37" s="172"/>
      <c r="AA37" s="172"/>
    </row>
    <row r="38" spans="1:27" ht="51">
      <c r="A38" s="170" t="str">
        <f t="shared" ca="1" si="0"/>
        <v>Ethical Issues in AI and Professional Ethics</v>
      </c>
      <c r="B38" s="171" t="str">
        <f t="shared" ca="1" si="1"/>
        <v>CSCA 5224 - Ethical Issues in AI and Professional Ethics</v>
      </c>
      <c r="C38" s="171">
        <f t="shared" ca="1" si="2"/>
        <v>0</v>
      </c>
      <c r="D38" s="172">
        <f t="shared" ca="1" si="3"/>
        <v>1</v>
      </c>
      <c r="E38" s="172">
        <v>16</v>
      </c>
      <c r="F38" s="172"/>
      <c r="G38" s="174" t="str">
        <f ca="1">IFERROR(__xludf.DUMMYFUNCTION("""COMPUTED_VALUE"""),"CSCA 5622 - Introduction to Machine Learning: Supervised Learning")</f>
        <v>CSCA 5622 - Introduction to Machine Learning: Supervised Learning</v>
      </c>
      <c r="H38" s="174" t="str">
        <f ca="1">IFERROR(__xludf.DUMMYFUNCTION("""COMPUTED_VALUE"""),"The final project took significantly longer than the rest of the assignments, but was very valuable since it provides a real-world project example.  Python is used heavily in the programming assignments, but (as someone who had next to 0 knowledge of Pyth"&amp;"on before this course) it was too difficult to come up to speed on the required info during the course.  The instructor's videos were poor and did not help me understand the content, so seek external guidance online for the more challenging topics.  ")</f>
        <v xml:space="preserve">The final project took significantly longer than the rest of the assignments, but was very valuable since it provides a real-world project example.  Python is used heavily in the programming assignments, but (as someone who had next to 0 knowledge of Python before this course) it was too difficult to come up to speed on the required info during the course.  The instructor's videos were poor and did not help me understand the content, so seek external guidance online for the more challenging topics.  </v>
      </c>
      <c r="I38" s="172">
        <f ca="1">IFERROR(__xludf.DUMMYFUNCTION("""COMPUTED_VALUE"""),1)</f>
        <v>1</v>
      </c>
      <c r="J38" s="172">
        <f ca="1">IFERROR(__xludf.DUMMYFUNCTION("""COMPUTED_VALUE"""),9)</f>
        <v>9</v>
      </c>
      <c r="K38" s="172"/>
      <c r="L38" s="172"/>
      <c r="M38" s="172"/>
      <c r="N38" s="172"/>
      <c r="O38" s="172"/>
      <c r="P38" s="172"/>
      <c r="Q38" s="172"/>
      <c r="R38" s="172"/>
      <c r="S38" s="172"/>
      <c r="T38" s="172"/>
      <c r="U38" s="172"/>
      <c r="V38" s="172"/>
      <c r="W38" s="172"/>
      <c r="X38" s="172"/>
      <c r="Y38" s="172"/>
      <c r="Z38" s="172"/>
      <c r="AA38" s="172"/>
    </row>
    <row r="39" spans="1:27" ht="34">
      <c r="A39" s="170" t="str">
        <f t="shared" ca="1" si="0"/>
        <v>Ethical Issues in Computing Applications</v>
      </c>
      <c r="B39" s="171" t="str">
        <f t="shared" ca="1" si="1"/>
        <v>CSCA 5234 - Ethical Issues in Computing Applications</v>
      </c>
      <c r="C39" s="171">
        <f t="shared" ca="1" si="2"/>
        <v>0</v>
      </c>
      <c r="D39" s="172">
        <f t="shared" ca="1" si="3"/>
        <v>1</v>
      </c>
      <c r="E39" s="172" t="s">
        <v>281</v>
      </c>
      <c r="F39" s="172"/>
      <c r="G39" s="174" t="str">
        <f ca="1">IFERROR(__xludf.DUMMYFUNCTION("""COMPUTED_VALUE"""),"CSCA 5622 - Introduction to Machine Learning: Supervised Learning")</f>
        <v>CSCA 5622 - Introduction to Machine Learning: Supervised Learning</v>
      </c>
      <c r="H39" s="174" t="str">
        <f ca="1">IFERROR(__xludf.DUMMYFUNCTION("""COMPUTED_VALUE"""),"Probably more hands on quizes or problems that have a guide solution to get some practice and familiarity before diving into the big final project")</f>
        <v>Probably more hands on quizes or problems that have a guide solution to get some practice and familiarity before diving into the big final project</v>
      </c>
      <c r="I39" s="172">
        <f ca="1">IFERROR(__xludf.DUMMYFUNCTION("""COMPUTED_VALUE"""),1)</f>
        <v>1</v>
      </c>
      <c r="J39" s="172">
        <f ca="1">IFERROR(__xludf.DUMMYFUNCTION("""COMPUTED_VALUE"""),9)</f>
        <v>9</v>
      </c>
      <c r="K39" s="172"/>
      <c r="L39" s="172"/>
      <c r="M39" s="172"/>
      <c r="N39" s="172"/>
      <c r="O39" s="172"/>
      <c r="P39" s="172"/>
      <c r="Q39" s="172"/>
      <c r="R39" s="172"/>
      <c r="S39" s="172"/>
      <c r="T39" s="172"/>
      <c r="U39" s="172"/>
      <c r="V39" s="172"/>
      <c r="W39" s="172"/>
      <c r="X39" s="172"/>
      <c r="Y39" s="172"/>
      <c r="Z39" s="172"/>
      <c r="AA39" s="172"/>
    </row>
    <row r="40" spans="1:27" ht="136">
      <c r="A40" s="170" t="str">
        <f t="shared" ca="1" si="0"/>
        <v>Fundamentals of Software Architecture for Big Data</v>
      </c>
      <c r="B40" s="171" t="str">
        <f t="shared" ca="1" si="1"/>
        <v>CSCA 5008 - Fundamentals of Software Architecture for Big Data</v>
      </c>
      <c r="C40" s="171">
        <f t="shared" ca="1" si="2"/>
        <v>0</v>
      </c>
      <c r="D40" s="172">
        <f t="shared" ca="1" si="3"/>
        <v>1</v>
      </c>
      <c r="E40" s="172">
        <v>22</v>
      </c>
      <c r="F40" s="172"/>
      <c r="G40" s="174" t="str">
        <f ca="1">IFERROR(__xludf.DUMMYFUNCTION("""COMPUTED_VALUE"""),"CSCA 5622 - Introduction to Machine Learning: Supervised Learning")</f>
        <v>CSCA 5622 - Introduction to Machine Learning: Supervised Learning</v>
      </c>
      <c r="H40" s="174" t="str">
        <f ca="1">IFERROR(__xludf.DUMMYFUNCTION("""COMPUTED_VALUE"""),"The lectures go at a very fast pace and can be overwhelming if you don't have some familiarity with the subject matter. You don't need to know the math in the sense that you aren't ever asked to solve equations, but you need to know enough to understand t"&amp;"he formulas being presented to you.
The reading is ISLR, pretty much the gold standard for intro-level learning on this subject matter. The labs can be a little frustrating since most of the tests are hidden from you and the hints don't particularly help"&amp;" you figure out what's going wrong. Once you put the work in however, the labs do help foster an understanding of the algorithms you're learning about, usually through manually implementing them. 
The final project is very open, you pick a data set and a"&amp;"pply some supervised techniques to it. You get out of that what you put in")</f>
        <v>The lectures go at a very fast pace and can be overwhelming if you don't have some familiarity with the subject matter. You don't need to know the math in the sense that you aren't ever asked to solve equations, but you need to know enough to understand the formulas being presented to you.
The reading is ISLR, pretty much the gold standard for intro-level learning on this subject matter. The labs can be a little frustrating since most of the tests are hidden from you and the hints don't particularly help you figure out what's going wrong. Once you put the work in however, the labs do help foster an understanding of the algorithms you're learning about, usually through manually implementing them. 
The final project is very open, you pick a data set and apply some supervised techniques to it. You get out of that what you put in</v>
      </c>
      <c r="I40" s="172">
        <f ca="1">IFERROR(__xludf.DUMMYFUNCTION("""COMPUTED_VALUE"""),1)</f>
        <v>1</v>
      </c>
      <c r="J40" s="172">
        <f ca="1">IFERROR(__xludf.DUMMYFUNCTION("""COMPUTED_VALUE"""),9)</f>
        <v>9</v>
      </c>
      <c r="K40" s="172"/>
      <c r="L40" s="172"/>
      <c r="M40" s="172"/>
      <c r="N40" s="172"/>
      <c r="O40" s="172"/>
      <c r="P40" s="172"/>
      <c r="Q40" s="172"/>
      <c r="R40" s="172"/>
      <c r="S40" s="172"/>
      <c r="T40" s="172"/>
      <c r="U40" s="172"/>
      <c r="V40" s="172"/>
      <c r="W40" s="172"/>
      <c r="X40" s="172"/>
      <c r="Y40" s="172"/>
      <c r="Z40" s="172"/>
      <c r="AA40" s="172"/>
    </row>
    <row r="41" spans="1:27" ht="51">
      <c r="A41" s="170" t="str">
        <f t="shared" ca="1" si="0"/>
        <v>Software Architecture Patterns for Big Data</v>
      </c>
      <c r="B41" s="171" t="str">
        <f t="shared" ca="1" si="1"/>
        <v>CSCA 5018 - Software Architecture Patterns for Big Data</v>
      </c>
      <c r="C41" s="171">
        <f t="shared" ca="1" si="2"/>
        <v>0</v>
      </c>
      <c r="D41" s="172">
        <f t="shared" ca="1" si="3"/>
        <v>1</v>
      </c>
      <c r="E41" s="172">
        <v>23</v>
      </c>
      <c r="F41" s="172"/>
      <c r="G41" s="174" t="str">
        <f ca="1">IFERROR(__xludf.DUMMYFUNCTION("""COMPUTED_VALUE"""),"CSCA 5622 - Introduction to Machine Learning: Supervised Learning")</f>
        <v>CSCA 5622 - Introduction to Machine Learning: Supervised Learning</v>
      </c>
      <c r="H41" s="174" t="str">
        <f ca="1">IFERROR(__xludf.DUMMYFUNCTION("""COMPUTED_VALUE"""),"Coursera time estimates were accurate for everything except the final project, which took me closer to 12 hours.  The math is not easy, and the instructor often introduces  math concepts without adequately explaining them.  Expect to spend some significan"&amp;"t time in self study if you don't come in with a solid math and statistics background.")</f>
        <v>Coursera time estimates were accurate for everything except the final project, which took me closer to 12 hours.  The math is not easy, and the instructor often introduces  math concepts without adequately explaining them.  Expect to spend some significant time in self study if you don't come in with a solid math and statistics background.</v>
      </c>
      <c r="I41" s="172">
        <f ca="1">IFERROR(__xludf.DUMMYFUNCTION("""COMPUTED_VALUE"""),1)</f>
        <v>1</v>
      </c>
      <c r="J41" s="172">
        <f ca="1">IFERROR(__xludf.DUMMYFUNCTION("""COMPUTED_VALUE"""),9)</f>
        <v>9</v>
      </c>
      <c r="K41" s="172"/>
      <c r="L41" s="172"/>
      <c r="M41" s="172"/>
      <c r="N41" s="172"/>
      <c r="O41" s="172"/>
      <c r="P41" s="172"/>
      <c r="Q41" s="172"/>
      <c r="R41" s="172"/>
      <c r="S41" s="172"/>
      <c r="T41" s="172"/>
      <c r="U41" s="172"/>
      <c r="V41" s="172"/>
      <c r="W41" s="172"/>
      <c r="X41" s="172"/>
      <c r="Y41" s="172"/>
      <c r="Z41" s="172"/>
      <c r="AA41" s="172"/>
    </row>
    <row r="42" spans="1:27" ht="34">
      <c r="A42" s="170" t="str">
        <f t="shared" ca="1" si="0"/>
        <v>Applications of Software Architecture for Big Data</v>
      </c>
      <c r="B42" s="171" t="str">
        <f t="shared" ca="1" si="1"/>
        <v>CSCA 5028 - Applications of Software Architecture for Big Data</v>
      </c>
      <c r="C42" s="171">
        <f t="shared" ca="1" si="2"/>
        <v>0</v>
      </c>
      <c r="D42" s="172">
        <f t="shared" ca="1" si="3"/>
        <v>1</v>
      </c>
      <c r="E42" s="172">
        <v>24</v>
      </c>
      <c r="F42" s="172"/>
      <c r="G42" s="174" t="str">
        <f ca="1">IFERROR(__xludf.DUMMYFUNCTION("""COMPUTED_VALUE"""),"CSCA 5622 - Introduction to Machine Learning: Supervised Learning")</f>
        <v>CSCA 5622 - Introduction to Machine Learning: Supervised Learning</v>
      </c>
      <c r="H42" s="174" t="str">
        <f ca="1">IFERROR(__xludf.DUMMYFUNCTION("""COMPUTED_VALUE"""),"I think the instructor may need better lecture skills. The lectures somehow drove me mad.")</f>
        <v>I think the instructor may need better lecture skills. The lectures somehow drove me mad.</v>
      </c>
      <c r="I42" s="172">
        <f ca="1">IFERROR(__xludf.DUMMYFUNCTION("""COMPUTED_VALUE"""),1)</f>
        <v>1</v>
      </c>
      <c r="J42" s="172">
        <f ca="1">IFERROR(__xludf.DUMMYFUNCTION("""COMPUTED_VALUE"""),9)</f>
        <v>9</v>
      </c>
      <c r="K42" s="172"/>
      <c r="L42" s="172"/>
      <c r="M42" s="172"/>
      <c r="N42" s="172"/>
      <c r="O42" s="172"/>
      <c r="P42" s="172"/>
      <c r="Q42" s="172"/>
      <c r="R42" s="172"/>
      <c r="S42" s="172"/>
      <c r="T42" s="172"/>
      <c r="U42" s="172"/>
      <c r="V42" s="172"/>
      <c r="W42" s="172"/>
      <c r="X42" s="172"/>
      <c r="Y42" s="172"/>
      <c r="Z42" s="172"/>
      <c r="AA42" s="172"/>
    </row>
    <row r="43" spans="1:27" ht="34">
      <c r="A43" s="170" t="str">
        <f t="shared" ca="1" si="0"/>
        <v>Network Systems Foundation</v>
      </c>
      <c r="B43" s="171" t="str">
        <f t="shared" ca="1" si="1"/>
        <v>CSCA 5063 - Network Systems Foundation</v>
      </c>
      <c r="C43" s="171" t="str">
        <f t="shared" ca="1" si="2"/>
        <v>Thorough, clear introduction.  Straightforward lab assignments (except for one, which could use some revision)</v>
      </c>
      <c r="D43" s="172">
        <f t="shared" ca="1" si="3"/>
        <v>1</v>
      </c>
      <c r="E43" s="172">
        <v>6</v>
      </c>
      <c r="F43" s="172"/>
      <c r="G43" s="174" t="str">
        <f ca="1">IFERROR(__xludf.DUMMYFUNCTION("""COMPUTED_VALUE"""),"CSCA 5622 - Introduction to Machine Learning: Supervised Learning")</f>
        <v>CSCA 5622 - Introduction to Machine Learning: Supervised Learning</v>
      </c>
      <c r="H43" s="174" t="str">
        <f ca="1">IFERROR(__xludf.DUMMYFUNCTION("""COMPUTED_VALUE"""),"1. basic stats, types of error, hypothesis testing, etc. 2. Assignments did not involve much programming at all. It sometimes took a long time to figure out the answer to hidden tests in the assignments. 3. The textbook readings are much more helpful than"&amp;" the lectures")</f>
        <v>1. basic stats, types of error, hypothesis testing, etc. 2. Assignments did not involve much programming at all. It sometimes took a long time to figure out the answer to hidden tests in the assignments. 3. The textbook readings are much more helpful than the lectures</v>
      </c>
      <c r="I43" s="172">
        <f ca="1">IFERROR(__xludf.DUMMYFUNCTION("""COMPUTED_VALUE"""),1)</f>
        <v>1</v>
      </c>
      <c r="J43" s="172">
        <f ca="1">IFERROR(__xludf.DUMMYFUNCTION("""COMPUTED_VALUE"""),9)</f>
        <v>9</v>
      </c>
      <c r="K43" s="172"/>
      <c r="L43" s="172"/>
      <c r="M43" s="172"/>
      <c r="N43" s="172"/>
      <c r="O43" s="172"/>
      <c r="P43" s="172"/>
      <c r="Q43" s="172"/>
      <c r="R43" s="172"/>
      <c r="S43" s="172"/>
      <c r="T43" s="172"/>
      <c r="U43" s="172"/>
      <c r="V43" s="172"/>
      <c r="W43" s="172"/>
      <c r="X43" s="172"/>
      <c r="Y43" s="172"/>
      <c r="Z43" s="172"/>
      <c r="AA43" s="172"/>
    </row>
    <row r="44" spans="1:27" ht="34">
      <c r="A44" s="170" t="str">
        <f t="shared" ca="1" si="0"/>
        <v>Introduction to Generative AI</v>
      </c>
      <c r="B44" s="171" t="str">
        <f t="shared" ca="1" si="1"/>
        <v>CSCA 5112 - Introduction to Generative AI</v>
      </c>
      <c r="C44" s="171" t="str">
        <f t="shared" ca="1" si="2"/>
        <v>Straightforward course, very theoretical.  I wish there were some application.</v>
      </c>
      <c r="D44" s="172">
        <f t="shared" ca="1" si="3"/>
        <v>1</v>
      </c>
      <c r="E44" s="172">
        <v>25</v>
      </c>
      <c r="F44" s="172"/>
      <c r="G44" s="174" t="str">
        <f ca="1">IFERROR(__xludf.DUMMYFUNCTION("""COMPUTED_VALUE"""),"CSCA 5632 - Unsupervised Algorithms in Machine Learning")</f>
        <v>CSCA 5632 - Unsupervised Algorithms in Machine Learning</v>
      </c>
      <c r="H44" s="174" t="str">
        <f ca="1">IFERROR(__xludf.DUMMYFUNCTION("""COMPUTED_VALUE"""),"Use Statquest and ISLR prior to her lectures.")</f>
        <v>Use Statquest and ISLR prior to her lectures.</v>
      </c>
      <c r="I44" s="172">
        <f ca="1">IFERROR(__xludf.DUMMYFUNCTION("""COMPUTED_VALUE"""),1)</f>
        <v>1</v>
      </c>
      <c r="J44" s="172">
        <f ca="1">IFERROR(__xludf.DUMMYFUNCTION("""COMPUTED_VALUE"""),10)</f>
        <v>10</v>
      </c>
      <c r="K44" s="172"/>
      <c r="L44" s="172"/>
      <c r="M44" s="172"/>
      <c r="N44" s="172"/>
      <c r="O44" s="172"/>
      <c r="P44" s="172"/>
      <c r="Q44" s="172"/>
      <c r="R44" s="172"/>
      <c r="S44" s="172"/>
      <c r="T44" s="172"/>
      <c r="U44" s="172"/>
      <c r="V44" s="172"/>
      <c r="W44" s="172"/>
      <c r="X44" s="172"/>
      <c r="Y44" s="172"/>
      <c r="Z44" s="172"/>
      <c r="AA44" s="172"/>
    </row>
    <row r="45" spans="1:27" ht="34">
      <c r="A45" s="170" t="str">
        <f t="shared" ca="1" si="0"/>
        <v>Fundamentals of Software Architecture for Big Data</v>
      </c>
      <c r="B45" s="171" t="str">
        <f t="shared" ca="1" si="1"/>
        <v>CSCA 5008 - Fundamentals of Software Architecture for Big Data</v>
      </c>
      <c r="C45" s="171">
        <f t="shared" ca="1" si="2"/>
        <v>0</v>
      </c>
      <c r="D45" s="172">
        <f t="shared" ca="1" si="3"/>
        <v>1</v>
      </c>
      <c r="E45" s="172">
        <v>22</v>
      </c>
      <c r="F45" s="172"/>
      <c r="G45" s="174" t="str">
        <f ca="1">IFERROR(__xludf.DUMMYFUNCTION("""COMPUTED_VALUE"""),"CSCA 5632 - Unsupervised Algorithms in Machine Learning")</f>
        <v>CSCA 5632 - Unsupervised Algorithms in Machine Learning</v>
      </c>
      <c r="H45" s="174" t="str">
        <f ca="1">IFERROR(__xludf.DUMMYFUNCTION("""COMPUTED_VALUE"""),"I think the instructor may need better lecture skills. The lectures somehow drove me mad.")</f>
        <v>I think the instructor may need better lecture skills. The lectures somehow drove me mad.</v>
      </c>
      <c r="I45" s="172">
        <f ca="1">IFERROR(__xludf.DUMMYFUNCTION("""COMPUTED_VALUE"""),1)</f>
        <v>1</v>
      </c>
      <c r="J45" s="172">
        <f ca="1">IFERROR(__xludf.DUMMYFUNCTION("""COMPUTED_VALUE"""),10)</f>
        <v>10</v>
      </c>
      <c r="K45" s="172"/>
      <c r="L45" s="172"/>
      <c r="M45" s="172"/>
      <c r="N45" s="172"/>
      <c r="O45" s="172"/>
      <c r="P45" s="172"/>
      <c r="Q45" s="172"/>
      <c r="R45" s="172"/>
      <c r="S45" s="172"/>
      <c r="T45" s="172"/>
      <c r="U45" s="172"/>
      <c r="V45" s="172"/>
      <c r="W45" s="172"/>
      <c r="X45" s="172"/>
      <c r="Y45" s="172"/>
      <c r="Z45" s="172"/>
      <c r="AA45" s="172"/>
    </row>
    <row r="46" spans="1:27" ht="34">
      <c r="A46" s="170" t="str">
        <f t="shared" ca="1" si="0"/>
        <v>Software Architecture Patterns for Big Data</v>
      </c>
      <c r="B46" s="171" t="str">
        <f t="shared" ca="1" si="1"/>
        <v>CSCA 5018 - Software Architecture Patterns for Big Data</v>
      </c>
      <c r="C46" s="171">
        <f t="shared" ca="1" si="2"/>
        <v>0</v>
      </c>
      <c r="D46" s="172">
        <f t="shared" ca="1" si="3"/>
        <v>1</v>
      </c>
      <c r="E46" s="172">
        <v>23</v>
      </c>
      <c r="F46" s="172"/>
      <c r="G46" s="174" t="str">
        <f ca="1">IFERROR(__xludf.DUMMYFUNCTION("""COMPUTED_VALUE"""),"CSCA 5632 - Unsupervised Algorithms in Machine Learning")</f>
        <v>CSCA 5632 - Unsupervised Algorithms in Machine Learning</v>
      </c>
      <c r="H46" s="174" t="str">
        <f ca="1">IFERROR(__xludf.DUMMYFUNCTION("""COMPUTED_VALUE"""),"Instructor is not effective, and assignment requirements are not adequately explained.  I highly recommend doing the data mining pathway before these courses, so that you will have some background in the ML techniques used in this course.")</f>
        <v>Instructor is not effective, and assignment requirements are not adequately explained.  I highly recommend doing the data mining pathway before these courses, so that you will have some background in the ML techniques used in this course.</v>
      </c>
      <c r="I46" s="172">
        <f ca="1">IFERROR(__xludf.DUMMYFUNCTION("""COMPUTED_VALUE"""),1)</f>
        <v>1</v>
      </c>
      <c r="J46" s="172">
        <f ca="1">IFERROR(__xludf.DUMMYFUNCTION("""COMPUTED_VALUE"""),10)</f>
        <v>10</v>
      </c>
      <c r="K46" s="172"/>
      <c r="L46" s="172"/>
      <c r="M46" s="172"/>
      <c r="N46" s="172"/>
      <c r="O46" s="172"/>
      <c r="P46" s="172"/>
      <c r="Q46" s="172"/>
      <c r="R46" s="172"/>
      <c r="S46" s="172"/>
      <c r="T46" s="172"/>
      <c r="U46" s="172"/>
      <c r="V46" s="172"/>
      <c r="W46" s="172"/>
      <c r="X46" s="172"/>
      <c r="Y46" s="172"/>
      <c r="Z46" s="172"/>
      <c r="AA46" s="172"/>
    </row>
    <row r="47" spans="1:27" ht="34">
      <c r="A47" s="170" t="str">
        <f t="shared" ca="1" si="0"/>
        <v>Applications of Software Architecture for Big Data</v>
      </c>
      <c r="B47" s="171" t="str">
        <f t="shared" ca="1" si="1"/>
        <v>CSCA 5028 - Applications of Software Architecture for Big Data</v>
      </c>
      <c r="C47" s="171">
        <f t="shared" ca="1" si="2"/>
        <v>0</v>
      </c>
      <c r="D47" s="172">
        <f t="shared" ca="1" si="3"/>
        <v>1</v>
      </c>
      <c r="E47" s="172">
        <v>24</v>
      </c>
      <c r="F47" s="172"/>
      <c r="G47" s="174" t="str">
        <f ca="1">IFERROR(__xludf.DUMMYFUNCTION("""COMPUTED_VALUE"""),"CSCA 5642 - Introduction to Deep Learning")</f>
        <v>CSCA 5642 - Introduction to Deep Learning</v>
      </c>
      <c r="H47" s="174" t="str">
        <f ca="1">IFERROR(__xludf.DUMMYFUNCTION("""COMPUTED_VALUE"""),"Honestly, best to have some understanding of NNs prior to the course. 3Blue1Brown is helpful as well as googling how the architectures work prior to her lessons, which often dont cover things as well.")</f>
        <v>Honestly, best to have some understanding of NNs prior to the course. 3Blue1Brown is helpful as well as googling how the architectures work prior to her lessons, which often dont cover things as well.</v>
      </c>
      <c r="I47" s="172">
        <f ca="1">IFERROR(__xludf.DUMMYFUNCTION("""COMPUTED_VALUE"""),1)</f>
        <v>1</v>
      </c>
      <c r="J47" s="172">
        <f ca="1">IFERROR(__xludf.DUMMYFUNCTION("""COMPUTED_VALUE"""),11)</f>
        <v>11</v>
      </c>
      <c r="K47" s="172"/>
      <c r="L47" s="172"/>
      <c r="M47" s="172"/>
      <c r="N47" s="172"/>
      <c r="O47" s="172"/>
      <c r="P47" s="172"/>
      <c r="Q47" s="172"/>
      <c r="R47" s="172"/>
      <c r="S47" s="172"/>
      <c r="T47" s="172"/>
      <c r="U47" s="172"/>
      <c r="V47" s="172"/>
      <c r="W47" s="172"/>
      <c r="X47" s="172"/>
      <c r="Y47" s="172"/>
      <c r="Z47" s="172"/>
      <c r="AA47" s="172"/>
    </row>
    <row r="48" spans="1:27" ht="34">
      <c r="A48" s="170" t="str">
        <f t="shared" ca="1" si="0"/>
        <v>Introduction to Generative AI</v>
      </c>
      <c r="B48" s="171" t="str">
        <f t="shared" ca="1" si="1"/>
        <v>CSCA 5112 - Introduction to Generative AI</v>
      </c>
      <c r="C48" s="171">
        <f t="shared" ca="1" si="2"/>
        <v>0</v>
      </c>
      <c r="D48" s="172">
        <f t="shared" ca="1" si="3"/>
        <v>1</v>
      </c>
      <c r="E48" s="172">
        <v>25</v>
      </c>
      <c r="F48" s="172"/>
      <c r="G48" s="174" t="str">
        <f ca="1">IFERROR(__xludf.DUMMYFUNCTION("""COMPUTED_VALUE"""),"CSCA 5854 - Verification and Synthesis of Autonomous Systems")</f>
        <v>CSCA 5854 - Verification and Synthesis of Autonomous Systems</v>
      </c>
      <c r="H48" s="174" t="str">
        <f ca="1">IFERROR(__xludf.DUMMYFUNCTION("""COMPUTED_VALUE"""),"MCQ exam (12 hours time limit; 1 attempt)")</f>
        <v>MCQ exam (12 hours time limit; 1 attempt)</v>
      </c>
      <c r="I48" s="172">
        <f ca="1">IFERROR(__xludf.DUMMYFUNCTION("""COMPUTED_VALUE"""),1)</f>
        <v>1</v>
      </c>
      <c r="J48" s="172">
        <f ca="1">IFERROR(__xludf.DUMMYFUNCTION("""COMPUTED_VALUE"""),14)</f>
        <v>14</v>
      </c>
      <c r="K48" s="172"/>
      <c r="L48" s="172"/>
      <c r="M48" s="172"/>
      <c r="N48" s="172"/>
      <c r="O48" s="172"/>
      <c r="P48" s="172"/>
      <c r="Q48" s="172"/>
      <c r="R48" s="172"/>
      <c r="S48" s="172"/>
      <c r="T48" s="172"/>
      <c r="U48" s="172"/>
      <c r="V48" s="172"/>
      <c r="W48" s="172"/>
      <c r="X48" s="172"/>
      <c r="Y48" s="172"/>
      <c r="Z48" s="172"/>
      <c r="AA48" s="172"/>
    </row>
    <row r="49" spans="1:27" ht="51">
      <c r="A49" s="170" t="str">
        <f t="shared" ca="1" si="0"/>
        <v>Dynamic Programming, Greedy Algorithms</v>
      </c>
      <c r="B49" s="171" t="str">
        <f t="shared" ca="1" si="1"/>
        <v>CSCA 5414 - Dynamic Programming, Greedy Algorithms</v>
      </c>
      <c r="C49" s="171">
        <f t="shared" ca="1" si="2"/>
        <v>0</v>
      </c>
      <c r="D49" s="172">
        <f t="shared" ca="1" si="3"/>
        <v>1</v>
      </c>
      <c r="E49" s="172">
        <v>3</v>
      </c>
      <c r="F49" s="172"/>
      <c r="G49" s="174" t="str">
        <f ca="1">IFERROR(__xludf.DUMMYFUNCTION("""COMPUTED_VALUE"""),"CSCA 5214 - Computing, Ethics, and Society Foundations")</f>
        <v>CSCA 5214 - Computing, Ethics, and Society Foundations</v>
      </c>
      <c r="H49" s="174" t="str">
        <f ca="1">IFERROR(__xludf.DUMMYFUNCTION("""COMPUTED_VALUE"""),"The audio portion of the videos is excellent, but staring at the professor's eyes darting across the screen for 10-20 minutes is odd and does not add any value to the course.  The essays are not particularly challenging, but this is a course where ""you g"&amp;"et out what you put in"" since there is a wealth of interesting information presented.  I enjoyed the course overall and I feel that it was a valuable addition to a computer science masters program.")</f>
        <v>The audio portion of the videos is excellent, but staring at the professor's eyes darting across the screen for 10-20 minutes is odd and does not add any value to the course.  The essays are not particularly challenging, but this is a course where "you get out what you put in" since there is a wealth of interesting information presented.  I enjoyed the course overall and I feel that it was a valuable addition to a computer science masters program.</v>
      </c>
      <c r="I49" s="172">
        <f ca="1">IFERROR(__xludf.DUMMYFUNCTION("""COMPUTED_VALUE"""),1)</f>
        <v>1</v>
      </c>
      <c r="J49" s="172">
        <f ca="1">IFERROR(__xludf.DUMMYFUNCTION("""COMPUTED_VALUE"""),15)</f>
        <v>15</v>
      </c>
      <c r="K49" s="172"/>
      <c r="L49" s="172"/>
      <c r="M49" s="172"/>
      <c r="N49" s="172"/>
      <c r="O49" s="172"/>
      <c r="P49" s="172"/>
      <c r="Q49" s="172"/>
      <c r="R49" s="172"/>
      <c r="S49" s="172"/>
      <c r="T49" s="172"/>
      <c r="U49" s="172"/>
      <c r="V49" s="172"/>
      <c r="W49" s="172"/>
      <c r="X49" s="172"/>
      <c r="Y49" s="172"/>
      <c r="Z49" s="172"/>
      <c r="AA49" s="172"/>
    </row>
    <row r="50" spans="1:27" ht="51">
      <c r="A50" s="170" t="str">
        <f t="shared" ca="1" si="0"/>
        <v>Approximation Algorithms and Linear Programming</v>
      </c>
      <c r="B50" s="171" t="str">
        <f t="shared" ca="1" si="1"/>
        <v>CSCA 5424 - Approximation Algorithms and Linear Programming</v>
      </c>
      <c r="C50" s="171">
        <f t="shared" ca="1" si="2"/>
        <v>0</v>
      </c>
      <c r="D50" s="172">
        <f t="shared" ca="1" si="3"/>
        <v>1</v>
      </c>
      <c r="E50" s="172">
        <v>4</v>
      </c>
      <c r="F50" s="172"/>
      <c r="G50" s="174" t="str">
        <f ca="1">IFERROR(__xludf.DUMMYFUNCTION("""COMPUTED_VALUE"""),"CSCA 5214 - Computing, Ethics, and Society Foundations")</f>
        <v>CSCA 5214 - Computing, Ethics, and Society Foundations</v>
      </c>
      <c r="H50" s="174" t="str">
        <f ca="1">IFERROR(__xludf.DUMMYFUNCTION("""COMPUTED_VALUE"""),"Prepare for a bunch of short essays and reading assignments. The content is broad and interesting. Pay lots of attention to week 1 ethical frameworks. Really understand them because almost all assignments require you to use them. As for reading materials,"&amp;" skim them to better manage your time! Also, some articles are pay-walled but you can get free New York Times and Wall Street Journal memberships as a CU Boulder (online) student so no need to pay!")</f>
        <v>Prepare for a bunch of short essays and reading assignments. The content is broad and interesting. Pay lots of attention to week 1 ethical frameworks. Really understand them because almost all assignments require you to use them. As for reading materials, skim them to better manage your time! Also, some articles are pay-walled but you can get free New York Times and Wall Street Journal memberships as a CU Boulder (online) student so no need to pay!</v>
      </c>
      <c r="I50" s="172">
        <f ca="1">IFERROR(__xludf.DUMMYFUNCTION("""COMPUTED_VALUE"""),1)</f>
        <v>1</v>
      </c>
      <c r="J50" s="172">
        <f ca="1">IFERROR(__xludf.DUMMYFUNCTION("""COMPUTED_VALUE"""),15)</f>
        <v>15</v>
      </c>
      <c r="K50" s="172"/>
      <c r="L50" s="172"/>
      <c r="M50" s="172"/>
      <c r="N50" s="172"/>
      <c r="O50" s="172"/>
      <c r="P50" s="172"/>
      <c r="Q50" s="172"/>
      <c r="R50" s="172"/>
      <c r="S50" s="172"/>
      <c r="T50" s="172"/>
      <c r="U50" s="172"/>
      <c r="V50" s="172"/>
      <c r="W50" s="172"/>
      <c r="X50" s="172"/>
      <c r="Y50" s="172"/>
      <c r="Z50" s="172"/>
      <c r="AA50" s="172"/>
    </row>
    <row r="51" spans="1:27" ht="34">
      <c r="A51" s="170" t="str">
        <f t="shared" ca="1" si="0"/>
        <v>Introduction to Generative AI</v>
      </c>
      <c r="B51" s="171" t="str">
        <f t="shared" ca="1" si="1"/>
        <v>CSCA 5112 - Introduction to Generative AI</v>
      </c>
      <c r="C51" s="171" t="str">
        <f t="shared" ca="1" si="2"/>
        <v>Extremely short and easy. Pretty interesting too. Some (very few) exam questions aren’t covered in lectures though.</v>
      </c>
      <c r="D51" s="172">
        <f t="shared" ca="1" si="3"/>
        <v>1</v>
      </c>
      <c r="E51" s="172">
        <v>25</v>
      </c>
      <c r="F51" s="172"/>
      <c r="G51" s="174" t="str">
        <f ca="1">IFERROR(__xludf.DUMMYFUNCTION("""COMPUTED_VALUE"""),"CSCA 5214 - Computing, Ethics, and Society Foundations")</f>
        <v>CSCA 5214 - Computing, Ethics, and Society Foundations</v>
      </c>
      <c r="H51" s="174" t="str">
        <f ca="1">IFERROR(__xludf.DUMMYFUNCTION("""COMPUTED_VALUE"""),"No prior knowledge needed, just critical thinking and research skills. Assignments are pretty repetitive + easy, just make sure to hit all of parts of the questions they ask, as all of them will appear on the rubric for most assignments. ")</f>
        <v xml:space="preserve">No prior knowledge needed, just critical thinking and research skills. Assignments are pretty repetitive + easy, just make sure to hit all of parts of the questions they ask, as all of them will appear on the rubric for most assignments. </v>
      </c>
      <c r="I51" s="172">
        <f ca="1">IFERROR(__xludf.DUMMYFUNCTION("""COMPUTED_VALUE"""),1)</f>
        <v>1</v>
      </c>
      <c r="J51" s="172">
        <f ca="1">IFERROR(__xludf.DUMMYFUNCTION("""COMPUTED_VALUE"""),15)</f>
        <v>15</v>
      </c>
      <c r="K51" s="172"/>
      <c r="L51" s="172"/>
      <c r="M51" s="172"/>
      <c r="N51" s="172"/>
      <c r="O51" s="172"/>
      <c r="P51" s="172"/>
      <c r="Q51" s="172"/>
      <c r="R51" s="172"/>
      <c r="S51" s="172"/>
      <c r="T51" s="172"/>
      <c r="U51" s="172"/>
      <c r="V51" s="172"/>
      <c r="W51" s="172"/>
      <c r="X51" s="172"/>
      <c r="Y51" s="172"/>
      <c r="Z51" s="172"/>
      <c r="AA51" s="172"/>
    </row>
    <row r="52" spans="1:27" ht="34">
      <c r="A52" s="170" t="str">
        <f t="shared" ca="1" si="0"/>
        <v>Data Mining Pipeline</v>
      </c>
      <c r="B52" s="171" t="str">
        <f t="shared" ca="1" si="1"/>
        <v>CSCA 5502 - Data Mining Pipeline</v>
      </c>
      <c r="C52" s="171" t="str">
        <f t="shared" ca="1" si="2"/>
        <v>Mostly conceptual class with some fun programming challenges for a little hands on.  Had a little trouble getting some of the programming assignments to pass, even when the problem was solved correctly.</v>
      </c>
      <c r="D52" s="172">
        <f t="shared" ca="1" si="3"/>
        <v>1</v>
      </c>
      <c r="E52" s="172">
        <v>19</v>
      </c>
      <c r="F52" s="172"/>
      <c r="G52" s="174" t="str">
        <f ca="1">IFERROR(__xludf.DUMMYFUNCTION("""COMPUTED_VALUE"""),"CSCA 5214 - Computing, Ethics, and Society Foundations")</f>
        <v>CSCA 5214 - Computing, Ethics, and Society Foundations</v>
      </c>
      <c r="H52" s="174" t="str">
        <f ca="1">IFERROR(__xludf.DUMMYFUNCTION("""COMPUTED_VALUE"""),"I recommend listening to the lectures similarly to podcasts while doing other things during your day to save time")</f>
        <v>I recommend listening to the lectures similarly to podcasts while doing other things during your day to save time</v>
      </c>
      <c r="I52" s="172">
        <f ca="1">IFERROR(__xludf.DUMMYFUNCTION("""COMPUTED_VALUE"""),1)</f>
        <v>1</v>
      </c>
      <c r="J52" s="172">
        <f ca="1">IFERROR(__xludf.DUMMYFUNCTION("""COMPUTED_VALUE"""),15)</f>
        <v>15</v>
      </c>
      <c r="K52" s="172"/>
      <c r="L52" s="172"/>
      <c r="M52" s="172"/>
      <c r="N52" s="172"/>
      <c r="O52" s="172"/>
      <c r="P52" s="172"/>
      <c r="Q52" s="172"/>
      <c r="R52" s="172"/>
      <c r="S52" s="172"/>
      <c r="T52" s="172"/>
      <c r="U52" s="172"/>
      <c r="V52" s="172"/>
      <c r="W52" s="172"/>
      <c r="X52" s="172"/>
      <c r="Y52" s="172"/>
      <c r="Z52" s="172"/>
      <c r="AA52" s="172"/>
    </row>
    <row r="53" spans="1:27" ht="51">
      <c r="A53" s="170" t="str">
        <f t="shared" ca="1" si="0"/>
        <v>Software Architecture Patterns for Big Data</v>
      </c>
      <c r="B53" s="171" t="str">
        <f t="shared" ca="1" si="1"/>
        <v>CSCA 5018 - Software Architecture Patterns for Big Data</v>
      </c>
      <c r="C53" s="171" t="str">
        <f t="shared" ca="1" si="2"/>
        <v>More straightforward than the first course.  Most of the programming assignments are surprisingly simple.</v>
      </c>
      <c r="D53" s="172">
        <f t="shared" ca="1" si="3"/>
        <v>1</v>
      </c>
      <c r="E53" s="172">
        <v>23</v>
      </c>
      <c r="F53" s="172"/>
      <c r="G53" s="174" t="str">
        <f ca="1">IFERROR(__xludf.DUMMYFUNCTION("""COMPUTED_VALUE"""),"CSCA 5214 - Computing, Ethics, and Society Foundations")</f>
        <v>CSCA 5214 - Computing, Ethics, and Society Foundations</v>
      </c>
      <c r="H53" s="174" t="str">
        <f ca="1">IFERROR(__xludf.DUMMYFUNCTION("""COMPUTED_VALUE"""),"I liked this class a lot and the number of articles assigned was good.  I think the only thing lacking is a reinforcement on good writing.  I think as long as you talk about each topic, it is pretty easy to get 100%.  It would be nice to get more feedback"&amp;" on the writing assignments and have the grading be a bit more rigorous to incentivize reviewing and editing your own writing before submitting. ")</f>
        <v xml:space="preserve">I liked this class a lot and the number of articles assigned was good.  I think the only thing lacking is a reinforcement on good writing.  I think as long as you talk about each topic, it is pretty easy to get 100%.  It would be nice to get more feedback on the writing assignments and have the grading be a bit more rigorous to incentivize reviewing and editing your own writing before submitting. </v>
      </c>
      <c r="I53" s="172">
        <f ca="1">IFERROR(__xludf.DUMMYFUNCTION("""COMPUTED_VALUE"""),1)</f>
        <v>1</v>
      </c>
      <c r="J53" s="172">
        <f ca="1">IFERROR(__xludf.DUMMYFUNCTION("""COMPUTED_VALUE"""),15)</f>
        <v>15</v>
      </c>
      <c r="K53" s="172"/>
      <c r="L53" s="172"/>
      <c r="M53" s="172"/>
      <c r="N53" s="172"/>
      <c r="O53" s="172"/>
      <c r="P53" s="172"/>
      <c r="Q53" s="172"/>
      <c r="R53" s="172"/>
      <c r="S53" s="172"/>
      <c r="T53" s="172"/>
      <c r="U53" s="172"/>
      <c r="V53" s="172"/>
      <c r="W53" s="172"/>
      <c r="X53" s="172"/>
      <c r="Y53" s="172"/>
      <c r="Z53" s="172"/>
      <c r="AA53" s="172"/>
    </row>
    <row r="54" spans="1:27" ht="34">
      <c r="A54" s="170" t="str">
        <f t="shared" ca="1" si="0"/>
        <v>Dynamic Programming, Greedy Algorithms</v>
      </c>
      <c r="B54" s="171" t="str">
        <f t="shared" ca="1" si="1"/>
        <v>CSCA 5414 - Dynamic Programming, Greedy Algorithms</v>
      </c>
      <c r="C54" s="171" t="str">
        <f t="shared" ca="1" si="2"/>
        <v>The two DS&amp;A courses before this one aren't necessary but they are helpful for getting used to the thinking patterns for DS&amp;A.</v>
      </c>
      <c r="D54" s="172">
        <f t="shared" ca="1" si="3"/>
        <v>1</v>
      </c>
      <c r="E54" s="172">
        <v>3</v>
      </c>
      <c r="F54" s="172"/>
      <c r="G54" s="174" t="str">
        <f ca="1">IFERROR(__xludf.DUMMYFUNCTION("""COMPUTED_VALUE"""),"CSCA 5224 - Ethical Issues in AI and Professional Ethics")</f>
        <v>CSCA 5224 - Ethical Issues in AI and Professional Ethics</v>
      </c>
      <c r="H54" s="174" t="str">
        <f ca="1">IFERROR(__xludf.DUMMYFUNCTION("""COMPUTED_VALUE"""),"I recommend reading all articles enough to understand the general idea and enhance your perspective")</f>
        <v>I recommend reading all articles enough to understand the general idea and enhance your perspective</v>
      </c>
      <c r="I54" s="172">
        <f ca="1">IFERROR(__xludf.DUMMYFUNCTION("""COMPUTED_VALUE"""),1)</f>
        <v>1</v>
      </c>
      <c r="J54" s="172">
        <f ca="1">IFERROR(__xludf.DUMMYFUNCTION("""COMPUTED_VALUE"""),16)</f>
        <v>16</v>
      </c>
      <c r="K54" s="172"/>
      <c r="L54" s="172"/>
      <c r="M54" s="172"/>
      <c r="N54" s="172"/>
      <c r="O54" s="172"/>
      <c r="P54" s="172"/>
      <c r="Q54" s="172"/>
      <c r="R54" s="172"/>
      <c r="S54" s="172"/>
      <c r="T54" s="172"/>
      <c r="U54" s="172"/>
      <c r="V54" s="172"/>
      <c r="W54" s="172"/>
      <c r="X54" s="172"/>
      <c r="Y54" s="172"/>
      <c r="Z54" s="172"/>
      <c r="AA54" s="172"/>
    </row>
    <row r="55" spans="1:27" ht="34">
      <c r="A55" s="170" t="str">
        <f t="shared" ca="1" si="0"/>
        <v>Data Mining Methods</v>
      </c>
      <c r="B55" s="171" t="str">
        <f t="shared" ca="1" si="1"/>
        <v>CSCA 5512 - Data Mining Methods</v>
      </c>
      <c r="C55" s="171" t="str">
        <f t="shared" ca="1" si="2"/>
        <v xml:space="preserve">At times, the speed and pace of lectures felt like the instructor was giving us a fire hose to drink from.  The labs were mostly good, not too difficult or easy, and forced me to go back and make sure I fully understood the lectures for those techniques.  But overall, the lectures gave a light overview of many techniques without delving into details/examples enough to feel like I understood them.  A better understanding of math notation would have helped me too--the level of math, especially probability and statistics, was higher than in the first course.  </v>
      </c>
      <c r="D55" s="172">
        <f t="shared" ca="1" si="3"/>
        <v>1</v>
      </c>
      <c r="E55" s="172">
        <v>20</v>
      </c>
      <c r="F55" s="172"/>
      <c r="G55" s="174" t="str">
        <f ca="1">IFERROR(__xludf.DUMMYFUNCTION("""COMPUTED_VALUE"""),"CSCA 5224 - Ethical Issues in AI and Professional Ethics")</f>
        <v>CSCA 5224 - Ethical Issues in AI and Professional Ethics</v>
      </c>
      <c r="H55" s="174" t="str">
        <f ca="1">IFERROR(__xludf.DUMMYFUNCTION("""COMPUTED_VALUE"""),"I enjoyed this less than the first course.  Lots of focus on a narrow range of topics, and not nearly enough time spent on other things.")</f>
        <v>I enjoyed this less than the first course.  Lots of focus on a narrow range of topics, and not nearly enough time spent on other things.</v>
      </c>
      <c r="I55" s="172">
        <f ca="1">IFERROR(__xludf.DUMMYFUNCTION("""COMPUTED_VALUE"""),1)</f>
        <v>1</v>
      </c>
      <c r="J55" s="172">
        <f ca="1">IFERROR(__xludf.DUMMYFUNCTION("""COMPUTED_VALUE"""),16)</f>
        <v>16</v>
      </c>
      <c r="K55" s="172"/>
      <c r="L55" s="172"/>
      <c r="M55" s="172"/>
      <c r="N55" s="172"/>
      <c r="O55" s="172"/>
      <c r="P55" s="172"/>
      <c r="Q55" s="172"/>
      <c r="R55" s="172"/>
      <c r="S55" s="172"/>
      <c r="T55" s="172"/>
      <c r="U55" s="172"/>
      <c r="V55" s="172"/>
      <c r="W55" s="172"/>
      <c r="X55" s="172"/>
      <c r="Y55" s="172"/>
      <c r="Z55" s="172"/>
      <c r="AA55" s="172"/>
    </row>
    <row r="56" spans="1:27" ht="34">
      <c r="A56" s="170" t="str">
        <f t="shared" ca="1" si="0"/>
        <v>Fundamentals of Software Architecture for Big Data</v>
      </c>
      <c r="B56" s="171" t="str">
        <f t="shared" ca="1" si="1"/>
        <v>CSCA 5008 - Fundamentals of Software Architecture for Big Data</v>
      </c>
      <c r="C56" s="171" t="str">
        <f t="shared" ca="1" si="2"/>
        <v xml:space="preserve">(copied from the discord other content are actually not relevant)
@ak
I entered the course with only a basic understanding of Java and no experience with Kotlin. Despite not taking any extra courses in either language, I was able to complete the assignments successfully. This was largely because the assignments required only minor modifications to the provided code, focusing on aspects that are similar across most programming languages. Fortunately, the changes needed were of a nature that would look identical in many languages, making it easier to apply my existing knowledge. YMMV though.
If I remember correctly, there were some assignments in the specialization that were purely in Kotlin.
@blinK
To add to this, Java should be enough. All of the Kotlin was ‘voluntary’. I did a few projects in Java in kotlin just because I was interested in learning the language. But in terms of passing the class, Java is enough. Maybe just do a common syntax kotlin like 30-60 min video. The profs do have some videos demoing certain projects in kotlin. My guess is the assumption most people will be doing Java so that way they aren’t just handing the code out
@Todd D
It is way less intimidating than it sounds.  The first course feels like you are in over your head if you don't have a background in full stack development, but by the end they have walked you through everything and the requirements are minimal enough for each piece that it's easily doable.
On the Kotlin, there are aa handful of places where you have to edit kotlin code to make small changes.  But you don't really need to know much Kotlin to do it.
I got by with 0 Kotlin knowledge and about 15 minutes of looking at a Kotlin book for specific questions on format
(Question)
At first I thought this might be a good opportunity to learn kotlin. But on the other hand I don't want to fumble both learning kotlin and passing the class 😂
That's exactly where I came down.  Went into it wanting to learn Kotlin, came out feeling like I'd better focus on my strengths on the final project to get through it
</v>
      </c>
      <c r="D56" s="172">
        <f t="shared" ca="1" si="3"/>
        <v>1</v>
      </c>
      <c r="E56" s="172">
        <v>22</v>
      </c>
      <c r="F56" s="172"/>
      <c r="G56" s="174" t="str">
        <f ca="1">IFERROR(__xludf.DUMMYFUNCTION("""COMPUTED_VALUE"""),"CSCA 5502 - Data Mining Pipeline")</f>
        <v>CSCA 5502 - Data Mining Pipeline</v>
      </c>
      <c r="H56" s="174" t="str">
        <f ca="1">IFERROR(__xludf.DUMMYFUNCTION("""COMPUTED_VALUE"""),"Mostly conceptual class with some fun programming challenges for a little hands on.  Had a little trouble getting some of the programming assignments to pass, even when the problem was solved correctly.")</f>
        <v>Mostly conceptual class with some fun programming challenges for a little hands on.  Had a little trouble getting some of the programming assignments to pass, even when the problem was solved correctly.</v>
      </c>
      <c r="I56" s="172">
        <f ca="1">IFERROR(__xludf.DUMMYFUNCTION("""COMPUTED_VALUE"""),1)</f>
        <v>1</v>
      </c>
      <c r="J56" s="172">
        <f ca="1">IFERROR(__xludf.DUMMYFUNCTION("""COMPUTED_VALUE"""),19)</f>
        <v>19</v>
      </c>
      <c r="K56" s="172"/>
      <c r="L56" s="172"/>
      <c r="M56" s="172"/>
      <c r="N56" s="172"/>
      <c r="O56" s="172"/>
      <c r="P56" s="172"/>
      <c r="Q56" s="172"/>
      <c r="R56" s="172"/>
      <c r="S56" s="172"/>
      <c r="T56" s="172"/>
      <c r="U56" s="172"/>
      <c r="V56" s="172"/>
      <c r="W56" s="172"/>
      <c r="X56" s="172"/>
      <c r="Y56" s="172"/>
      <c r="Z56" s="172"/>
      <c r="AA56" s="172"/>
    </row>
    <row r="57" spans="1:27" ht="17">
      <c r="A57" s="170" t="str">
        <f t="shared" ca="1" si="0"/>
        <v>Applications of Software Architecture for Big Data</v>
      </c>
      <c r="B57" s="171" t="str">
        <f t="shared" ca="1" si="1"/>
        <v>CSCA 5028 - Applications of Software Architecture for Big Data</v>
      </c>
      <c r="C57" s="171" t="str">
        <f t="shared" ca="1" si="2"/>
        <v xml:space="preserve">ak
For the final project that culminates the specialization, you need to build a full application. You can choose any language of your choice for that one.
Todd
It is way less intimidating than it sounds.  The first course feels like you are in over your head if you don't have a background in full stack development, but by the end they have walked you through everything and the requirements are minimal enough for each piece that it's easily doable.
</v>
      </c>
      <c r="D57" s="172">
        <f t="shared" ca="1" si="3"/>
        <v>1</v>
      </c>
      <c r="E57" s="172">
        <v>24</v>
      </c>
      <c r="F57" s="172"/>
      <c r="G57" s="174" t="str">
        <f ca="1">IFERROR(__xludf.DUMMYFUNCTION("""COMPUTED_VALUE"""),"CSCA 5502 - Data Mining Pipeline")</f>
        <v>CSCA 5502 - Data Mining Pipeline</v>
      </c>
      <c r="H57" s="174" t="str">
        <f ca="1">IFERROR(__xludf.DUMMYFUNCTION("""COMPUTED_VALUE"""),"Make sure you are familiar with the proctor exam process. Otherwise, just relook at the slides and lectures prior to exams.")</f>
        <v>Make sure you are familiar with the proctor exam process. Otherwise, just relook at the slides and lectures prior to exams.</v>
      </c>
      <c r="I57" s="172">
        <f ca="1">IFERROR(__xludf.DUMMYFUNCTION("""COMPUTED_VALUE"""),1)</f>
        <v>1</v>
      </c>
      <c r="J57" s="172">
        <f ca="1">IFERROR(__xludf.DUMMYFUNCTION("""COMPUTED_VALUE"""),19)</f>
        <v>19</v>
      </c>
      <c r="K57" s="172"/>
      <c r="L57" s="172"/>
      <c r="M57" s="172"/>
      <c r="N57" s="172"/>
      <c r="O57" s="172"/>
      <c r="P57" s="172"/>
      <c r="Q57" s="172"/>
      <c r="R57" s="172"/>
      <c r="S57" s="172"/>
      <c r="T57" s="172"/>
      <c r="U57" s="172"/>
      <c r="V57" s="172"/>
      <c r="W57" s="172"/>
      <c r="X57" s="172"/>
      <c r="Y57" s="172"/>
      <c r="Z57" s="172"/>
      <c r="AA57" s="172"/>
    </row>
    <row r="58" spans="1:27" ht="85">
      <c r="A58" s="170" t="str">
        <f t="shared" ca="1" si="0"/>
        <v>Computing, Ethics, and Society Foundations</v>
      </c>
      <c r="B58" s="171" t="str">
        <f t="shared" ca="1" si="1"/>
        <v>CSCA 5214 - Computing, Ethics, and Society Foundations</v>
      </c>
      <c r="C58" s="171" t="str">
        <f t="shared" ca="1" si="2"/>
        <v>Prepare for a bunch of short essays and reading assignments. The content is broad and interesting. Pay lots of attention to week 1 ethical frameworks. Really understand them because almost all assignments require you to use them. As for reading materials, skim them to better manage your time! Also, some articles are pay-walled but you can get free New York Times and Wall Street Journal memberships as a CU Boulder (online) student so no need to pay!</v>
      </c>
      <c r="D58" s="172">
        <f t="shared" ca="1" si="3"/>
        <v>1</v>
      </c>
      <c r="E58" s="172">
        <v>15</v>
      </c>
      <c r="F58" s="172"/>
      <c r="G58" s="174" t="str">
        <f ca="1">IFERROR(__xludf.DUMMYFUNCTION("""COMPUTED_VALUE"""),"CSCA 5502 - Data Mining Pipeline")</f>
        <v>CSCA 5502 - Data Mining Pipeline</v>
      </c>
      <c r="H58" s="174" t="str">
        <f ca="1">IFERROR(__xludf.DUMMYFUNCTION("""COMPUTED_VALUE"""),"The course is very informative, especially if you have never seen a data pipeline before. The homeworks were very easy and I spent about 20 min on the final with about 20-30min on the ProctorU process. 
Where the meat in this course is just understanding"&amp;" the first three phases of the data pipeline. It’s more introductory while it seems the second class is where all the juice is.")</f>
        <v>The course is very informative, especially if you have never seen a data pipeline before. The homeworks were very easy and I spent about 20 min on the final with about 20-30min on the ProctorU process. 
Where the meat in this course is just understanding the first three phases of the data pipeline. It’s more introductory while it seems the second class is where all the juice is.</v>
      </c>
      <c r="I58" s="172">
        <f ca="1">IFERROR(__xludf.DUMMYFUNCTION("""COMPUTED_VALUE"""),1)</f>
        <v>1</v>
      </c>
      <c r="J58" s="172">
        <f ca="1">IFERROR(__xludf.DUMMYFUNCTION("""COMPUTED_VALUE"""),19)</f>
        <v>19</v>
      </c>
      <c r="K58" s="172"/>
      <c r="L58" s="172"/>
      <c r="M58" s="172"/>
      <c r="N58" s="172"/>
      <c r="O58" s="172"/>
      <c r="P58" s="172"/>
      <c r="Q58" s="172"/>
      <c r="R58" s="172"/>
      <c r="S58" s="172"/>
      <c r="T58" s="172"/>
      <c r="U58" s="172"/>
      <c r="V58" s="172"/>
      <c r="W58" s="172"/>
      <c r="X58" s="172"/>
      <c r="Y58" s="172"/>
      <c r="Z58" s="172"/>
      <c r="AA58" s="172"/>
    </row>
    <row r="59" spans="1:27" ht="34">
      <c r="A59" s="170" t="str">
        <f t="shared" ca="1" si="0"/>
        <v>Approximation Algorithms and Linear Programming</v>
      </c>
      <c r="B59" s="171" t="str">
        <f t="shared" ca="1" si="1"/>
        <v>CSCA 5424 - Approximation Algorithms and Linear Programming</v>
      </c>
      <c r="C59" s="171" t="str">
        <f t="shared" ca="1" si="2"/>
        <v>Unlike previous courses in the specialization (CSCA5414 etc) this course itself does not mandate CLRS reading.
Relevant Chapters would be (4th ed) C29 Linear Programming C35 Approximation Algorithms and to an extent (and not covered by previous courses) C24 Maximum flow (covers flow networks)</v>
      </c>
      <c r="D59" s="172">
        <f t="shared" ca="1" si="3"/>
        <v>1</v>
      </c>
      <c r="E59" s="172">
        <v>4</v>
      </c>
      <c r="F59" s="172"/>
      <c r="G59" s="174" t="str">
        <f ca="1">IFERROR(__xludf.DUMMYFUNCTION("""COMPUTED_VALUE"""),"CSCA 5502 - Data Mining Pipeline")</f>
        <v>CSCA 5502 - Data Mining Pipeline</v>
      </c>
      <c r="H59" s="174" t="str">
        <f ca="1">IFERROR(__xludf.DUMMYFUNCTION("""COMPUTED_VALUE"""),"No need for any background in this class. The content of the data pipeline is good and reflects what you'll see in the ""real world"". However, the assignments are too easy. I didn't think they challenged the ideas that were taught in the class.")</f>
        <v>No need for any background in this class. The content of the data pipeline is good and reflects what you'll see in the "real world". However, the assignments are too easy. I didn't think they challenged the ideas that were taught in the class.</v>
      </c>
      <c r="I59" s="172">
        <f ca="1">IFERROR(__xludf.DUMMYFUNCTION("""COMPUTED_VALUE"""),1)</f>
        <v>1</v>
      </c>
      <c r="J59" s="172">
        <f ca="1">IFERROR(__xludf.DUMMYFUNCTION("""COMPUTED_VALUE"""),19)</f>
        <v>19</v>
      </c>
      <c r="K59" s="172"/>
      <c r="L59" s="172"/>
      <c r="M59" s="172"/>
      <c r="N59" s="172"/>
      <c r="O59" s="172"/>
      <c r="P59" s="172"/>
      <c r="Q59" s="172"/>
      <c r="R59" s="172"/>
      <c r="S59" s="172"/>
      <c r="T59" s="172"/>
      <c r="U59" s="172"/>
      <c r="V59" s="172"/>
      <c r="W59" s="172"/>
      <c r="X59" s="172"/>
      <c r="Y59" s="172"/>
      <c r="Z59" s="172"/>
      <c r="AA59" s="172"/>
    </row>
    <row r="60" spans="1:27" ht="68">
      <c r="A60" s="170" t="str">
        <f t="shared" ca="1" si="0"/>
        <v>Approximation Algorithms and Linear Programming</v>
      </c>
      <c r="B60" s="171" t="str">
        <f t="shared" ca="1" si="1"/>
        <v>CSCA 5424 - Approximation Algorithms and Linear Programming</v>
      </c>
      <c r="C60" s="171" t="str">
        <f t="shared" ca="1" si="2"/>
        <v>Unlike previous courses in the specialization (CSCA5414 etc) this course itself does not mandate CLRS reading.
Relevant Chapters would be (4th ed) C29 Linear Programming C35 Approximation Algorithms and to an extent (and not covered by previous courses) C24 Maximum flow (covers flow networks)
Consensus opinion of student seems to be that CLRS reading is not necessary, but could be helpful for this course itself and for foundational learning in general.</v>
      </c>
      <c r="D60" s="172">
        <f t="shared" ca="1" si="3"/>
        <v>1</v>
      </c>
      <c r="E60" s="172">
        <v>4</v>
      </c>
      <c r="F60" s="172"/>
      <c r="G60" s="174" t="str">
        <f ca="1">IFERROR(__xludf.DUMMYFUNCTION("""COMPUTED_VALUE"""),"CSCA 5512 - Data Mining Methods")</f>
        <v>CSCA 5512 - Data Mining Methods</v>
      </c>
      <c r="H60" s="174" t="str">
        <f ca="1">IFERROR(__xludf.DUMMYFUNCTION("""COMPUTED_VALUE"""),"At times, the speed and pace of lectures felt like the instructor was giving us a fire hose to drink from.  The labs were mostly good, not too difficult or easy, and forced me to go back and make sure I fully understood the lectures for those techniques. "&amp;" But overall, the lectures gave a light overview of many techniques without delving into details/examples enough to feel like I understood them.  A better understanding of math notation would have helped me too--the level of math, especially probability a"&amp;"nd statistics, was higher than in the first course.  ")</f>
        <v xml:space="preserve">At times, the speed and pace of lectures felt like the instructor was giving us a fire hose to drink from.  The labs were mostly good, not too difficult or easy, and forced me to go back and make sure I fully understood the lectures for those techniques.  But overall, the lectures gave a light overview of many techniques without delving into details/examples enough to feel like I understood them.  A better understanding of math notation would have helped me too--the level of math, especially probability and statistics, was higher than in the first course.  </v>
      </c>
      <c r="I60" s="172">
        <f ca="1">IFERROR(__xludf.DUMMYFUNCTION("""COMPUTED_VALUE"""),1)</f>
        <v>1</v>
      </c>
      <c r="J60" s="172">
        <f ca="1">IFERROR(__xludf.DUMMYFUNCTION("""COMPUTED_VALUE"""),20)</f>
        <v>20</v>
      </c>
      <c r="K60" s="172"/>
      <c r="L60" s="172"/>
      <c r="M60" s="172"/>
      <c r="N60" s="172"/>
      <c r="O60" s="172"/>
      <c r="P60" s="172"/>
      <c r="Q60" s="172"/>
      <c r="R60" s="172"/>
      <c r="S60" s="172"/>
      <c r="T60" s="172"/>
      <c r="U60" s="172"/>
      <c r="V60" s="172"/>
      <c r="W60" s="172"/>
      <c r="X60" s="172"/>
      <c r="Y60" s="172"/>
      <c r="Z60" s="172"/>
      <c r="AA60" s="172"/>
    </row>
    <row r="61" spans="1:27" ht="34">
      <c r="A61" s="170" t="str">
        <f t="shared" ca="1" si="0"/>
        <v>Dynamic Programming, Greedy Algorithms</v>
      </c>
      <c r="B61" s="171" t="str">
        <f t="shared" ca="1" si="1"/>
        <v>CSCA 5414 - Dynamic Programming, Greedy Algorithms</v>
      </c>
      <c r="C61" s="171">
        <f t="shared" ca="1" si="2"/>
        <v>0</v>
      </c>
      <c r="D61" s="172">
        <f t="shared" ca="1" si="3"/>
        <v>1</v>
      </c>
      <c r="E61" s="172">
        <v>3</v>
      </c>
      <c r="F61" s="172"/>
      <c r="G61" s="174" t="str">
        <f ca="1">IFERROR(__xludf.DUMMYFUNCTION("""COMPUTED_VALUE"""),"CSCA 5512 - Data Mining Methods")</f>
        <v>CSCA 5512 - Data Mining Methods</v>
      </c>
      <c r="H61" s="174" t="str">
        <f ca="1">IFERROR(__xludf.DUMMYFUNCTION("""COMPUTED_VALUE"""),"Make sure you are familiar with the proctor exam process. Otherwise, just relook at the slides and lectures prior to exams. This is slightly harder than the 1st course but just be familiar with how each method works and know when to choose them.")</f>
        <v>Make sure you are familiar with the proctor exam process. Otherwise, just relook at the slides and lectures prior to exams. This is slightly harder than the 1st course but just be familiar with how each method works and know when to choose them.</v>
      </c>
      <c r="I61" s="172">
        <f ca="1">IFERROR(__xludf.DUMMYFUNCTION("""COMPUTED_VALUE"""),1)</f>
        <v>1</v>
      </c>
      <c r="J61" s="172">
        <f ca="1">IFERROR(__xludf.DUMMYFUNCTION("""COMPUTED_VALUE"""),20)</f>
        <v>20</v>
      </c>
      <c r="K61" s="172"/>
      <c r="L61" s="172"/>
      <c r="M61" s="172"/>
      <c r="N61" s="172"/>
      <c r="O61" s="172"/>
      <c r="P61" s="172"/>
      <c r="Q61" s="172"/>
      <c r="R61" s="172"/>
      <c r="S61" s="172"/>
      <c r="T61" s="172"/>
      <c r="U61" s="172"/>
      <c r="V61" s="172"/>
      <c r="W61" s="172"/>
      <c r="X61" s="172"/>
      <c r="Y61" s="172"/>
      <c r="Z61" s="172"/>
      <c r="AA61" s="172"/>
    </row>
    <row r="62" spans="1:27" ht="34">
      <c r="A62" s="170" t="str">
        <f t="shared" ca="1" si="0"/>
        <v>Fundamentals of Software Architecture for Big Data</v>
      </c>
      <c r="B62" s="171" t="str">
        <f t="shared" ca="1" si="1"/>
        <v>CSCA 5008 - Fundamentals of Software Architecture for Big Data</v>
      </c>
      <c r="C62" s="171">
        <f t="shared" ca="1" si="2"/>
        <v>0</v>
      </c>
      <c r="D62" s="172">
        <f t="shared" ca="1" si="3"/>
        <v>1</v>
      </c>
      <c r="E62" s="172">
        <v>22</v>
      </c>
      <c r="F62" s="172"/>
      <c r="G62" s="174" t="str">
        <f ca="1">IFERROR(__xludf.DUMMYFUNCTION("""COMPUTED_VALUE"""),"CSCA 5512 - Data Mining Methods")</f>
        <v>CSCA 5512 - Data Mining Methods</v>
      </c>
      <c r="H62" s="174" t="str">
        <f ca="1">IFERROR(__xludf.DUMMYFUNCTION("""COMPUTED_VALUE"""),"This course was a big improvement over the previous course. The assignments were much better than the previous course; however, they still could have been more challenging and more broad to the material that was taught in the class.")</f>
        <v>This course was a big improvement over the previous course. The assignments were much better than the previous course; however, they still could have been more challenging and more broad to the material that was taught in the class.</v>
      </c>
      <c r="I62" s="172">
        <f ca="1">IFERROR(__xludf.DUMMYFUNCTION("""COMPUTED_VALUE"""),1)</f>
        <v>1</v>
      </c>
      <c r="J62" s="172">
        <f ca="1">IFERROR(__xludf.DUMMYFUNCTION("""COMPUTED_VALUE"""),20)</f>
        <v>20</v>
      </c>
      <c r="K62" s="172"/>
      <c r="L62" s="172"/>
      <c r="M62" s="172"/>
      <c r="N62" s="172"/>
      <c r="O62" s="172"/>
      <c r="P62" s="172"/>
      <c r="Q62" s="172"/>
      <c r="R62" s="172"/>
      <c r="S62" s="172"/>
      <c r="T62" s="172"/>
      <c r="U62" s="172"/>
      <c r="V62" s="172"/>
      <c r="W62" s="172"/>
      <c r="X62" s="172"/>
      <c r="Y62" s="172"/>
      <c r="Z62" s="172"/>
      <c r="AA62" s="172"/>
    </row>
    <row r="63" spans="1:27" ht="17">
      <c r="A63" s="170" t="str">
        <f t="shared" ca="1" si="0"/>
        <v>Software Architecture Patterns for Big Data</v>
      </c>
      <c r="B63" s="171" t="str">
        <f t="shared" ca="1" si="1"/>
        <v>CSCA 5018 - Software Architecture Patterns for Big Data</v>
      </c>
      <c r="C63" s="171">
        <f t="shared" ca="1" si="2"/>
        <v>0</v>
      </c>
      <c r="D63" s="172">
        <f t="shared" ca="1" si="3"/>
        <v>1</v>
      </c>
      <c r="E63" s="172">
        <v>23</v>
      </c>
      <c r="F63" s="172"/>
      <c r="G63" s="174" t="str">
        <f ca="1">IFERROR(__xludf.DUMMYFUNCTION("""COMPUTED_VALUE"""),"CSCA 5522 - Data Mining Project")</f>
        <v>CSCA 5522 - Data Mining Project</v>
      </c>
      <c r="H63" s="174" t="str">
        <f ca="1">IFERROR(__xludf.DUMMYFUNCTION("""COMPUTED_VALUE"""),"taking more time then expected, really minimal instruction on project/assignments")</f>
        <v>taking more time then expected, really minimal instruction on project/assignments</v>
      </c>
      <c r="I63" s="172">
        <f ca="1">IFERROR(__xludf.DUMMYFUNCTION("""COMPUTED_VALUE"""),1)</f>
        <v>1</v>
      </c>
      <c r="J63" s="172">
        <f ca="1">IFERROR(__xludf.DUMMYFUNCTION("""COMPUTED_VALUE"""),21)</f>
        <v>21</v>
      </c>
      <c r="K63" s="172"/>
      <c r="L63" s="172"/>
      <c r="M63" s="172"/>
      <c r="N63" s="172"/>
      <c r="O63" s="172"/>
      <c r="P63" s="172"/>
      <c r="Q63" s="172"/>
      <c r="R63" s="172"/>
      <c r="S63" s="172"/>
      <c r="T63" s="172"/>
      <c r="U63" s="172"/>
      <c r="V63" s="172"/>
      <c r="W63" s="172"/>
      <c r="X63" s="172"/>
      <c r="Y63" s="172"/>
      <c r="Z63" s="172"/>
      <c r="AA63" s="172"/>
    </row>
    <row r="64" spans="1:27" ht="34">
      <c r="A64" s="170" t="str">
        <f t="shared" ca="1" si="0"/>
        <v>Applications of Software Architecture for Big Data</v>
      </c>
      <c r="B64" s="171" t="str">
        <f t="shared" ca="1" si="1"/>
        <v>CSCA 5028 - Applications of Software Architecture for Big Data</v>
      </c>
      <c r="C64" s="171">
        <f t="shared" ca="1" si="2"/>
        <v>0</v>
      </c>
      <c r="D64" s="172">
        <f t="shared" ca="1" si="3"/>
        <v>1</v>
      </c>
      <c r="E64" s="172">
        <v>24</v>
      </c>
      <c r="F64" s="172"/>
      <c r="G64" s="174" t="str">
        <f ca="1">IFERROR(__xludf.DUMMYFUNCTION("""COMPUTED_VALUE"""),"CSCA 5522 - Data Mining Project")</f>
        <v>CSCA 5522 - Data Mining Project</v>
      </c>
      <c r="H64" s="174" t="str">
        <f ca="1">IFERROR(__xludf.DUMMYFUNCTION("""COMPUTED_VALUE"""),"Come in with a good understanding of what you want to work on, similar to software architecture finals. Also, be familiar with ACM written paper format as you will be using that for the report.")</f>
        <v>Come in with a good understanding of what you want to work on, similar to software architecture finals. Also, be familiar with ACM written paper format as you will be using that for the report.</v>
      </c>
      <c r="I64" s="172">
        <f ca="1">IFERROR(__xludf.DUMMYFUNCTION("""COMPUTED_VALUE"""),1)</f>
        <v>1</v>
      </c>
      <c r="J64" s="172">
        <f ca="1">IFERROR(__xludf.DUMMYFUNCTION("""COMPUTED_VALUE"""),21)</f>
        <v>21</v>
      </c>
      <c r="K64" s="172"/>
      <c r="L64" s="172"/>
      <c r="M64" s="172"/>
      <c r="N64" s="172"/>
      <c r="O64" s="172"/>
      <c r="P64" s="172"/>
      <c r="Q64" s="172"/>
      <c r="R64" s="172"/>
      <c r="S64" s="172"/>
      <c r="T64" s="172"/>
      <c r="U64" s="172"/>
      <c r="V64" s="172"/>
      <c r="W64" s="172"/>
      <c r="X64" s="172"/>
      <c r="Y64" s="172"/>
      <c r="Z64" s="172"/>
      <c r="AA64" s="172"/>
    </row>
    <row r="65" spans="1:27" ht="51">
      <c r="A65" s="170" t="str">
        <f t="shared" ca="1" si="0"/>
        <v>Fundamentals of Software Architecture for Big Data</v>
      </c>
      <c r="B65" s="171" t="str">
        <f t="shared" ca="1" si="1"/>
        <v>CSCA 5008 - Fundamentals of Software Architecture for Big Data</v>
      </c>
      <c r="C65" s="171">
        <f t="shared" ca="1" si="2"/>
        <v>0</v>
      </c>
      <c r="D65" s="172">
        <f t="shared" ca="1" si="3"/>
        <v>1</v>
      </c>
      <c r="E65" s="172">
        <v>22</v>
      </c>
      <c r="F65" s="172"/>
      <c r="G65" s="174" t="str">
        <f ca="1">IFERROR(__xludf.DUMMYFUNCTION("""COMPUTED_VALUE"""),"CSCA 5008 - Fundamentals of Software Architecture for Big Data")</f>
        <v>CSCA 5008 - Fundamentals of Software Architecture for Big Data</v>
      </c>
      <c r="H65" s="174" t="str">
        <f ca="1">IFERROR(__xludf.DUMMYFUNCTION("""COMPUTED_VALUE"""),"I found the assignments difficult to understand.  In some cases, the tests could pass without actually doing what the software was intended to do.  TA advice on how to grade this contradicted the grading rubric.  I don't know if the vagueness and lack of "&amp;"documentation on programming assignments was intended to weed out students who aren't prepared for this level of material, or if it was just poor instruction, but I found the course to be frustrating.")</f>
        <v>I found the assignments difficult to understand.  In some cases, the tests could pass without actually doing what the software was intended to do.  TA advice on how to grade this contradicted the grading rubric.  I don't know if the vagueness and lack of documentation on programming assignments was intended to weed out students who aren't prepared for this level of material, or if it was just poor instruction, but I found the course to be frustrating.</v>
      </c>
      <c r="I65" s="172">
        <f ca="1">IFERROR(__xludf.DUMMYFUNCTION("""COMPUTED_VALUE"""),1)</f>
        <v>1</v>
      </c>
      <c r="J65" s="172">
        <f ca="1">IFERROR(__xludf.DUMMYFUNCTION("""COMPUTED_VALUE"""),22)</f>
        <v>22</v>
      </c>
      <c r="K65" s="172"/>
      <c r="L65" s="172"/>
      <c r="M65" s="172"/>
      <c r="N65" s="172"/>
      <c r="O65" s="172"/>
      <c r="P65" s="172"/>
      <c r="Q65" s="172"/>
      <c r="R65" s="172"/>
      <c r="S65" s="172"/>
      <c r="T65" s="172"/>
      <c r="U65" s="172"/>
      <c r="V65" s="172"/>
      <c r="W65" s="172"/>
      <c r="X65" s="172"/>
      <c r="Y65" s="172"/>
      <c r="Z65" s="172"/>
      <c r="AA65" s="172"/>
    </row>
    <row r="66" spans="1:27" ht="34">
      <c r="A66" s="170" t="str">
        <f t="shared" ca="1" si="0"/>
        <v>Fundamentals of Software Architecture for Big Data</v>
      </c>
      <c r="B66" s="171" t="str">
        <f t="shared" ca="1" si="1"/>
        <v>CSCA 5008 - Fundamentals of Software Architecture for Big Data</v>
      </c>
      <c r="C66" s="171" t="str">
        <f t="shared" ca="1" si="2"/>
        <v xml:space="preserve">greenmachine52 
I've been working as a dev for 8 years now and i just fail to make sense with this course?
It just seems like a bunch of random stuff put together with semi-random assignments with no consideration about windows users? 
recommends
Microservices.io by Chris Richardson </v>
      </c>
      <c r="D66" s="172">
        <f t="shared" ca="1" si="3"/>
        <v>1</v>
      </c>
      <c r="E66" s="172">
        <v>22</v>
      </c>
      <c r="F66" s="172"/>
      <c r="G66" s="174" t="str">
        <f ca="1">IFERROR(__xludf.DUMMYFUNCTION("""COMPUTED_VALUE"""),"CSCA 5008 - Fundamentals of Software Architecture for Big Data")</f>
        <v>CSCA 5008 - Fundamentals of Software Architecture for Big Data</v>
      </c>
      <c r="H66" s="174" t="str">
        <f ca="1">IFERROR(__xludf.DUMMYFUNCTION("""COMPUTED_VALUE"""),"The book Understanding Distributed Systems by Roberto Vitillo is incredibly useful for this entire specialisation")</f>
        <v>The book Understanding Distributed Systems by Roberto Vitillo is incredibly useful for this entire specialisation</v>
      </c>
      <c r="I66" s="172">
        <f ca="1">IFERROR(__xludf.DUMMYFUNCTION("""COMPUTED_VALUE"""),1)</f>
        <v>1</v>
      </c>
      <c r="J66" s="172">
        <f ca="1">IFERROR(__xludf.DUMMYFUNCTION("""COMPUTED_VALUE"""),22)</f>
        <v>22</v>
      </c>
      <c r="K66" s="172"/>
      <c r="L66" s="172"/>
      <c r="M66" s="172"/>
      <c r="N66" s="172"/>
      <c r="O66" s="172"/>
      <c r="P66" s="172"/>
      <c r="Q66" s="172"/>
      <c r="R66" s="172"/>
      <c r="S66" s="172"/>
      <c r="T66" s="172"/>
      <c r="U66" s="172"/>
      <c r="V66" s="172"/>
      <c r="W66" s="172"/>
      <c r="X66" s="172"/>
      <c r="Y66" s="172"/>
      <c r="Z66" s="172"/>
      <c r="AA66" s="172"/>
    </row>
    <row r="67" spans="1:27" ht="51">
      <c r="A67" s="170" t="str">
        <f t="shared" ca="1" si="0"/>
        <v>Applications of Software Architecture for Big Data</v>
      </c>
      <c r="B67" s="171" t="str">
        <f t="shared" ca="1" si="1"/>
        <v>CSCA 5028 - Applications of Software Architecture for Big Data</v>
      </c>
      <c r="C67" s="171" t="str">
        <f t="shared" ca="1" si="2"/>
        <v>The project is what you make it.  You can do the bare bones minimum to get an A fairly quickly, or build something cool.</v>
      </c>
      <c r="D67" s="172">
        <f t="shared" ca="1" si="3"/>
        <v>1</v>
      </c>
      <c r="E67" s="172">
        <v>24</v>
      </c>
      <c r="F67" s="172"/>
      <c r="G67" s="174" t="str">
        <f ca="1">IFERROR(__xludf.DUMMYFUNCTION("""COMPUTED_VALUE"""),"CSCA 5008 - Fundamentals of Software Architecture for Big Data")</f>
        <v>CSCA 5008 - Fundamentals of Software Architecture for Big Data</v>
      </c>
      <c r="H67" s="174" t="str">
        <f ca="1">IFERROR(__xludf.DUMMYFUNCTION("""COMPUTED_VALUE"""),"The video lectures are almost confusingly unrelated to the weekly assignments, causing me to think that I somehow got mixed up.  The video lectures are often extremely high level while the programming assignments then ask you to do something very specific"&amp;" that requires additional knowledge not presented in the course, so be prepared to do significant external research to supplement this course.  ")</f>
        <v xml:space="preserve">The video lectures are almost confusingly unrelated to the weekly assignments, causing me to think that I somehow got mixed up.  The video lectures are often extremely high level while the programming assignments then ask you to do something very specific that requires additional knowledge not presented in the course, so be prepared to do significant external research to supplement this course.  </v>
      </c>
      <c r="I67" s="172">
        <f ca="1">IFERROR(__xludf.DUMMYFUNCTION("""COMPUTED_VALUE"""),1)</f>
        <v>1</v>
      </c>
      <c r="J67" s="172">
        <f ca="1">IFERROR(__xludf.DUMMYFUNCTION("""COMPUTED_VALUE"""),22)</f>
        <v>22</v>
      </c>
      <c r="K67" s="172"/>
      <c r="L67" s="172"/>
      <c r="M67" s="172"/>
      <c r="N67" s="172"/>
      <c r="O67" s="172"/>
      <c r="P67" s="172"/>
      <c r="Q67" s="172"/>
      <c r="R67" s="172"/>
      <c r="S67" s="172"/>
      <c r="T67" s="172"/>
      <c r="U67" s="172"/>
      <c r="V67" s="172"/>
      <c r="W67" s="172"/>
      <c r="X67" s="172"/>
      <c r="Y67" s="172"/>
      <c r="Z67" s="172"/>
      <c r="AA67" s="172"/>
    </row>
    <row r="68" spans="1:27" ht="51">
      <c r="A68" s="170" t="str">
        <f t="shared" ca="1" si="0"/>
        <v>Fundamentals of Software Architecture for Big Data</v>
      </c>
      <c r="B68" s="171" t="str">
        <f t="shared" ca="1" si="1"/>
        <v>CSCA 5008 - Fundamentals of Software Architecture for Big Data</v>
      </c>
      <c r="C68" s="171" t="str">
        <f t="shared" ca="1" si="2"/>
        <v>Some experience with Java and Kotlin would be helpful. Additionally, understanding how to navigate monorepos. One of the biggest challenges was getting your environment setup for development with Java if you don't already have one.</v>
      </c>
      <c r="D68" s="172">
        <f t="shared" ca="1" si="3"/>
        <v>1</v>
      </c>
      <c r="E68" s="172">
        <v>22</v>
      </c>
      <c r="F68" s="172"/>
      <c r="G68" s="174" t="str">
        <f ca="1">IFERROR(__xludf.DUMMYFUNCTION("""COMPUTED_VALUE"""),"CSCA 5008 - Fundamentals of Software Architecture for Big Data")</f>
        <v>CSCA 5008 - Fundamentals of Software Architecture for Big Data</v>
      </c>
      <c r="H68" s="174" t="str">
        <f ca="1">IFERROR(__xludf.DUMMYFUNCTION("""COMPUTED_VALUE"""),"You should have a general understanding of back-end dev and OOP using Java. Knowing basic Kotlin will help. Assignments vary in difficulty and you usually end up trying different things until you find a correct solution. You might need to Google some topi"&amp;"cs as well. I recommend starting this as a non-credit and brushing up on your general programming skills if it’s too much.")</f>
        <v>You should have a general understanding of back-end dev and OOP using Java. Knowing basic Kotlin will help. Assignments vary in difficulty and you usually end up trying different things until you find a correct solution. You might need to Google some topics as well. I recommend starting this as a non-credit and brushing up on your general programming skills if it’s too much.</v>
      </c>
      <c r="I68" s="172">
        <f ca="1">IFERROR(__xludf.DUMMYFUNCTION("""COMPUTED_VALUE"""),1)</f>
        <v>1</v>
      </c>
      <c r="J68" s="172">
        <f ca="1">IFERROR(__xludf.DUMMYFUNCTION("""COMPUTED_VALUE"""),22)</f>
        <v>22</v>
      </c>
      <c r="K68" s="172"/>
      <c r="L68" s="172"/>
      <c r="M68" s="172"/>
      <c r="N68" s="172"/>
      <c r="O68" s="172"/>
      <c r="P68" s="172"/>
      <c r="Q68" s="172"/>
      <c r="R68" s="172"/>
      <c r="S68" s="172"/>
      <c r="T68" s="172"/>
      <c r="U68" s="172"/>
      <c r="V68" s="172"/>
      <c r="W68" s="172"/>
      <c r="X68" s="172"/>
      <c r="Y68" s="172"/>
      <c r="Z68" s="172"/>
      <c r="AA68" s="172"/>
    </row>
    <row r="69" spans="1:27" ht="34">
      <c r="A69" s="170" t="str">
        <f t="shared" ca="1" si="0"/>
        <v>Software Architecture Patterns for Big Data</v>
      </c>
      <c r="B69" s="171" t="str">
        <f t="shared" ca="1" si="1"/>
        <v>CSCA 5018 - Software Architecture Patterns for Big Data</v>
      </c>
      <c r="C69" s="171" t="str">
        <f t="shared" ca="1" si="2"/>
        <v>If you took the first course, this should be more straight forward and easier.</v>
      </c>
      <c r="D69" s="172">
        <f t="shared" ca="1" si="3"/>
        <v>1</v>
      </c>
      <c r="E69" s="172">
        <v>23</v>
      </c>
      <c r="F69" s="172"/>
      <c r="G69" s="174" t="str">
        <f ca="1">IFERROR(__xludf.DUMMYFUNCTION("""COMPUTED_VALUE"""),"CSCA 5008 - Fundamentals of Software Architecture for Big Data")</f>
        <v>CSCA 5008 - Fundamentals of Software Architecture for Big Data</v>
      </c>
      <c r="H69" s="174" t="str">
        <f ca="1">IFERROR(__xludf.DUMMYFUNCTION("""COMPUTED_VALUE"""),"It would be helpful to have some knowledge of backend programming and kotlin.")</f>
        <v>It would be helpful to have some knowledge of backend programming and kotlin.</v>
      </c>
      <c r="I69" s="172">
        <f ca="1">IFERROR(__xludf.DUMMYFUNCTION("""COMPUTED_VALUE"""),1)</f>
        <v>1</v>
      </c>
      <c r="J69" s="172">
        <f ca="1">IFERROR(__xludf.DUMMYFUNCTION("""COMPUTED_VALUE"""),22)</f>
        <v>22</v>
      </c>
      <c r="K69" s="172"/>
      <c r="L69" s="172"/>
      <c r="M69" s="172"/>
      <c r="N69" s="172"/>
      <c r="O69" s="172"/>
      <c r="P69" s="172"/>
      <c r="Q69" s="172"/>
      <c r="R69" s="172"/>
      <c r="S69" s="172"/>
      <c r="T69" s="172"/>
      <c r="U69" s="172"/>
      <c r="V69" s="172"/>
      <c r="W69" s="172"/>
      <c r="X69" s="172"/>
      <c r="Y69" s="172"/>
      <c r="Z69" s="172"/>
      <c r="AA69" s="172"/>
    </row>
    <row r="70" spans="1:27" ht="34">
      <c r="A70" s="170" t="str">
        <f t="shared" ca="1" si="0"/>
        <v>Applications of Software Architecture for Big Data</v>
      </c>
      <c r="B70" s="171" t="str">
        <f t="shared" ca="1" si="1"/>
        <v>CSCA 5028 - Applications of Software Architecture for Big Data</v>
      </c>
      <c r="C70" s="171" t="str">
        <f t="shared" ca="1" si="2"/>
        <v>Of the SWA pathway, this course is where all the work happens. You build a full-stack web application while having to include learnings from the previous 2 courses. There is a large rubric that outlines the requirements for the final project. If you want to get the "A" on this project, that means it includes everything a "production level" application would require.</v>
      </c>
      <c r="D70" s="172">
        <f t="shared" ca="1" si="3"/>
        <v>1</v>
      </c>
      <c r="E70" s="172">
        <v>24</v>
      </c>
      <c r="F70" s="172"/>
      <c r="G70" s="174" t="str">
        <f ca="1">IFERROR(__xludf.DUMMYFUNCTION("""COMPUTED_VALUE"""),"CSCA 5008 - Fundamentals of Software Architecture for Big Data")</f>
        <v>CSCA 5008 - Fundamentals of Software Architecture for Big Data</v>
      </c>
      <c r="H70" s="174" t="str">
        <f ca="1">IFERROR(__xludf.DUMMYFUNCTION("""COMPUTED_VALUE"""),"1. CS undergrad is crucial")</f>
        <v>1. CS undergrad is crucial</v>
      </c>
      <c r="I70" s="172">
        <f ca="1">IFERROR(__xludf.DUMMYFUNCTION("""COMPUTED_VALUE"""),1)</f>
        <v>1</v>
      </c>
      <c r="J70" s="172">
        <f ca="1">IFERROR(__xludf.DUMMYFUNCTION("""COMPUTED_VALUE"""),22)</f>
        <v>22</v>
      </c>
      <c r="K70" s="172"/>
      <c r="L70" s="172"/>
      <c r="M70" s="172"/>
      <c r="N70" s="172"/>
      <c r="O70" s="172"/>
      <c r="P70" s="172"/>
      <c r="Q70" s="172"/>
      <c r="R70" s="172"/>
      <c r="S70" s="172"/>
      <c r="T70" s="172"/>
      <c r="U70" s="172"/>
      <c r="V70" s="172"/>
      <c r="W70" s="172"/>
      <c r="X70" s="172"/>
      <c r="Y70" s="172"/>
      <c r="Z70" s="172"/>
      <c r="AA70" s="172"/>
    </row>
    <row r="71" spans="1:27" ht="409.6">
      <c r="A71" s="170" t="str">
        <f t="shared" ca="1" si="0"/>
        <v>Fundamentals of Software Architecture for Big Data</v>
      </c>
      <c r="B71" s="171" t="str">
        <f t="shared" ca="1" si="1"/>
        <v>CSCA 5008 - Fundamentals of Software Architecture for Big Data</v>
      </c>
      <c r="C71" s="171">
        <f t="shared" ca="1" si="2"/>
        <v>0</v>
      </c>
      <c r="D71" s="172">
        <f t="shared" ca="1" si="3"/>
        <v>1</v>
      </c>
      <c r="E71" s="172">
        <v>22</v>
      </c>
      <c r="F71" s="172"/>
      <c r="G71" s="174" t="str">
        <f ca="1">IFERROR(__xludf.DUMMYFUNCTION("""COMPUTED_VALUE"""),"CSCA 5008 - Fundamentals of Software Architecture for Big Data")</f>
        <v>CSCA 5008 - Fundamentals of Software Architecture for Big Data</v>
      </c>
      <c r="H71" s="174" t="str">
        <f ca="1">IFERROR(__xludf.DUMMYFUNCTION("""COMPUTED_VALUE"""),"(copied from the discord other content are actually not relevant)
@ak
I entered the course with only a basic understanding of Java and no experience with Kotlin. Despite not taking any extra courses in either language, I was able to complete the assignme"&amp;"nts successfully. This was largely because the assignments required only minor modifications to the provided code, focusing on aspects that are similar across most programming languages. Fortunately, the changes needed were of a nature that would look ide"&amp;"ntical in many languages, making it easier to apply my existing knowledge. YMMV though.
If I remember correctly, there were some assignments in the specialization that were purely in Kotlin.
@blinK
To add to this, Java should be enough. All of the Kotli"&amp;"n was ‘voluntary’. I did a few projects in Java in kotlin just because I was interested in learning the language. But in terms of passing the class, Java is enough. Maybe just do a common syntax kotlin like 30-60 min video. The profs do have some videos d"&amp;"emoing certain projects in kotlin. My guess is the assumption most people will be doing Java so that way they aren’t just handing the code out
@Todd D
It is way less intimidating than it sounds.  The first course feels like you are in over your head if y"&amp;"ou don't have a background in full stack development, but by the end they have walked you through everything and the requirements are minimal enough for each piece that it's easily doable.
On the Kotlin, there are aa handful of places where you have to e"&amp;"dit kotlin code to make small changes.  But you don't really need to know much Kotlin to do it.
I got by with 0 Kotlin knowledge and about 15 minutes of looking at a Kotlin book for specific questions on format
(Question)
At first I thought this might be "&amp;"a good opportunity to learn kotlin. But on the other hand I don't want to fumble both learning kotlin and passing the class 😂
That's exactly where I came down.  Went into it wanting to learn Kotlin, came out feeling like I'd better focus on my strengths"&amp;" on the final project to get through it
")</f>
        <v xml:space="preserve">(copied from the discord other content are actually not relevant)
@ak
I entered the course with only a basic understanding of Java and no experience with Kotlin. Despite not taking any extra courses in either language, I was able to complete the assignments successfully. This was largely because the assignments required only minor modifications to the provided code, focusing on aspects that are similar across most programming languages. Fortunately, the changes needed were of a nature that would look identical in many languages, making it easier to apply my existing knowledge. YMMV though.
If I remember correctly, there were some assignments in the specialization that were purely in Kotlin.
@blinK
To add to this, Java should be enough. All of the Kotlin was ‘voluntary’. I did a few projects in Java in kotlin just because I was interested in learning the language. But in terms of passing the class, Java is enough. Maybe just do a common syntax kotlin like 30-60 min video. The profs do have some videos demoing certain projects in kotlin. My guess is the assumption most people will be doing Java so that way they aren’t just handing the code out
@Todd D
It is way less intimidating than it sounds.  The first course feels like you are in over your head if you don't have a background in full stack development, but by the end they have walked you through everything and the requirements are minimal enough for each piece that it's easily doable.
On the Kotlin, there are aa handful of places where you have to edit kotlin code to make small changes.  But you don't really need to know much Kotlin to do it.
I got by with 0 Kotlin knowledge and about 15 minutes of looking at a Kotlin book for specific questions on format
(Question)
At first I thought this might be a good opportunity to learn kotlin. But on the other hand I don't want to fumble both learning kotlin and passing the class 😂
That's exactly where I came down.  Went into it wanting to learn Kotlin, came out feeling like I'd better focus on my strengths on the final project to get through it
</v>
      </c>
      <c r="I71" s="172">
        <f ca="1">IFERROR(__xludf.DUMMYFUNCTION("""COMPUTED_VALUE"""),1)</f>
        <v>1</v>
      </c>
      <c r="J71" s="172">
        <f ca="1">IFERROR(__xludf.DUMMYFUNCTION("""COMPUTED_VALUE"""),22)</f>
        <v>22</v>
      </c>
      <c r="K71" s="172"/>
      <c r="L71" s="172"/>
      <c r="M71" s="172"/>
      <c r="N71" s="172"/>
      <c r="O71" s="172"/>
      <c r="P71" s="172"/>
      <c r="Q71" s="172"/>
      <c r="R71" s="172"/>
      <c r="S71" s="172"/>
      <c r="T71" s="172"/>
      <c r="U71" s="172"/>
      <c r="V71" s="172"/>
      <c r="W71" s="172"/>
      <c r="X71" s="172"/>
      <c r="Y71" s="172"/>
      <c r="Z71" s="172"/>
      <c r="AA71" s="172"/>
    </row>
    <row r="72" spans="1:27" ht="102">
      <c r="A72" s="170" t="str">
        <f t="shared" ca="1" si="0"/>
        <v>Software Architecture Patterns for Big Data</v>
      </c>
      <c r="B72" s="171" t="str">
        <f t="shared" ca="1" si="1"/>
        <v>CSCA 5018 - Software Architecture Patterns for Big Data</v>
      </c>
      <c r="C72" s="171">
        <f t="shared" ca="1" si="2"/>
        <v>0</v>
      </c>
      <c r="D72" s="172">
        <f t="shared" ca="1" si="3"/>
        <v>1</v>
      </c>
      <c r="E72" s="172">
        <v>23</v>
      </c>
      <c r="F72" s="172"/>
      <c r="G72" s="174" t="str">
        <f ca="1">IFERROR(__xludf.DUMMYFUNCTION("""COMPUTED_VALUE"""),"CSCA 5008 - Fundamentals of Software Architecture for Big Data")</f>
        <v>CSCA 5008 - Fundamentals of Software Architecture for Big Data</v>
      </c>
      <c r="H72" s="174" t="str">
        <f ca="1">IFERROR(__xludf.DUMMYFUNCTION("""COMPUTED_VALUE"""),"greenmachine52 
I've been working as a dev for 8 years now and i just fail to make sense with this course?
It just seems like a bunch of random stuff put together with semi-random assignments with no consideration about windows users? 
recommends
Microse"&amp;"rvices.io by Chris Richardson ")</f>
        <v xml:space="preserve">greenmachine52 
I've been working as a dev for 8 years now and i just fail to make sense with this course?
It just seems like a bunch of random stuff put together with semi-random assignments with no consideration about windows users? 
recommends
Microservices.io by Chris Richardson </v>
      </c>
      <c r="I72" s="172">
        <f ca="1">IFERROR(__xludf.DUMMYFUNCTION("""COMPUTED_VALUE"""),1)</f>
        <v>1</v>
      </c>
      <c r="J72" s="172">
        <f ca="1">IFERROR(__xludf.DUMMYFUNCTION("""COMPUTED_VALUE"""),22)</f>
        <v>22</v>
      </c>
      <c r="K72" s="172"/>
      <c r="L72" s="172"/>
      <c r="M72" s="172"/>
      <c r="N72" s="172"/>
      <c r="O72" s="172"/>
      <c r="P72" s="172"/>
      <c r="Q72" s="172"/>
      <c r="R72" s="172"/>
      <c r="S72" s="172"/>
      <c r="T72" s="172"/>
      <c r="U72" s="172"/>
      <c r="V72" s="172"/>
      <c r="W72" s="172"/>
      <c r="X72" s="172"/>
      <c r="Y72" s="172"/>
      <c r="Z72" s="172"/>
      <c r="AA72" s="172"/>
    </row>
    <row r="73" spans="1:27" ht="34">
      <c r="A73" s="170" t="str">
        <f t="shared" ca="1" si="0"/>
        <v>Applications of Software Architecture for Big Data</v>
      </c>
      <c r="B73" s="171" t="str">
        <f t="shared" ca="1" si="1"/>
        <v>CSCA 5028 - Applications of Software Architecture for Big Data</v>
      </c>
      <c r="C73" s="171">
        <f t="shared" ca="1" si="2"/>
        <v>0</v>
      </c>
      <c r="D73" s="172">
        <f t="shared" ca="1" si="3"/>
        <v>1</v>
      </c>
      <c r="E73" s="172">
        <v>24</v>
      </c>
      <c r="F73" s="172"/>
      <c r="G73" s="174" t="str">
        <f ca="1">IFERROR(__xludf.DUMMYFUNCTION("""COMPUTED_VALUE"""),"CSCA 5008 - Fundamentals of Software Architecture for Big Data")</f>
        <v>CSCA 5008 - Fundamentals of Software Architecture for Big Data</v>
      </c>
      <c r="H73" s="174" t="str">
        <f ca="1">IFERROR(__xludf.DUMMYFUNCTION("""COMPUTED_VALUE"""),"Some experience with Java and Kotlin would be helpful. Additionally, understanding how to navigate monorepos. One of the biggest challenges was getting your environment setup for development with Java if you don't already have one.")</f>
        <v>Some experience with Java and Kotlin would be helpful. Additionally, understanding how to navigate monorepos. One of the biggest challenges was getting your environment setup for development with Java if you don't already have one.</v>
      </c>
      <c r="I73" s="172">
        <f ca="1">IFERROR(__xludf.DUMMYFUNCTION("""COMPUTED_VALUE"""),1)</f>
        <v>1</v>
      </c>
      <c r="J73" s="172">
        <f ca="1">IFERROR(__xludf.DUMMYFUNCTION("""COMPUTED_VALUE"""),22)</f>
        <v>22</v>
      </c>
      <c r="K73" s="172"/>
      <c r="L73" s="172"/>
      <c r="M73" s="172"/>
      <c r="N73" s="172"/>
      <c r="O73" s="172"/>
      <c r="P73" s="172"/>
      <c r="Q73" s="172"/>
      <c r="R73" s="172"/>
      <c r="S73" s="172"/>
      <c r="T73" s="172"/>
      <c r="U73" s="172"/>
      <c r="V73" s="172"/>
      <c r="W73" s="172"/>
      <c r="X73" s="172"/>
      <c r="Y73" s="172"/>
      <c r="Z73" s="172"/>
      <c r="AA73" s="172"/>
    </row>
    <row r="74" spans="1:27" ht="323">
      <c r="A74" s="170" t="str">
        <f t="shared" ca="1" si="0"/>
        <v>Introduction to Machine Learning: Supervised Learning</v>
      </c>
      <c r="B74" s="171" t="str">
        <f t="shared" ca="1" si="1"/>
        <v>CSCA 5622 - Introduction to Machine Learning: Supervised Learning</v>
      </c>
      <c r="C74" s="171" t="str">
        <f t="shared" ca="1" si="2"/>
        <v>The lectures go at a very fast pace and can be overwhelming if you don't have some familiarity with the subject matter. You don't need to know the math in the sense that you aren't ever asked to solve equations, but you need to know enough to understand the formulas being presented to you.
The reading is ISLR, pretty much the gold standard for intro-level learning on this subject matter. The labs can be a little frustrating since most of the tests are hidden from you and the hints don't particularly help you figure out what's going wrong. Once you put the work in however, the labs do help foster an understanding of the algorithms you're learning about, usually through manually implementing them. 
The final project is very open, you pick a data set and apply some supervised techniques to it. You get out of that what you put in</v>
      </c>
      <c r="D74" s="172">
        <f t="shared" ca="1" si="3"/>
        <v>1</v>
      </c>
      <c r="E74" s="172">
        <v>9</v>
      </c>
      <c r="F74" s="172"/>
      <c r="G74" s="174" t="str">
        <f ca="1">IFERROR(__xludf.DUMMYFUNCTION("""COMPUTED_VALUE"""),"CSCA 5008 - Fundamentals of Software Architecture for Big Data")</f>
        <v>CSCA 5008 - Fundamentals of Software Architecture for Big Data</v>
      </c>
      <c r="H74" s="174" t="str">
        <f ca="1">IFERROR(__xludf.DUMMYFUNCTION("""COMPUTED_VALUE"""),"5008 is a really badly designed course on its own. When considered together with the other two SWA courses, it's only a little bit better. The 2nd SWA course (5018) is better but still not very good; the 3rd one (5028) is significantly better because it's"&amp;" all about building a project that you decide for yourself. If you put some effort in, you can end up with a cool project for your portfolio.
If you don't have full-stack experience, consider taking 5018 before the 5008, because 5018 doesn't require much"&amp;" info presented in 5008; but part of 5008 assumes you have familiarity with message queues and RabbitMQ specifically, which isn't meaningfully introduced until 5018.
I disagree with another review on here that says CS undergrad is ""crucial"", and it alm"&amp;"ost scared me off this program altogether. I did a non-STEM degree for undergrad and was able to learn the material in 5008, 5018, and 5028 just fine -- although I did have to do a little bit of additional research when it was clear I was lacking some pri"&amp;"or knowledge. But for 5028, you WILL need to be able to build a project from the ground up, with the language(s) / stack of your choice. If you've created a few non-trivial projects for work or as a hobby, that's probably enough programming experience to "&amp;"get through these SWA courses, but you might need to work a bit harder than somebody with a ""proper"" CS background.
These three courses give you an architecture that you can follow (the instructors seem to be of the opinion that this is the 'correct' a"&amp;"rchitecture), but you're not graded on following that specific architecture. I took many elements from it but not all.
ALSO, for 5008 and 5018, it's not required, but consider getting your hands on a Mac. The environments for the assignments are so much "&amp;"easier to set up with Mac, because that's how the course was designed, and they gave almost no thought to Windows/Linux users. (It's doable, but can be really frustrating and require a lot of troubleshooting.)")</f>
        <v>5008 is a really badly designed course on its own. When considered together with the other two SWA courses, it's only a little bit better. The 2nd SWA course (5018) is better but still not very good; the 3rd one (5028) is significantly better because it's all about building a project that you decide for yourself. If you put some effort in, you can end up with a cool project for your portfolio.
If you don't have full-stack experience, consider taking 5018 before the 5008, because 5018 doesn't require much info presented in 5008; but part of 5008 assumes you have familiarity with message queues and RabbitMQ specifically, which isn't meaningfully introduced until 5018.
I disagree with another review on here that says CS undergrad is "crucial", and it almost scared me off this program altogether. I did a non-STEM degree for undergrad and was able to learn the material in 5008, 5018, and 5028 just fine -- although I did have to do a little bit of additional research when it was clear I was lacking some prior knowledge. But for 5028, you WILL need to be able to build a project from the ground up, with the language(s) / stack of your choice. If you've created a few non-trivial projects for work or as a hobby, that's probably enough programming experience to get through these SWA courses, but you might need to work a bit harder than somebody with a "proper" CS background.
These three courses give you an architecture that you can follow (the instructors seem to be of the opinion that this is the 'correct' architecture), but you're not graded on following that specific architecture. I took many elements from it but not all.
ALSO, for 5008 and 5018, it's not required, but consider getting your hands on a Mac. The environments for the assignments are so much easier to set up with Mac, because that's how the course was designed, and they gave almost no thought to Windows/Linux users. (It's doable, but can be really frustrating and require a lot of troubleshooting.)</v>
      </c>
      <c r="I74" s="172">
        <f ca="1">IFERROR(__xludf.DUMMYFUNCTION("""COMPUTED_VALUE"""),1)</f>
        <v>1</v>
      </c>
      <c r="J74" s="172">
        <f ca="1">IFERROR(__xludf.DUMMYFUNCTION("""COMPUTED_VALUE"""),22)</f>
        <v>22</v>
      </c>
      <c r="K74" s="172"/>
      <c r="L74" s="172"/>
      <c r="M74" s="172"/>
      <c r="N74" s="172"/>
      <c r="O74" s="172"/>
      <c r="P74" s="172"/>
      <c r="Q74" s="172"/>
      <c r="R74" s="172"/>
      <c r="S74" s="172"/>
      <c r="T74" s="172"/>
      <c r="U74" s="172"/>
      <c r="V74" s="172"/>
      <c r="W74" s="172"/>
      <c r="X74" s="172"/>
      <c r="Y74" s="172"/>
      <c r="Z74" s="172"/>
      <c r="AA74" s="172"/>
    </row>
    <row r="75" spans="1:27" ht="68">
      <c r="A75" s="170" t="str">
        <f t="shared" ca="1" si="0"/>
        <v>Introduction to Machine Learning: Supervised Learning</v>
      </c>
      <c r="B75" s="171" t="str">
        <f t="shared" ca="1" si="1"/>
        <v>CSCA 5622 - Introduction to Machine Learning: Supervised Learning</v>
      </c>
      <c r="C75" s="171" t="str">
        <f t="shared" ca="1" si="2"/>
        <v>Coursera time estimates were accurate for everything except the final project, which took me closer to 12 hours.  The math is not easy, and the instructor often introduces  math concepts without adequately explaining them.  Expect to spend some significant time in self study if you don't come in with a solid math and statistics background.</v>
      </c>
      <c r="D75" s="172">
        <f t="shared" ca="1" si="3"/>
        <v>1</v>
      </c>
      <c r="E75" s="172">
        <v>9</v>
      </c>
      <c r="F75" s="172"/>
      <c r="G75" s="174" t="str">
        <f ca="1">IFERROR(__xludf.DUMMYFUNCTION("""COMPUTED_VALUE"""),"CSCA 5008 - Fundamentals of Software Architecture for Big Data")</f>
        <v>CSCA 5008 - Fundamentals of Software Architecture for Big Data</v>
      </c>
      <c r="H75" s="174" t="str">
        <f ca="1">IFERROR(__xludf.DUMMYFUNCTION("""COMPUTED_VALUE"""),"Not a great course in all honesty. The lectures are often short videos about a high-level architectural topic and then a programming assignment that very loosely ties that topic in. If you have no programming experience you will be in over your head -- th"&amp;"e course expects you are comfortable working in an existing project, debugging, and writing tests. If you do have development experience, the course doesn't really teach you anything new and you can finish most assignments (including the final) in under a"&amp;"n hour")</f>
        <v>Not a great course in all honesty. The lectures are often short videos about a high-level architectural topic and then a programming assignment that very loosely ties that topic in. If you have no programming experience you will be in over your head -- the course expects you are comfortable working in an existing project, debugging, and writing tests. If you do have development experience, the course doesn't really teach you anything new and you can finish most assignments (including the final) in under an hour</v>
      </c>
      <c r="I75" s="172">
        <f ca="1">IFERROR(__xludf.DUMMYFUNCTION("""COMPUTED_VALUE"""),1)</f>
        <v>1</v>
      </c>
      <c r="J75" s="172">
        <f ca="1">IFERROR(__xludf.DUMMYFUNCTION("""COMPUTED_VALUE"""),22)</f>
        <v>22</v>
      </c>
      <c r="K75" s="172"/>
      <c r="L75" s="172"/>
      <c r="M75" s="172"/>
      <c r="N75" s="172"/>
      <c r="O75" s="172"/>
      <c r="P75" s="172"/>
      <c r="Q75" s="172"/>
      <c r="R75" s="172"/>
      <c r="S75" s="172"/>
      <c r="T75" s="172"/>
      <c r="U75" s="172"/>
      <c r="V75" s="172"/>
      <c r="W75" s="172"/>
      <c r="X75" s="172"/>
      <c r="Y75" s="172"/>
      <c r="Z75" s="172"/>
      <c r="AA75" s="172"/>
    </row>
    <row r="76" spans="1:27" ht="51">
      <c r="A76" s="170" t="str">
        <f t="shared" ca="1" si="0"/>
        <v>Approximation Algorithms and Linear Programming</v>
      </c>
      <c r="B76" s="171" t="str">
        <f t="shared" ca="1" si="1"/>
        <v>CSCA 5424 - Approximation Algorithms and Linear Programming</v>
      </c>
      <c r="C76" s="171" t="str">
        <f t="shared" ca="1" si="2"/>
        <v>You need the previous modules for sure. This is a major improvement over the previous because of the labs</v>
      </c>
      <c r="D76" s="172">
        <f t="shared" ca="1" si="3"/>
        <v>1</v>
      </c>
      <c r="E76" s="172">
        <v>4</v>
      </c>
      <c r="F76" s="172"/>
      <c r="G76" s="174" t="str">
        <f ca="1">IFERROR(__xludf.DUMMYFUNCTION("""COMPUTED_VALUE"""),"CSCA 5008 - Fundamentals of Software Architecture for Big Data")</f>
        <v>CSCA 5008 - Fundamentals of Software Architecture for Big Data</v>
      </c>
      <c r="H76" s="174" t="str">
        <f ca="1">IFERROR(__xludf.DUMMYFUNCTION("""COMPUTED_VALUE"""),"Some experience with reading someone else's code and changing it, also using an IDE
Assignments are not hard, but harder than the next course - there are times when you need to understand what is going on and it feels good once you get everything
Tips : y"&amp;"ou may be overwhelmed if you have not done sth like this before, or if it's hard to set up the environment, but keep going, it gets comfortable")</f>
        <v>Some experience with reading someone else's code and changing it, also using an IDE
Assignments are not hard, but harder than the next course - there are times when you need to understand what is going on and it feels good once you get everything
Tips : you may be overwhelmed if you have not done sth like this before, or if it's hard to set up the environment, but keep going, it gets comfortable</v>
      </c>
      <c r="I76" s="172">
        <f ca="1">IFERROR(__xludf.DUMMYFUNCTION("""COMPUTED_VALUE"""),1)</f>
        <v>1</v>
      </c>
      <c r="J76" s="172">
        <f ca="1">IFERROR(__xludf.DUMMYFUNCTION("""COMPUTED_VALUE"""),22)</f>
        <v>22</v>
      </c>
      <c r="K76" s="172"/>
      <c r="L76" s="172"/>
      <c r="M76" s="172"/>
      <c r="N76" s="172"/>
      <c r="O76" s="172"/>
      <c r="P76" s="172"/>
      <c r="Q76" s="172"/>
      <c r="R76" s="172"/>
      <c r="S76" s="172"/>
      <c r="T76" s="172"/>
      <c r="U76" s="172"/>
      <c r="V76" s="172"/>
      <c r="W76" s="172"/>
      <c r="X76" s="172"/>
      <c r="Y76" s="172"/>
      <c r="Z76" s="172"/>
      <c r="AA76" s="172"/>
    </row>
    <row r="77" spans="1:27" ht="68">
      <c r="A77" s="170" t="str">
        <f t="shared" ca="1" si="0"/>
        <v>Dynamic Programming, Greedy Algorithms</v>
      </c>
      <c r="B77" s="171" t="str">
        <f t="shared" ca="1" si="1"/>
        <v>CSCA 5414 - Dynamic Programming, Greedy Algorithms</v>
      </c>
      <c r="C77" s="171">
        <f t="shared" ca="1" si="2"/>
        <v>0</v>
      </c>
      <c r="D77" s="172">
        <f t="shared" ca="1" si="3"/>
        <v>1</v>
      </c>
      <c r="E77" s="172">
        <v>3</v>
      </c>
      <c r="F77" s="172"/>
      <c r="G77" s="174" t="str">
        <f ca="1">IFERROR(__xludf.DUMMYFUNCTION("""COMPUTED_VALUE"""),"CSCA 5008 - Fundamentals of Software Architecture for Big Data")</f>
        <v>CSCA 5008 - Fundamentals of Software Architecture for Big Data</v>
      </c>
      <c r="H77" s="174" t="str">
        <f ca="1">IFERROR(__xludf.DUMMYFUNCTION("""COMPUTED_VALUE"""),"Some hands-on programming experience is helpful, especially Java(but not required). The assignments are designed for Mac so having a Mac saves you a lot of trouble setting up the environment. It's also doable with windows WSL, but there are hoops to jump "&amp;"through.
Definitely utilize the search function in your IDE a lot, and search/ask on slack when you encounter issues. Chances are they might have already been answered before")</f>
        <v>Some hands-on programming experience is helpful, especially Java(but not required). The assignments are designed for Mac so having a Mac saves you a lot of trouble setting up the environment. It's also doable with windows WSL, but there are hoops to jump through.
Definitely utilize the search function in your IDE a lot, and search/ask on slack when you encounter issues. Chances are they might have already been answered before</v>
      </c>
      <c r="I77" s="172">
        <f ca="1">IFERROR(__xludf.DUMMYFUNCTION("""COMPUTED_VALUE"""),1)</f>
        <v>1</v>
      </c>
      <c r="J77" s="172">
        <f ca="1">IFERROR(__xludf.DUMMYFUNCTION("""COMPUTED_VALUE"""),22)</f>
        <v>22</v>
      </c>
      <c r="K77" s="172"/>
      <c r="L77" s="172"/>
      <c r="M77" s="172"/>
      <c r="N77" s="172"/>
      <c r="O77" s="172"/>
      <c r="P77" s="172"/>
      <c r="Q77" s="172"/>
      <c r="R77" s="172"/>
      <c r="S77" s="172"/>
      <c r="T77" s="172"/>
      <c r="U77" s="172"/>
      <c r="V77" s="172"/>
      <c r="W77" s="172"/>
      <c r="X77" s="172"/>
      <c r="Y77" s="172"/>
      <c r="Z77" s="172"/>
      <c r="AA77" s="172"/>
    </row>
    <row r="78" spans="1:27" ht="34">
      <c r="A78" s="170" t="str">
        <f t="shared" ca="1" si="0"/>
        <v>Fundamentals of Software Architecture for Big Data</v>
      </c>
      <c r="B78" s="171" t="str">
        <f t="shared" ca="1" si="1"/>
        <v>CSCA 5008 - Fundamentals of Software Architecture for Big Data</v>
      </c>
      <c r="C78" s="171">
        <f t="shared" ca="1" si="2"/>
        <v>0</v>
      </c>
      <c r="D78" s="172">
        <f t="shared" ca="1" si="3"/>
        <v>1</v>
      </c>
      <c r="E78" s="172">
        <v>22</v>
      </c>
      <c r="F78" s="172"/>
      <c r="G78" s="174" t="str">
        <f ca="1">IFERROR(__xludf.DUMMYFUNCTION("""COMPUTED_VALUE"""),"CSCA 5008 - Fundamentals of Software Architecture for Big Data")</f>
        <v>CSCA 5008 - Fundamentals of Software Architecture for Big Data</v>
      </c>
      <c r="H78" s="174" t="str">
        <f ca="1">IFERROR(__xludf.DUMMYFUNCTION("""COMPUTED_VALUE"""),"half my time spent on this course was getting environments and code to actually run before doing course work. ")</f>
        <v xml:space="preserve">half my time spent on this course was getting environments and code to actually run before doing course work. </v>
      </c>
      <c r="I78" s="172">
        <f ca="1">IFERROR(__xludf.DUMMYFUNCTION("""COMPUTED_VALUE"""),1)</f>
        <v>1</v>
      </c>
      <c r="J78" s="172">
        <f ca="1">IFERROR(__xludf.DUMMYFUNCTION("""COMPUTED_VALUE"""),22)</f>
        <v>22</v>
      </c>
      <c r="K78" s="172"/>
      <c r="L78" s="172"/>
      <c r="M78" s="172"/>
      <c r="N78" s="172"/>
      <c r="O78" s="172"/>
      <c r="P78" s="172"/>
      <c r="Q78" s="172"/>
      <c r="R78" s="172"/>
      <c r="S78" s="172"/>
      <c r="T78" s="172"/>
      <c r="U78" s="172"/>
      <c r="V78" s="172"/>
      <c r="W78" s="172"/>
      <c r="X78" s="172"/>
      <c r="Y78" s="172"/>
      <c r="Z78" s="172"/>
      <c r="AA78" s="172"/>
    </row>
    <row r="79" spans="1:27" ht="34">
      <c r="A79" s="170" t="str">
        <f t="shared" ca="1" si="0"/>
        <v>Fundamentals of Software Architecture for Big Data</v>
      </c>
      <c r="B79" s="171" t="str">
        <f t="shared" ca="1" si="1"/>
        <v>CSCA 5008 - Fundamentals of Software Architecture for Big Data</v>
      </c>
      <c r="C79" s="171">
        <f t="shared" ca="1" si="2"/>
        <v>0</v>
      </c>
      <c r="D79" s="172">
        <f t="shared" ca="1" si="3"/>
        <v>1</v>
      </c>
      <c r="E79" s="172">
        <v>22</v>
      </c>
      <c r="F79" s="172"/>
      <c r="G79" s="174" t="str">
        <f ca="1">IFERROR(__xludf.DUMMYFUNCTION("""COMPUTED_VALUE"""),"CSCA 5018 - Software Architecture Patterns for Big Data")</f>
        <v>CSCA 5018 - Software Architecture Patterns for Big Data</v>
      </c>
      <c r="H79" s="174" t="str">
        <f ca="1">IFERROR(__xludf.DUMMYFUNCTION("""COMPUTED_VALUE"""),"Same as prev course—Java, Kotlin, bit of Python. Make sure you complete these classes in order!")</f>
        <v>Same as prev course—Java, Kotlin, bit of Python. Make sure you complete these classes in order!</v>
      </c>
      <c r="I79" s="172">
        <f ca="1">IFERROR(__xludf.DUMMYFUNCTION("""COMPUTED_VALUE"""),1)</f>
        <v>1</v>
      </c>
      <c r="J79" s="172">
        <f ca="1">IFERROR(__xludf.DUMMYFUNCTION("""COMPUTED_VALUE"""),23)</f>
        <v>23</v>
      </c>
      <c r="K79" s="172"/>
      <c r="L79" s="172"/>
      <c r="M79" s="172"/>
      <c r="N79" s="172"/>
      <c r="O79" s="172"/>
      <c r="P79" s="172"/>
      <c r="Q79" s="172"/>
      <c r="R79" s="172"/>
      <c r="S79" s="172"/>
      <c r="T79" s="172"/>
      <c r="U79" s="172"/>
      <c r="V79" s="172"/>
      <c r="W79" s="172"/>
      <c r="X79" s="172"/>
      <c r="Y79" s="172"/>
      <c r="Z79" s="172"/>
      <c r="AA79" s="172"/>
    </row>
    <row r="80" spans="1:27" ht="34">
      <c r="A80" s="170" t="str">
        <f t="shared" ca="1" si="0"/>
        <v>Applications of Software Architecture for Big Data</v>
      </c>
      <c r="B80" s="171" t="str">
        <f t="shared" ca="1" si="1"/>
        <v>CSCA 5028 - Applications of Software Architecture for Big Data</v>
      </c>
      <c r="C80" s="171" t="str">
        <f t="shared" ca="1" si="2"/>
        <v>Start early</v>
      </c>
      <c r="D80" s="172">
        <f t="shared" ca="1" si="3"/>
        <v>1</v>
      </c>
      <c r="E80" s="172">
        <v>24</v>
      </c>
      <c r="F80" s="172"/>
      <c r="G80" s="174" t="str">
        <f ca="1">IFERROR(__xludf.DUMMYFUNCTION("""COMPUTED_VALUE"""),"CSCA 5018 - Software Architecture Patterns for Big Data")</f>
        <v>CSCA 5018 - Software Architecture Patterns for Big Data</v>
      </c>
      <c r="H80" s="174" t="str">
        <f ca="1">IFERROR(__xludf.DUMMYFUNCTION("""COMPUTED_VALUE"""),"CS undergrad is crucial here")</f>
        <v>CS undergrad is crucial here</v>
      </c>
      <c r="I80" s="172">
        <f ca="1">IFERROR(__xludf.DUMMYFUNCTION("""COMPUTED_VALUE"""),1)</f>
        <v>1</v>
      </c>
      <c r="J80" s="172">
        <f ca="1">IFERROR(__xludf.DUMMYFUNCTION("""COMPUTED_VALUE"""),23)</f>
        <v>23</v>
      </c>
      <c r="K80" s="172"/>
      <c r="L80" s="172"/>
      <c r="M80" s="172"/>
      <c r="N80" s="172"/>
      <c r="O80" s="172"/>
      <c r="P80" s="172"/>
      <c r="Q80" s="172"/>
      <c r="R80" s="172"/>
      <c r="S80" s="172"/>
      <c r="T80" s="172"/>
      <c r="U80" s="172"/>
      <c r="V80" s="172"/>
      <c r="W80" s="172"/>
      <c r="X80" s="172"/>
      <c r="Y80" s="172"/>
      <c r="Z80" s="172"/>
      <c r="AA80" s="172"/>
    </row>
    <row r="81" spans="1:27" ht="34">
      <c r="A81" s="170" t="str">
        <f t="shared" ca="1" si="0"/>
        <v>Software Architecture Patterns for Big Data</v>
      </c>
      <c r="B81" s="171" t="str">
        <f t="shared" ca="1" si="1"/>
        <v>CSCA 5018 - Software Architecture Patterns for Big Data</v>
      </c>
      <c r="C81" s="171">
        <f t="shared" ca="1" si="2"/>
        <v>0</v>
      </c>
      <c r="D81" s="172">
        <f t="shared" ca="1" si="3"/>
        <v>1</v>
      </c>
      <c r="E81" s="172">
        <v>23</v>
      </c>
      <c r="F81" s="172"/>
      <c r="G81" s="174" t="str">
        <f ca="1">IFERROR(__xludf.DUMMYFUNCTION("""COMPUTED_VALUE"""),"CSCA 5018 - Software Architecture Patterns for Big Data")</f>
        <v>CSCA 5018 - Software Architecture Patterns for Big Data</v>
      </c>
      <c r="H81" s="174" t="str">
        <f ca="1">IFERROR(__xludf.DUMMYFUNCTION("""COMPUTED_VALUE"""),"More straightforward than the first course.  Most of the programming assignments are surprisingly simple.")</f>
        <v>More straightforward than the first course.  Most of the programming assignments are surprisingly simple.</v>
      </c>
      <c r="I81" s="172">
        <f ca="1">IFERROR(__xludf.DUMMYFUNCTION("""COMPUTED_VALUE"""),1)</f>
        <v>1</v>
      </c>
      <c r="J81" s="172">
        <f ca="1">IFERROR(__xludf.DUMMYFUNCTION("""COMPUTED_VALUE"""),23)</f>
        <v>23</v>
      </c>
      <c r="K81" s="172"/>
      <c r="L81" s="172"/>
      <c r="M81" s="172"/>
      <c r="N81" s="172"/>
      <c r="O81" s="172"/>
      <c r="P81" s="172"/>
      <c r="Q81" s="172"/>
      <c r="R81" s="172"/>
      <c r="S81" s="172"/>
      <c r="T81" s="172"/>
      <c r="U81" s="172"/>
      <c r="V81" s="172"/>
      <c r="W81" s="172"/>
      <c r="X81" s="172"/>
      <c r="Y81" s="172"/>
      <c r="Z81" s="172"/>
      <c r="AA81" s="172"/>
    </row>
    <row r="82" spans="1:27" ht="34">
      <c r="A82" s="170" t="str">
        <f t="shared" ca="1" si="0"/>
        <v>Data Mining Project</v>
      </c>
      <c r="B82" s="171" t="str">
        <f t="shared" ca="1" si="1"/>
        <v>CSCA 5522 - Data Mining Project</v>
      </c>
      <c r="C82" s="171" t="str">
        <f t="shared" ca="1" si="2"/>
        <v>taking more time then expected, really minimal instruction on project/assignments</v>
      </c>
      <c r="D82" s="172">
        <f t="shared" ca="1" si="3"/>
        <v>1</v>
      </c>
      <c r="E82" s="172">
        <v>21</v>
      </c>
      <c r="F82" s="172"/>
      <c r="G82" s="174" t="str">
        <f ca="1">IFERROR(__xludf.DUMMYFUNCTION("""COMPUTED_VALUE"""),"CSCA 5018 - Software Architecture Patterns for Big Data")</f>
        <v>CSCA 5018 - Software Architecture Patterns for Big Data</v>
      </c>
      <c r="H82" s="174" t="str">
        <f ca="1">IFERROR(__xludf.DUMMYFUNCTION("""COMPUTED_VALUE"""),"If you took the first course, this should be more straight forward and easier.")</f>
        <v>If you took the first course, this should be more straight forward and easier.</v>
      </c>
      <c r="I82" s="172">
        <f ca="1">IFERROR(__xludf.DUMMYFUNCTION("""COMPUTED_VALUE"""),1)</f>
        <v>1</v>
      </c>
      <c r="J82" s="172">
        <f ca="1">IFERROR(__xludf.DUMMYFUNCTION("""COMPUTED_VALUE"""),23)</f>
        <v>23</v>
      </c>
      <c r="K82" s="172"/>
      <c r="L82" s="172"/>
      <c r="M82" s="172"/>
      <c r="N82" s="172"/>
      <c r="O82" s="172"/>
      <c r="P82" s="172"/>
      <c r="Q82" s="172"/>
      <c r="R82" s="172"/>
      <c r="S82" s="172"/>
      <c r="T82" s="172"/>
      <c r="U82" s="172"/>
      <c r="V82" s="172"/>
      <c r="W82" s="172"/>
      <c r="X82" s="172"/>
      <c r="Y82" s="172"/>
      <c r="Z82" s="172"/>
      <c r="AA82" s="172"/>
    </row>
    <row r="83" spans="1:27" ht="34">
      <c r="A83" s="170" t="str">
        <f t="shared" ca="1" si="0"/>
        <v>Introduction to Generative AI</v>
      </c>
      <c r="B83" s="171" t="str">
        <f t="shared" ca="1" si="1"/>
        <v>CSCA 5112 - Introduction to Generative AI</v>
      </c>
      <c r="C83" s="171" t="str">
        <f t="shared" ca="1" si="2"/>
        <v>very informative and the work load is light</v>
      </c>
      <c r="D83" s="172">
        <f t="shared" ca="1" si="3"/>
        <v>1</v>
      </c>
      <c r="E83" s="172">
        <v>25</v>
      </c>
      <c r="F83" s="172"/>
      <c r="G83" s="174" t="str">
        <f ca="1">IFERROR(__xludf.DUMMYFUNCTION("""COMPUTED_VALUE"""),"CSCA 5018 - Software Architecture Patterns for Big Data")</f>
        <v>CSCA 5018 - Software Architecture Patterns for Big Data</v>
      </c>
      <c r="H83" s="174" t="str">
        <f ca="1">IFERROR(__xludf.DUMMYFUNCTION("""COMPUTED_VALUE"""),"I believe this course and potentially the entire Big Data specialization could benefit from an update maybe recreate the courses from scratch again")</f>
        <v>I believe this course and potentially the entire Big Data specialization could benefit from an update maybe recreate the courses from scratch again</v>
      </c>
      <c r="I83" s="172">
        <f ca="1">IFERROR(__xludf.DUMMYFUNCTION("""COMPUTED_VALUE"""),1)</f>
        <v>1</v>
      </c>
      <c r="J83" s="172">
        <f ca="1">IFERROR(__xludf.DUMMYFUNCTION("""COMPUTED_VALUE"""),23)</f>
        <v>23</v>
      </c>
      <c r="K83" s="172"/>
      <c r="L83" s="172"/>
      <c r="M83" s="172"/>
      <c r="N83" s="172"/>
      <c r="O83" s="172"/>
      <c r="P83" s="172"/>
      <c r="Q83" s="172"/>
      <c r="R83" s="172"/>
      <c r="S83" s="172"/>
      <c r="T83" s="172"/>
      <c r="U83" s="172"/>
      <c r="V83" s="172"/>
      <c r="W83" s="172"/>
      <c r="X83" s="172"/>
      <c r="Y83" s="172"/>
      <c r="Z83" s="172"/>
      <c r="AA83" s="172"/>
    </row>
    <row r="84" spans="1:27" ht="34">
      <c r="A84" s="170" t="str">
        <f t="shared" ca="1" si="0"/>
        <v>Fundamentals of Data Visualization</v>
      </c>
      <c r="B84" s="171" t="str">
        <f t="shared" ca="1" si="1"/>
        <v>CSCA 5702 - Fundamentals of Data Visualization</v>
      </c>
      <c r="C84" s="171">
        <f t="shared" ca="1" si="2"/>
        <v>0</v>
      </c>
      <c r="D84" s="172">
        <f t="shared" ca="1" si="3"/>
        <v>1</v>
      </c>
      <c r="E84" s="172">
        <v>46</v>
      </c>
      <c r="F84" s="172"/>
      <c r="G84" s="174" t="str">
        <f ca="1">IFERROR(__xludf.DUMMYFUNCTION("""COMPUTED_VALUE"""),"CSCA 5018 - Software Architecture Patterns for Big Data")</f>
        <v>CSCA 5018 - Software Architecture Patterns for Big Data</v>
      </c>
      <c r="H84" s="174" t="str">
        <f ca="1">IFERROR(__xludf.DUMMYFUNCTION("""COMPUTED_VALUE"""),"Good idea is to do the first course, other than that the course is not hard and is interesting - taught me fun things I had not known before
Easy assignments - make sure to use an IDE if not on Mac")</f>
        <v>Good idea is to do the first course, other than that the course is not hard and is interesting - taught me fun things I had not known before
Easy assignments - make sure to use an IDE if not on Mac</v>
      </c>
      <c r="I84" s="172">
        <f ca="1">IFERROR(__xludf.DUMMYFUNCTION("""COMPUTED_VALUE"""),1)</f>
        <v>1</v>
      </c>
      <c r="J84" s="172">
        <f ca="1">IFERROR(__xludf.DUMMYFUNCTION("""COMPUTED_VALUE"""),23)</f>
        <v>23</v>
      </c>
      <c r="K84" s="172"/>
      <c r="L84" s="172"/>
      <c r="M84" s="172"/>
      <c r="N84" s="172"/>
      <c r="O84" s="172"/>
      <c r="P84" s="172"/>
      <c r="Q84" s="172"/>
      <c r="R84" s="172"/>
      <c r="S84" s="172"/>
      <c r="T84" s="172"/>
      <c r="U84" s="172"/>
      <c r="V84" s="172"/>
      <c r="W84" s="172"/>
      <c r="X84" s="172"/>
      <c r="Y84" s="172"/>
      <c r="Z84" s="172"/>
      <c r="AA84" s="172"/>
    </row>
    <row r="85" spans="1:27" ht="34">
      <c r="A85" s="170" t="str">
        <f t="shared" ca="1" si="0"/>
        <v>Unsupervised Algorithms in Machine Learning</v>
      </c>
      <c r="B85" s="171" t="str">
        <f t="shared" ca="1" si="1"/>
        <v>CSCA 5632 - Unsupervised Algorithms in Machine Learning</v>
      </c>
      <c r="C85" s="171" t="str">
        <f t="shared" ca="1" si="2"/>
        <v>Use Statquest and ISLR prior to her lectures.</v>
      </c>
      <c r="D85" s="172">
        <f t="shared" ca="1" si="3"/>
        <v>1</v>
      </c>
      <c r="E85" s="172">
        <v>10</v>
      </c>
      <c r="F85" s="172"/>
      <c r="G85" s="174" t="str">
        <f ca="1">IFERROR(__xludf.DUMMYFUNCTION("""COMPUTED_VALUE"""),"CSCA 5018 - Software Architecture Patterns for Big Data")</f>
        <v>CSCA 5018 - Software Architecture Patterns for Big Data</v>
      </c>
      <c r="H85" s="174" t="str">
        <f ca="1">IFERROR(__xludf.DUMMYFUNCTION("""COMPUTED_VALUE"""),"Tyson is a bit better as an instructor and the soccer match predictor was a very cool assignment.")</f>
        <v>Tyson is a bit better as an instructor and the soccer match predictor was a very cool assignment.</v>
      </c>
      <c r="I85" s="172">
        <f ca="1">IFERROR(__xludf.DUMMYFUNCTION("""COMPUTED_VALUE"""),1)</f>
        <v>1</v>
      </c>
      <c r="J85" s="172">
        <f ca="1">IFERROR(__xludf.DUMMYFUNCTION("""COMPUTED_VALUE"""),23)</f>
        <v>23</v>
      </c>
      <c r="K85" s="172"/>
      <c r="L85" s="172"/>
      <c r="M85" s="172"/>
      <c r="N85" s="172"/>
      <c r="O85" s="172"/>
      <c r="P85" s="172"/>
      <c r="Q85" s="172"/>
      <c r="R85" s="172"/>
      <c r="S85" s="172"/>
      <c r="T85" s="172"/>
      <c r="U85" s="172"/>
      <c r="V85" s="172"/>
      <c r="W85" s="172"/>
      <c r="X85" s="172"/>
      <c r="Y85" s="172"/>
      <c r="Z85" s="172"/>
      <c r="AA85" s="172"/>
    </row>
    <row r="86" spans="1:27" ht="34">
      <c r="A86" s="170" t="str">
        <f t="shared" ca="1" si="0"/>
        <v>Introduction to Deep Learning</v>
      </c>
      <c r="B86" s="171" t="str">
        <f t="shared" ca="1" si="1"/>
        <v>CSCA 5642 - Introduction to Deep Learning</v>
      </c>
      <c r="C86" s="171" t="str">
        <f t="shared" ca="1" si="2"/>
        <v>Honestly, best to have some understanding of NNs prior to the course. 3Blue1Brown is helpful as well as googling how the architectures work prior to her lessons, which often dont cover things as well.</v>
      </c>
      <c r="D86" s="172">
        <f t="shared" ca="1" si="3"/>
        <v>1</v>
      </c>
      <c r="E86" s="172">
        <v>11</v>
      </c>
      <c r="F86" s="172"/>
      <c r="G86" s="174" t="str">
        <f ca="1">IFERROR(__xludf.DUMMYFUNCTION("""COMPUTED_VALUE"""),"CSCA 5028 - Applications of Software Architecture for Big Data")</f>
        <v>CSCA 5028 - Applications of Software Architecture for Big Data</v>
      </c>
      <c r="H86" s="174" t="str">
        <f ca="1">IFERROR(__xludf.DUMMYFUNCTION("""COMPUTED_VALUE"""),"Time commitment will vary widely, dependent on the project one chooses and the detail into which one goes")</f>
        <v>Time commitment will vary widely, dependent on the project one chooses and the detail into which one goes</v>
      </c>
      <c r="I86" s="172">
        <f ca="1">IFERROR(__xludf.DUMMYFUNCTION("""COMPUTED_VALUE"""),1)</f>
        <v>1</v>
      </c>
      <c r="J86" s="172">
        <f ca="1">IFERROR(__xludf.DUMMYFUNCTION("""COMPUTED_VALUE"""),24)</f>
        <v>24</v>
      </c>
      <c r="K86" s="172"/>
      <c r="L86" s="172"/>
      <c r="M86" s="172"/>
      <c r="N86" s="172"/>
      <c r="O86" s="172"/>
      <c r="P86" s="172"/>
      <c r="Q86" s="172"/>
      <c r="R86" s="172"/>
      <c r="S86" s="172"/>
      <c r="T86" s="172"/>
      <c r="U86" s="172"/>
      <c r="V86" s="172"/>
      <c r="W86" s="172"/>
      <c r="X86" s="172"/>
      <c r="Y86" s="172"/>
      <c r="Z86" s="172"/>
      <c r="AA86" s="172"/>
    </row>
    <row r="87" spans="1:27" ht="85">
      <c r="A87" s="170" t="str">
        <f t="shared" ca="1" si="0"/>
        <v>Approximation Algorithms and Linear Programming</v>
      </c>
      <c r="B87" s="171" t="str">
        <f t="shared" ca="1" si="1"/>
        <v>CSCA 5424 - Approximation Algorithms and Linear Programming</v>
      </c>
      <c r="C87" s="171">
        <f t="shared" ca="1" si="2"/>
        <v>0</v>
      </c>
      <c r="D87" s="172">
        <f t="shared" ca="1" si="3"/>
        <v>1</v>
      </c>
      <c r="E87" s="172">
        <v>4</v>
      </c>
      <c r="F87" s="172"/>
      <c r="G87" s="174" t="str">
        <f ca="1">IFERROR(__xludf.DUMMYFUNCTION("""COMPUTED_VALUE"""),"CSCA 5028 - Applications of Software Architecture for Big Data")</f>
        <v>CSCA 5028 - Applications of Software Architecture for Big Data</v>
      </c>
      <c r="H87" s="174" t="str">
        <f ca="1">IFERROR(__xludf.DUMMYFUNCTION("""COMPUTED_VALUE"""),"The final project was very challenging.  It was frustrating to receive a rubric for the project that I tried to follow strictly, but then the grading criteria included a small subset of the content that the rubric called out.  This felt like a bait-and-sw"&amp;"itch --&gt; I would have preferred that they actually grade you on the rubric provided or that they provide you with the rubric that you would be graded on.  However I learned a ton while creating my final project, so I have bumped up my overall scores becau"&amp;"se of that.  I had 0 web framework experience coming into this (I am an embedded software engineer), so I needed to do significant external research to determine the details of my final project.  ")</f>
        <v xml:space="preserve">The final project was very challenging.  It was frustrating to receive a rubric for the project that I tried to follow strictly, but then the grading criteria included a small subset of the content that the rubric called out.  This felt like a bait-and-switch --&gt; I would have preferred that they actually grade you on the rubric provided or that they provide you with the rubric that you would be graded on.  However I learned a ton while creating my final project, so I have bumped up my overall scores because of that.  I had 0 web framework experience coming into this (I am an embedded software engineer), so I needed to do significant external research to determine the details of my final project.  </v>
      </c>
      <c r="I87" s="172">
        <f ca="1">IFERROR(__xludf.DUMMYFUNCTION("""COMPUTED_VALUE"""),1)</f>
        <v>1</v>
      </c>
      <c r="J87" s="172">
        <f ca="1">IFERROR(__xludf.DUMMYFUNCTION("""COMPUTED_VALUE"""),24)</f>
        <v>24</v>
      </c>
      <c r="K87" s="172"/>
      <c r="L87" s="172"/>
      <c r="M87" s="172"/>
      <c r="N87" s="172"/>
      <c r="O87" s="172"/>
      <c r="P87" s="172"/>
      <c r="Q87" s="172"/>
      <c r="R87" s="172"/>
      <c r="S87" s="172"/>
      <c r="T87" s="172"/>
      <c r="U87" s="172"/>
      <c r="V87" s="172"/>
      <c r="W87" s="172"/>
      <c r="X87" s="172"/>
      <c r="Y87" s="172"/>
      <c r="Z87" s="172"/>
      <c r="AA87" s="172"/>
    </row>
    <row r="88" spans="1:27" ht="34">
      <c r="A88" s="170" t="str">
        <f t="shared" ca="1" si="0"/>
        <v>Computing, Ethics, and Society Foundations</v>
      </c>
      <c r="B88" s="171" t="str">
        <f t="shared" ca="1" si="1"/>
        <v>CSCA 5214 - Computing, Ethics, and Society Foundations</v>
      </c>
      <c r="C88" s="171">
        <f t="shared" ca="1" si="2"/>
        <v>0</v>
      </c>
      <c r="D88" s="172">
        <f t="shared" ca="1" si="3"/>
        <v>1</v>
      </c>
      <c r="E88" s="172">
        <v>15</v>
      </c>
      <c r="F88" s="172"/>
      <c r="G88" s="174" t="str">
        <f ca="1">IFERROR(__xludf.DUMMYFUNCTION("""COMPUTED_VALUE"""),"CSCA 5028 - Applications of Software Architecture for Big Data")</f>
        <v>CSCA 5028 - Applications of Software Architecture for Big Data</v>
      </c>
      <c r="H88" s="174" t="str">
        <f ca="1">IFERROR(__xludf.DUMMYFUNCTION("""COMPUTED_VALUE"""),"Brush up on basic Python and SQL. Make sure you understand the instructors’ tutorials and be ready to Google/Stack Overflow a lot of questions when working on the final project. Also, start coding as early as possible. It could take you a lot of time if y"&amp;"ou’re a beginner!")</f>
        <v>Brush up on basic Python and SQL. Make sure you understand the instructors’ tutorials and be ready to Google/Stack Overflow a lot of questions when working on the final project. Also, start coding as early as possible. It could take you a lot of time if you’re a beginner!</v>
      </c>
      <c r="I88" s="172">
        <f ca="1">IFERROR(__xludf.DUMMYFUNCTION("""COMPUTED_VALUE"""),1)</f>
        <v>1</v>
      </c>
      <c r="J88" s="172">
        <f ca="1">IFERROR(__xludf.DUMMYFUNCTION("""COMPUTED_VALUE"""),24)</f>
        <v>24</v>
      </c>
      <c r="K88" s="172"/>
      <c r="L88" s="172"/>
      <c r="M88" s="172"/>
      <c r="N88" s="172"/>
      <c r="O88" s="172"/>
      <c r="P88" s="172"/>
      <c r="Q88" s="172"/>
      <c r="R88" s="172"/>
      <c r="S88" s="172"/>
      <c r="T88" s="172"/>
      <c r="U88" s="172"/>
      <c r="V88" s="172"/>
      <c r="W88" s="172"/>
      <c r="X88" s="172"/>
      <c r="Y88" s="172"/>
      <c r="Z88" s="172"/>
      <c r="AA88" s="172"/>
    </row>
    <row r="89" spans="1:27" ht="34">
      <c r="A89" s="170" t="str">
        <f t="shared" ca="1" si="0"/>
        <v>Ethical Issues in AI and Professional Ethics</v>
      </c>
      <c r="B89" s="171" t="str">
        <f t="shared" ca="1" si="1"/>
        <v>CSCA 5224 - Ethical Issues in AI and Professional Ethics</v>
      </c>
      <c r="C89" s="171">
        <f t="shared" ca="1" si="2"/>
        <v>0</v>
      </c>
      <c r="D89" s="172">
        <f t="shared" ca="1" si="3"/>
        <v>1</v>
      </c>
      <c r="E89" s="172">
        <v>16</v>
      </c>
      <c r="F89" s="172"/>
      <c r="G89" s="174" t="str">
        <f ca="1">IFERROR(__xludf.DUMMYFUNCTION("""COMPUTED_VALUE"""),"CSCA 5028 - Applications of Software Architecture for Big Data")</f>
        <v>CSCA 5028 - Applications of Software Architecture for Big Data</v>
      </c>
      <c r="H89" s="174" t="str">
        <f ca="1">IFERROR(__xludf.DUMMYFUNCTION("""COMPUTED_VALUE"""),"Computer Science undergrad STRONGLY RECOMMENDED.")</f>
        <v>Computer Science undergrad STRONGLY RECOMMENDED.</v>
      </c>
      <c r="I89" s="172">
        <f ca="1">IFERROR(__xludf.DUMMYFUNCTION("""COMPUTED_VALUE"""),1)</f>
        <v>1</v>
      </c>
      <c r="J89" s="172">
        <f ca="1">IFERROR(__xludf.DUMMYFUNCTION("""COMPUTED_VALUE"""),24)</f>
        <v>24</v>
      </c>
      <c r="K89" s="172"/>
      <c r="L89" s="172"/>
      <c r="M89" s="172"/>
      <c r="N89" s="172"/>
      <c r="O89" s="172"/>
      <c r="P89" s="172"/>
      <c r="Q89" s="172"/>
      <c r="R89" s="172"/>
      <c r="S89" s="172"/>
      <c r="T89" s="172"/>
      <c r="U89" s="172"/>
      <c r="V89" s="172"/>
      <c r="W89" s="172"/>
      <c r="X89" s="172"/>
      <c r="Y89" s="172"/>
      <c r="Z89" s="172"/>
      <c r="AA89" s="172"/>
    </row>
    <row r="90" spans="1:27" ht="85">
      <c r="A90" s="170" t="str">
        <f t="shared" ca="1" si="0"/>
        <v>Ethical Issues in Computing Applications</v>
      </c>
      <c r="B90" s="171" t="str">
        <f t="shared" ca="1" si="1"/>
        <v>CSCA 5234 - Ethical Issues in Computing Applications</v>
      </c>
      <c r="C90" s="171">
        <f t="shared" ca="1" si="2"/>
        <v>0</v>
      </c>
      <c r="D90" s="172">
        <f t="shared" ca="1" si="3"/>
        <v>1</v>
      </c>
      <c r="E90" s="172" t="s">
        <v>281</v>
      </c>
      <c r="F90" s="172"/>
      <c r="G90" s="174" t="str">
        <f ca="1">IFERROR(__xludf.DUMMYFUNCTION("""COMPUTED_VALUE"""),"CSCA 5028 - Applications of Software Architecture for Big Data")</f>
        <v>CSCA 5028 - Applications of Software Architecture for Big Data</v>
      </c>
      <c r="H90" s="174" t="str">
        <f ca="1">IFERROR(__xludf.DUMMYFUNCTION("""COMPUTED_VALUE"""),"ak
For the final project that culminates the specialization, you need to build a full application. You can choose any language of your choice for that one.
Todd
It is way less intimidating than it sounds.  The first course feels like you are in over your "&amp;"head if you don't have a background in full stack development, but by the end they have walked you through everything and the requirements are minimal enough for each piece that it's easily doable.
")</f>
        <v xml:space="preserve">ak
For the final project that culminates the specialization, you need to build a full application. You can choose any language of your choice for that one.
Todd
It is way less intimidating than it sounds.  The first course feels like you are in over your head if you don't have a background in full stack development, but by the end they have walked you through everything and the requirements are minimal enough for each piece that it's easily doable.
</v>
      </c>
      <c r="I90" s="172">
        <f ca="1">IFERROR(__xludf.DUMMYFUNCTION("""COMPUTED_VALUE"""),1)</f>
        <v>1</v>
      </c>
      <c r="J90" s="172">
        <f ca="1">IFERROR(__xludf.DUMMYFUNCTION("""COMPUTED_VALUE"""),24)</f>
        <v>24</v>
      </c>
      <c r="K90" s="172"/>
      <c r="L90" s="172"/>
      <c r="M90" s="172"/>
      <c r="N90" s="172"/>
      <c r="O90" s="172"/>
      <c r="P90" s="172"/>
      <c r="Q90" s="172"/>
      <c r="R90" s="172"/>
      <c r="S90" s="172"/>
      <c r="T90" s="172"/>
      <c r="U90" s="172"/>
      <c r="V90" s="172"/>
      <c r="W90" s="172"/>
      <c r="X90" s="172"/>
      <c r="Y90" s="172"/>
      <c r="Z90" s="172"/>
      <c r="AA90" s="172"/>
    </row>
    <row r="91" spans="1:27" ht="34">
      <c r="A91" s="170" t="str">
        <f t="shared" ca="1" si="0"/>
        <v>Network Systems Foundation</v>
      </c>
      <c r="B91" s="171" t="str">
        <f t="shared" ca="1" si="1"/>
        <v>CSCA 5063 - Network Systems Foundation</v>
      </c>
      <c r="C91" s="171" t="str">
        <f t="shared" ca="1" si="2"/>
        <v>Relatively chill content and interesting. Not much needed as foundation</v>
      </c>
      <c r="D91" s="172">
        <f t="shared" ca="1" si="3"/>
        <v>1</v>
      </c>
      <c r="E91" s="172">
        <v>6</v>
      </c>
      <c r="F91" s="172"/>
      <c r="G91" s="174" t="str">
        <f ca="1">IFERROR(__xludf.DUMMYFUNCTION("""COMPUTED_VALUE"""),"CSCA 5028 - Applications of Software Architecture for Big Data")</f>
        <v>CSCA 5028 - Applications of Software Architecture for Big Data</v>
      </c>
      <c r="H91" s="174" t="str">
        <f ca="1">IFERROR(__xludf.DUMMYFUNCTION("""COMPUTED_VALUE"""),"The project is what you make it.  You can do the bare bones minimum to get an A fairly quickly, or build something cool.")</f>
        <v>The project is what you make it.  You can do the bare bones minimum to get an A fairly quickly, or build something cool.</v>
      </c>
      <c r="I91" s="172">
        <f ca="1">IFERROR(__xludf.DUMMYFUNCTION("""COMPUTED_VALUE"""),1)</f>
        <v>1</v>
      </c>
      <c r="J91" s="172">
        <f ca="1">IFERROR(__xludf.DUMMYFUNCTION("""COMPUTED_VALUE"""),24)</f>
        <v>24</v>
      </c>
      <c r="K91" s="172"/>
      <c r="L91" s="172"/>
      <c r="M91" s="172"/>
      <c r="N91" s="172"/>
      <c r="O91" s="172"/>
      <c r="P91" s="172"/>
      <c r="Q91" s="172"/>
      <c r="R91" s="172"/>
      <c r="S91" s="172"/>
      <c r="T91" s="172"/>
      <c r="U91" s="172"/>
      <c r="V91" s="172"/>
      <c r="W91" s="172"/>
      <c r="X91" s="172"/>
      <c r="Y91" s="172"/>
      <c r="Z91" s="172"/>
      <c r="AA91" s="172"/>
    </row>
    <row r="92" spans="1:27" ht="51">
      <c r="A92" s="170" t="str">
        <f t="shared" ca="1" si="0"/>
        <v>Introduction to Generative AI</v>
      </c>
      <c r="B92" s="171" t="str">
        <f t="shared" ca="1" si="1"/>
        <v>CSCA 5112 - Introduction to Generative AI</v>
      </c>
      <c r="C92" s="171" t="str">
        <f t="shared" ca="1" si="2"/>
        <v xml:space="preserve">Very chill and mostly intuition learning. </v>
      </c>
      <c r="D92" s="172">
        <f t="shared" ca="1" si="3"/>
        <v>1</v>
      </c>
      <c r="E92" s="172">
        <v>25</v>
      </c>
      <c r="F92" s="172"/>
      <c r="G92" s="174" t="str">
        <f ca="1">IFERROR(__xludf.DUMMYFUNCTION("""COMPUTED_VALUE"""),"CSCA 5028 - Applications of Software Architecture for Big Data")</f>
        <v>CSCA 5028 - Applications of Software Architecture for Big Data</v>
      </c>
      <c r="H92" s="174" t="str">
        <f ca="1">IFERROR(__xludf.DUMMYFUNCTION("""COMPUTED_VALUE"""),"Of the SWA pathway, this course is where all the work happens. You build a full-stack web application while having to include learnings from the previous 2 courses. There is a large rubric that outlines the requirements for the final project. If you want "&amp;"to get the ""A"" on this project, that means it includes everything a ""production level"" application would require.")</f>
        <v>Of the SWA pathway, this course is where all the work happens. You build a full-stack web application while having to include learnings from the previous 2 courses. There is a large rubric that outlines the requirements for the final project. If you want to get the "A" on this project, that means it includes everything a "production level" application would require.</v>
      </c>
      <c r="I92" s="172">
        <f ca="1">IFERROR(__xludf.DUMMYFUNCTION("""COMPUTED_VALUE"""),1)</f>
        <v>1</v>
      </c>
      <c r="J92" s="172">
        <f ca="1">IFERROR(__xludf.DUMMYFUNCTION("""COMPUTED_VALUE"""),24)</f>
        <v>24</v>
      </c>
      <c r="K92" s="172"/>
      <c r="L92" s="172"/>
      <c r="M92" s="172"/>
      <c r="N92" s="172"/>
      <c r="O92" s="172"/>
      <c r="P92" s="172"/>
      <c r="Q92" s="172"/>
      <c r="R92" s="172"/>
      <c r="S92" s="172"/>
      <c r="T92" s="172"/>
      <c r="U92" s="172"/>
      <c r="V92" s="172"/>
      <c r="W92" s="172"/>
      <c r="X92" s="172"/>
      <c r="Y92" s="172"/>
      <c r="Z92" s="172"/>
      <c r="AA92" s="172"/>
    </row>
    <row r="93" spans="1:27" ht="34">
      <c r="A93" s="170" t="str">
        <f t="shared" ca="1" si="0"/>
        <v>Data Mining Pipeline</v>
      </c>
      <c r="B93" s="171" t="str">
        <f t="shared" ca="1" si="1"/>
        <v>CSCA 5502 - Data Mining Pipeline</v>
      </c>
      <c r="C93" s="171" t="str">
        <f t="shared" ca="1" si="2"/>
        <v>Make sure you are familiar with the proctor exam process. Otherwise, just relook at the slides and lectures prior to exams.</v>
      </c>
      <c r="D93" s="172">
        <f t="shared" ca="1" si="3"/>
        <v>1</v>
      </c>
      <c r="E93" s="172">
        <v>19</v>
      </c>
      <c r="F93" s="172"/>
      <c r="G93" s="174" t="str">
        <f ca="1">IFERROR(__xludf.DUMMYFUNCTION("""COMPUTED_VALUE"""),"CSCA 5028 - Applications of Software Architecture for Big Data")</f>
        <v>CSCA 5028 - Applications of Software Architecture for Big Data</v>
      </c>
      <c r="H93" s="174" t="str">
        <f ca="1">IFERROR(__xludf.DUMMYFUNCTION("""COMPUTED_VALUE"""),"Start early")</f>
        <v>Start early</v>
      </c>
      <c r="I93" s="172">
        <f ca="1">IFERROR(__xludf.DUMMYFUNCTION("""COMPUTED_VALUE"""),1)</f>
        <v>1</v>
      </c>
      <c r="J93" s="172">
        <f ca="1">IFERROR(__xludf.DUMMYFUNCTION("""COMPUTED_VALUE"""),24)</f>
        <v>24</v>
      </c>
      <c r="K93" s="172"/>
      <c r="L93" s="172"/>
      <c r="M93" s="172"/>
      <c r="N93" s="172"/>
      <c r="O93" s="172"/>
      <c r="P93" s="172"/>
      <c r="Q93" s="172"/>
      <c r="R93" s="172"/>
      <c r="S93" s="172"/>
      <c r="T93" s="172"/>
      <c r="U93" s="172"/>
      <c r="V93" s="172"/>
      <c r="W93" s="172"/>
      <c r="X93" s="172"/>
      <c r="Y93" s="172"/>
      <c r="Z93" s="172"/>
      <c r="AA93" s="172"/>
    </row>
    <row r="94" spans="1:27" ht="34">
      <c r="A94" s="170" t="str">
        <f t="shared" ca="1" si="0"/>
        <v>Data Mining Methods</v>
      </c>
      <c r="B94" s="171" t="str">
        <f t="shared" ca="1" si="1"/>
        <v>CSCA 5512 - Data Mining Methods</v>
      </c>
      <c r="C94" s="171" t="str">
        <f t="shared" ca="1" si="2"/>
        <v>Make sure you are familiar with the proctor exam process. Otherwise, just relook at the slides and lectures prior to exams. This is slightly harder than the 1st course but just be familiar with how each method works and know when to choose them.</v>
      </c>
      <c r="D94" s="172">
        <f t="shared" ca="1" si="3"/>
        <v>1</v>
      </c>
      <c r="E94" s="172">
        <v>20</v>
      </c>
      <c r="F94" s="172"/>
      <c r="G94" s="174" t="str">
        <f ca="1">IFERROR(__xludf.DUMMYFUNCTION("""COMPUTED_VALUE"""),"CSCA 5028 - Applications of Software Architecture for Big Data")</f>
        <v>CSCA 5028 - Applications of Software Architecture for Big Data</v>
      </c>
      <c r="H94" s="174" t="str">
        <f ca="1">IFERROR(__xludf.DUMMYFUNCTION("""COMPUTED_VALUE"""),"The time you spend on this class will completely depend on your prior experience and the project you choose.")</f>
        <v>The time you spend on this class will completely depend on your prior experience and the project you choose.</v>
      </c>
      <c r="I94" s="172">
        <f ca="1">IFERROR(__xludf.DUMMYFUNCTION("""COMPUTED_VALUE"""),1)</f>
        <v>1</v>
      </c>
      <c r="J94" s="172">
        <f ca="1">IFERROR(__xludf.DUMMYFUNCTION("""COMPUTED_VALUE"""),24)</f>
        <v>24</v>
      </c>
      <c r="K94" s="172"/>
      <c r="L94" s="172"/>
      <c r="M94" s="172"/>
      <c r="N94" s="172"/>
      <c r="O94" s="172"/>
      <c r="P94" s="172"/>
      <c r="Q94" s="172"/>
      <c r="R94" s="172"/>
      <c r="S94" s="172"/>
      <c r="T94" s="172"/>
      <c r="U94" s="172"/>
      <c r="V94" s="172"/>
      <c r="W94" s="172"/>
      <c r="X94" s="172"/>
      <c r="Y94" s="172"/>
      <c r="Z94" s="172"/>
      <c r="AA94" s="172"/>
    </row>
    <row r="95" spans="1:27" ht="85">
      <c r="A95" s="170" t="str">
        <f t="shared" ca="1" si="0"/>
        <v>Data Mining Project</v>
      </c>
      <c r="B95" s="171" t="str">
        <f t="shared" ca="1" si="1"/>
        <v>CSCA 5522 - Data Mining Project</v>
      </c>
      <c r="C95" s="171" t="str">
        <f t="shared" ca="1" si="2"/>
        <v>Come in with a good understanding of what you want to work on, similar to software architecture finals. Also, be familiar with ACM written paper format as you will be using that for the report.</v>
      </c>
      <c r="D95" s="172">
        <f t="shared" ca="1" si="3"/>
        <v>1</v>
      </c>
      <c r="E95" s="172">
        <v>21</v>
      </c>
      <c r="F95" s="172"/>
      <c r="G95" s="174" t="str">
        <f ca="1">IFERROR(__xludf.DUMMYFUNCTION("""COMPUTED_VALUE"""),"CSCA 5028 - Applications of Software Architecture for Big Data")</f>
        <v>CSCA 5028 - Applications of Software Architecture for Big Data</v>
      </c>
      <c r="H95" s="174" t="str">
        <f ca="1">IFERROR(__xludf.DUMMYFUNCTION("""COMPUTED_VALUE"""),"You should have skills in the programming language of choice (likely Java,Kotlin,Python, JavaScript, or perhaps Go), having developed some project in this language before will help.
Assignments &amp; exams are basic, but the final project is the most importan"&amp;"t and although the rubric is not comprehensive, you should aim to fulfill everything the facilitators require.
Try to finish the project before enrolling for-credit, just in case (you can finish it fast though).")</f>
        <v>You should have skills in the programming language of choice (likely Java,Kotlin,Python, JavaScript, or perhaps Go), having developed some project in this language before will help.
Assignments &amp; exams are basic, but the final project is the most important and although the rubric is not comprehensive, you should aim to fulfill everything the facilitators require.
Try to finish the project before enrolling for-credit, just in case (you can finish it fast though).</v>
      </c>
      <c r="I95" s="172">
        <f ca="1">IFERROR(__xludf.DUMMYFUNCTION("""COMPUTED_VALUE"""),1)</f>
        <v>1</v>
      </c>
      <c r="J95" s="172">
        <f ca="1">IFERROR(__xludf.DUMMYFUNCTION("""COMPUTED_VALUE"""),24)</f>
        <v>24</v>
      </c>
      <c r="K95" s="172"/>
      <c r="L95" s="172"/>
      <c r="M95" s="172"/>
      <c r="N95" s="172"/>
      <c r="O95" s="172"/>
      <c r="P95" s="172"/>
      <c r="Q95" s="172"/>
      <c r="R95" s="172"/>
      <c r="S95" s="172"/>
      <c r="T95" s="172"/>
      <c r="U95" s="172"/>
      <c r="V95" s="172"/>
      <c r="W95" s="172"/>
      <c r="X95" s="172"/>
      <c r="Y95" s="172"/>
      <c r="Z95" s="172"/>
      <c r="AA95" s="172"/>
    </row>
    <row r="96" spans="1:27" ht="34">
      <c r="A96" s="170" t="str">
        <f t="shared" ca="1" si="0"/>
        <v>Introduction to Machine Learning: Supervised Learning</v>
      </c>
      <c r="B96" s="171" t="str">
        <f t="shared" ca="1" si="1"/>
        <v>CSCA 5622 - Introduction to Machine Learning: Supervised Learning</v>
      </c>
      <c r="C96" s="171" t="str">
        <f t="shared" ca="1" si="2"/>
        <v>I think the instructor may need better lecture skills. The lectures somehow drove me mad.</v>
      </c>
      <c r="D96" s="172">
        <f t="shared" ca="1" si="3"/>
        <v>1</v>
      </c>
      <c r="E96" s="172">
        <v>9</v>
      </c>
      <c r="F96" s="172"/>
      <c r="G96" s="174" t="str">
        <f ca="1">IFERROR(__xludf.DUMMYFUNCTION("""COMPUTED_VALUE"""),"CSCA 5028 - Applications of Software Architecture for Big Data")</f>
        <v>CSCA 5028 - Applications of Software Architecture for Big Data</v>
      </c>
      <c r="H96" s="174" t="str">
        <f ca="1">IFERROR(__xludf.DUMMYFUNCTION("""COMPUTED_VALUE"""),"Nice last one of the series, at least this series improves over the three classes. The project is a very nice way to learn a lot and practice skills learned in the class.  Also it gives a nice project to put on the resume. ")</f>
        <v xml:space="preserve">Nice last one of the series, at least this series improves over the three classes. The project is a very nice way to learn a lot and practice skills learned in the class.  Also it gives a nice project to put on the resume. </v>
      </c>
      <c r="I96" s="172">
        <f ca="1">IFERROR(__xludf.DUMMYFUNCTION("""COMPUTED_VALUE"""),1)</f>
        <v>1</v>
      </c>
      <c r="J96" s="172">
        <f ca="1">IFERROR(__xludf.DUMMYFUNCTION("""COMPUTED_VALUE"""),24)</f>
        <v>24</v>
      </c>
      <c r="K96" s="172"/>
      <c r="L96" s="172"/>
      <c r="M96" s="172"/>
      <c r="N96" s="172"/>
      <c r="O96" s="172"/>
      <c r="P96" s="172"/>
      <c r="Q96" s="172"/>
      <c r="R96" s="172"/>
      <c r="S96" s="172"/>
      <c r="T96" s="172"/>
      <c r="U96" s="172"/>
      <c r="V96" s="172"/>
      <c r="W96" s="172"/>
      <c r="X96" s="172"/>
      <c r="Y96" s="172"/>
      <c r="Z96" s="172"/>
      <c r="AA96" s="172"/>
    </row>
    <row r="97" spans="1:27" ht="34">
      <c r="A97" s="170" t="str">
        <f t="shared" ca="1" si="0"/>
        <v>Unsupervised Algorithms in Machine Learning</v>
      </c>
      <c r="B97" s="171" t="str">
        <f t="shared" ca="1" si="1"/>
        <v>CSCA 5632 - Unsupervised Algorithms in Machine Learning</v>
      </c>
      <c r="C97" s="171" t="str">
        <f t="shared" ca="1" si="2"/>
        <v>I think the instructor may need better lecture skills. The lectures somehow drove me mad.</v>
      </c>
      <c r="D97" s="172">
        <f t="shared" ca="1" si="3"/>
        <v>1</v>
      </c>
      <c r="E97" s="172">
        <v>10</v>
      </c>
      <c r="F97" s="172"/>
      <c r="G97" s="174" t="str">
        <f ca="1">IFERROR(__xludf.DUMMYFUNCTION("""COMPUTED_VALUE"""),"CSCA 5112 - Introduction to Generative AI")</f>
        <v>CSCA 5112 - Introduction to Generative AI</v>
      </c>
      <c r="H97" s="174" t="str">
        <f ca="1">IFERROR(__xludf.DUMMYFUNCTION("""COMPUTED_VALUE"""),"Straightforward course, very theoretical.  I wish there were some application.")</f>
        <v>Straightforward course, very theoretical.  I wish there were some application.</v>
      </c>
      <c r="I97" s="172">
        <f ca="1">IFERROR(__xludf.DUMMYFUNCTION("""COMPUTED_VALUE"""),1)</f>
        <v>1</v>
      </c>
      <c r="J97" s="172">
        <f ca="1">IFERROR(__xludf.DUMMYFUNCTION("""COMPUTED_VALUE"""),25)</f>
        <v>25</v>
      </c>
      <c r="K97" s="172"/>
      <c r="L97" s="172"/>
      <c r="M97" s="172"/>
      <c r="N97" s="172"/>
      <c r="O97" s="172"/>
      <c r="P97" s="172"/>
      <c r="Q97" s="172"/>
      <c r="R97" s="172"/>
      <c r="S97" s="172"/>
      <c r="T97" s="172"/>
      <c r="U97" s="172"/>
      <c r="V97" s="172"/>
      <c r="W97" s="172"/>
      <c r="X97" s="172"/>
      <c r="Y97" s="172"/>
      <c r="Z97" s="172"/>
      <c r="AA97" s="172"/>
    </row>
    <row r="98" spans="1:27" ht="34">
      <c r="A98" s="170" t="str">
        <f t="shared" ca="1" si="0"/>
        <v>Approximation Algorithms and Linear Programming</v>
      </c>
      <c r="B98" s="171" t="str">
        <f t="shared" ca="1" si="1"/>
        <v>CSCA 5424 - Approximation Algorithms and Linear Programming</v>
      </c>
      <c r="C98" s="171" t="str">
        <f t="shared" ca="1" si="2"/>
        <v>You definetely need strong programming knowledge for this class, the videos will help you understand the theory behind each topic which is very helpful, but the labs and notes do a poor job to explain the programming portion of the course. I referred to external resources for this and even found Youtube videos that explain it better</v>
      </c>
      <c r="D98" s="172">
        <f t="shared" ca="1" si="3"/>
        <v>1</v>
      </c>
      <c r="E98" s="172">
        <v>4</v>
      </c>
      <c r="F98" s="172"/>
      <c r="G98" s="174" t="str">
        <f ca="1">IFERROR(__xludf.DUMMYFUNCTION("""COMPUTED_VALUE"""),"CSCA 5112 - Introduction to Generative AI")</f>
        <v>CSCA 5112 - Introduction to Generative AI</v>
      </c>
      <c r="H98" s="174" t="str">
        <f ca="1">IFERROR(__xludf.DUMMYFUNCTION("""COMPUTED_VALUE"""),"Extremely short and easy. Pretty interesting too. Some (very few) exam questions aren’t covered in lectures though.")</f>
        <v>Extremely short and easy. Pretty interesting too. Some (very few) exam questions aren’t covered in lectures though.</v>
      </c>
      <c r="I98" s="172">
        <f ca="1">IFERROR(__xludf.DUMMYFUNCTION("""COMPUTED_VALUE"""),1)</f>
        <v>1</v>
      </c>
      <c r="J98" s="172">
        <f ca="1">IFERROR(__xludf.DUMMYFUNCTION("""COMPUTED_VALUE"""),25)</f>
        <v>25</v>
      </c>
      <c r="K98" s="172"/>
      <c r="L98" s="172"/>
      <c r="M98" s="172"/>
      <c r="N98" s="172"/>
      <c r="O98" s="172"/>
      <c r="P98" s="172"/>
      <c r="Q98" s="172"/>
      <c r="R98" s="172"/>
      <c r="S98" s="172"/>
      <c r="T98" s="172"/>
      <c r="U98" s="172"/>
      <c r="V98" s="172"/>
      <c r="W98" s="172"/>
      <c r="X98" s="172"/>
      <c r="Y98" s="172"/>
      <c r="Z98" s="172"/>
      <c r="AA98" s="172"/>
    </row>
    <row r="99" spans="1:27" ht="34">
      <c r="A99" s="170" t="str">
        <f t="shared" ca="1" si="0"/>
        <v>Approximation Algorithms and Linear Programming</v>
      </c>
      <c r="B99" s="171" t="str">
        <f t="shared" ca="1" si="1"/>
        <v>CSCA 5424 - Approximation Algorithms and Linear Programming</v>
      </c>
      <c r="C99" s="171" t="str">
        <f t="shared" ca="1" si="2"/>
        <v xml:space="preserve">Content doesn't match the assignments, you learn the theory but for the programming portion they only give you some notes that don't even prepare you for the programming assignments </v>
      </c>
      <c r="D99" s="172">
        <f t="shared" ca="1" si="3"/>
        <v>1</v>
      </c>
      <c r="E99" s="172">
        <v>4</v>
      </c>
      <c r="F99" s="172"/>
      <c r="G99" s="174" t="str">
        <f ca="1">IFERROR(__xludf.DUMMYFUNCTION("""COMPUTED_VALUE"""),"CSCA 5112 - Introduction to Generative AI")</f>
        <v>CSCA 5112 - Introduction to Generative AI</v>
      </c>
      <c r="H99" s="174" t="str">
        <f ca="1">IFERROR(__xludf.DUMMYFUNCTION("""COMPUTED_VALUE"""),"very informative and the work load is light")</f>
        <v>very informative and the work load is light</v>
      </c>
      <c r="I99" s="172">
        <f ca="1">IFERROR(__xludf.DUMMYFUNCTION("""COMPUTED_VALUE"""),1)</f>
        <v>1</v>
      </c>
      <c r="J99" s="172">
        <f ca="1">IFERROR(__xludf.DUMMYFUNCTION("""COMPUTED_VALUE"""),25)</f>
        <v>25</v>
      </c>
      <c r="K99" s="172"/>
      <c r="L99" s="172"/>
      <c r="M99" s="172"/>
      <c r="N99" s="172"/>
      <c r="O99" s="172"/>
      <c r="P99" s="172"/>
      <c r="Q99" s="172"/>
      <c r="R99" s="172"/>
      <c r="S99" s="172"/>
      <c r="T99" s="172"/>
      <c r="U99" s="172"/>
      <c r="V99" s="172"/>
      <c r="W99" s="172"/>
      <c r="X99" s="172"/>
      <c r="Y99" s="172"/>
      <c r="Z99" s="172"/>
      <c r="AA99" s="172"/>
    </row>
    <row r="100" spans="1:27" ht="34">
      <c r="A100" s="170" t="str">
        <f t="shared" ca="1" si="0"/>
        <v>Dynamic Programming, Greedy Algorithms</v>
      </c>
      <c r="B100" s="171" t="str">
        <f t="shared" ca="1" si="1"/>
        <v>CSCA 5414 - Dynamic Programming, Greedy Algorithms</v>
      </c>
      <c r="C100" s="171">
        <f t="shared" ca="1" si="2"/>
        <v>0</v>
      </c>
      <c r="D100" s="172">
        <f t="shared" ca="1" si="3"/>
        <v>1</v>
      </c>
      <c r="E100" s="172">
        <v>3</v>
      </c>
      <c r="F100" s="172"/>
      <c r="G100" s="174" t="str">
        <f ca="1">IFERROR(__xludf.DUMMYFUNCTION("""COMPUTED_VALUE"""),"CSCA 5112 - Introduction to Generative AI")</f>
        <v>CSCA 5112 - Introduction to Generative AI</v>
      </c>
      <c r="H100" s="174" t="str">
        <f ca="1">IFERROR(__xludf.DUMMYFUNCTION("""COMPUTED_VALUE"""),"Very chill and mostly intuition learning. ")</f>
        <v xml:space="preserve">Very chill and mostly intuition learning. </v>
      </c>
      <c r="I100" s="172">
        <f ca="1">IFERROR(__xludf.DUMMYFUNCTION("""COMPUTED_VALUE"""),1)</f>
        <v>1</v>
      </c>
      <c r="J100" s="172">
        <f ca="1">IFERROR(__xludf.DUMMYFUNCTION("""COMPUTED_VALUE"""),25)</f>
        <v>25</v>
      </c>
      <c r="K100" s="172"/>
      <c r="L100" s="172"/>
      <c r="M100" s="172"/>
      <c r="N100" s="172"/>
      <c r="O100" s="172"/>
      <c r="P100" s="172"/>
      <c r="Q100" s="172"/>
      <c r="R100" s="172"/>
      <c r="S100" s="172"/>
      <c r="T100" s="172"/>
      <c r="U100" s="172"/>
      <c r="V100" s="172"/>
      <c r="W100" s="172"/>
      <c r="X100" s="172"/>
      <c r="Y100" s="172"/>
      <c r="Z100" s="172"/>
      <c r="AA100" s="172"/>
    </row>
    <row r="101" spans="1:27" ht="34">
      <c r="A101" s="170" t="str">
        <f t="shared" ca="1" si="0"/>
        <v>Approximation Algorithms and Linear Programming</v>
      </c>
      <c r="B101" s="171" t="str">
        <f t="shared" ca="1" si="1"/>
        <v>CSCA 5424 - Approximation Algorithms and Linear Programming</v>
      </c>
      <c r="C101" s="171">
        <f t="shared" ca="1" si="2"/>
        <v>0</v>
      </c>
      <c r="D101" s="172">
        <f t="shared" ca="1" si="3"/>
        <v>1</v>
      </c>
      <c r="E101" s="172">
        <v>4</v>
      </c>
      <c r="F101" s="172"/>
      <c r="G101" s="174" t="str">
        <f ca="1">IFERROR(__xludf.DUMMYFUNCTION("""COMPUTED_VALUE"""),"CSCA 5112 - Introduction to Generative AI")</f>
        <v>CSCA 5112 - Introduction to Generative AI</v>
      </c>
      <c r="H101" s="174" t="str">
        <f ca="1">IFERROR(__xludf.DUMMYFUNCTION("""COMPUTED_VALUE"""),"It would help to have some basic understanding of discrete math. Overall this was a very short very interesting course.  I wouldn't want a ton more in terms of topics, but I felt like there was a bit missing.  Overall the instructor does a great job of br"&amp;"eaking down a difficult topic into easy to understand explanations and diagrams.")</f>
        <v>It would help to have some basic understanding of discrete math. Overall this was a very short very interesting course.  I wouldn't want a ton more in terms of topics, but I felt like there was a bit missing.  Overall the instructor does a great job of breaking down a difficult topic into easy to understand explanations and diagrams.</v>
      </c>
      <c r="I101" s="172">
        <f ca="1">IFERROR(__xludf.DUMMYFUNCTION("""COMPUTED_VALUE"""),1)</f>
        <v>1</v>
      </c>
      <c r="J101" s="172">
        <f ca="1">IFERROR(__xludf.DUMMYFUNCTION("""COMPUTED_VALUE"""),25)</f>
        <v>25</v>
      </c>
      <c r="K101" s="172"/>
      <c r="L101" s="172"/>
      <c r="M101" s="172"/>
      <c r="N101" s="172"/>
      <c r="O101" s="172"/>
      <c r="P101" s="172"/>
      <c r="Q101" s="172"/>
      <c r="R101" s="172"/>
      <c r="S101" s="172"/>
      <c r="T101" s="172"/>
      <c r="U101" s="172"/>
      <c r="V101" s="172"/>
      <c r="W101" s="172"/>
      <c r="X101" s="172"/>
      <c r="Y101" s="172"/>
      <c r="Z101" s="172"/>
      <c r="AA101" s="172"/>
    </row>
    <row r="102" spans="1:27" ht="34">
      <c r="A102" s="170" t="str">
        <f t="shared" ca="1" si="0"/>
        <v>Fundamentals of Software Architecture for Big Data</v>
      </c>
      <c r="B102" s="171" t="str">
        <f t="shared" ca="1" si="1"/>
        <v>CSCA 5008 - Fundamentals of Software Architecture for Big Data</v>
      </c>
      <c r="C102" s="171" t="str">
        <f t="shared" ca="1" si="2"/>
        <v>5008 is a really badly designed course on its own. When considered together with the other two SWA courses, it's only a little bit better. The 2nd SWA course (5018) is better but still not very good; the 3rd one (5028) is significantly better because it's all about building a project that you decide for yourself. If you put some effort in, you can end up with a cool project for your portfolio.
If you don't have full-stack experience, consider taking 5018 before the 5008, because 5018 doesn't require much info presented in 5008; but part of 5008 assumes you have familiarity with message queues and RabbitMQ specifically, which isn't meaningfully introduced until 5018.
I disagree with another review on here that says CS undergrad is "crucial", and it almost scared me off this program altogether. I did a non-STEM degree for undergrad and was able to learn the material in 5008, 5018, and 5028 just fine -- although I did have to do a little bit of additional research when it was clear I was lacking some prior knowledge. But for 5028, you WILL need to be able to build a project from the ground up, with the language(s) / stack of your choice. If you've created a few non-trivial projects for work or as a hobby, that's probably enough programming experience to get through these SWA courses, but you might need to work a bit harder than somebody with a "proper" CS background.
These three courses give you an architecture that you can follow (the instructors seem to be of the opinion that this is the 'correct' architecture), but you're not graded on following that specific architecture. I took many elements from it but not all.
ALSO, for 5008 and 5018, it's not required, but consider getting your hands on a Mac. The environments for the assignments are so much easier to set up with Mac, because that's how the course was designed, and they gave almost no thought to Windows/Linux users. (It's doable, but can be really frustrating and require a lot of troubleshooting.)</v>
      </c>
      <c r="D102" s="172">
        <f t="shared" ca="1" si="3"/>
        <v>1</v>
      </c>
      <c r="E102" s="172">
        <v>22</v>
      </c>
      <c r="F102" s="172"/>
      <c r="G102" s="174" t="str">
        <f ca="1">IFERROR(__xludf.DUMMYFUNCTION("""COMPUTED_VALUE"""),"CSCA 5112 - Introduction to Generative AI")</f>
        <v>CSCA 5112 - Introduction to Generative AI</v>
      </c>
      <c r="H102" s="174" t="str">
        <f ca="1">IFERROR(__xludf.DUMMYFUNCTION("""COMPUTED_VALUE"""),"The instructor is really excellent at explaining the concepts in intuitive manner. Having said that, the class was way too easy for a graduate level course. ")</f>
        <v xml:space="preserve">The instructor is really excellent at explaining the concepts in intuitive manner. Having said that, the class was way too easy for a graduate level course. </v>
      </c>
      <c r="I102" s="172">
        <f ca="1">IFERROR(__xludf.DUMMYFUNCTION("""COMPUTED_VALUE"""),1)</f>
        <v>1</v>
      </c>
      <c r="J102" s="172">
        <f ca="1">IFERROR(__xludf.DUMMYFUNCTION("""COMPUTED_VALUE"""),25)</f>
        <v>25</v>
      </c>
      <c r="K102" s="172"/>
      <c r="L102" s="172"/>
      <c r="M102" s="172"/>
      <c r="N102" s="172"/>
      <c r="O102" s="172"/>
      <c r="P102" s="172"/>
      <c r="Q102" s="172"/>
      <c r="R102" s="172"/>
      <c r="S102" s="172"/>
      <c r="T102" s="172"/>
      <c r="U102" s="172"/>
      <c r="V102" s="172"/>
      <c r="W102" s="172"/>
      <c r="X102" s="172"/>
      <c r="Y102" s="172"/>
      <c r="Z102" s="172"/>
      <c r="AA102" s="172"/>
    </row>
    <row r="103" spans="1:27" ht="51">
      <c r="A103" s="170" t="str">
        <f t="shared" ca="1" si="0"/>
        <v>Software Architecture Patterns for Big Data</v>
      </c>
      <c r="B103" s="171" t="str">
        <f t="shared" ca="1" si="1"/>
        <v>CSCA 5018 - Software Architecture Patterns for Big Data</v>
      </c>
      <c r="C103" s="171">
        <f t="shared" ca="1" si="2"/>
        <v>0</v>
      </c>
      <c r="D103" s="172">
        <f t="shared" ca="1" si="3"/>
        <v>1</v>
      </c>
      <c r="E103" s="172">
        <v>23</v>
      </c>
      <c r="F103" s="172"/>
      <c r="G103" s="174" t="str">
        <f ca="1">IFERROR(__xludf.DUMMYFUNCTION("""COMPUTED_VALUE"""),"CSCA 5112 - Introduction to Generative AI")</f>
        <v>CSCA 5112 - Introduction to Generative AI</v>
      </c>
      <c r="H103" s="174" t="str">
        <f ca="1">IFERROR(__xludf.DUMMYFUNCTION("""COMPUTED_VALUE"""),"I am not a software engineer but had some familiarity with AI/ML going into the course. I enjoyed it and thought it was approachable as a non SWE. It still would have been better if we had some ways to apply what we learned since the knowledge you gain is"&amp;" mostly conceptual. Professor did a good job of making it broad without being too dense for an intro course. There were a few questions on the final that weren't covered in the course! The final is also now 43 questions, not 40. ")</f>
        <v xml:space="preserve">I am not a software engineer but had some familiarity with AI/ML going into the course. I enjoyed it and thought it was approachable as a non SWE. It still would have been better if we had some ways to apply what we learned since the knowledge you gain is mostly conceptual. Professor did a good job of making it broad without being too dense for an intro course. There were a few questions on the final that weren't covered in the course! The final is also now 43 questions, not 40. </v>
      </c>
      <c r="I103" s="172">
        <f ca="1">IFERROR(__xludf.DUMMYFUNCTION("""COMPUTED_VALUE"""),1)</f>
        <v>1</v>
      </c>
      <c r="J103" s="172">
        <f ca="1">IFERROR(__xludf.DUMMYFUNCTION("""COMPUTED_VALUE"""),25)</f>
        <v>25</v>
      </c>
      <c r="K103" s="172"/>
      <c r="L103" s="172"/>
      <c r="M103" s="172"/>
      <c r="N103" s="172"/>
      <c r="O103" s="172"/>
      <c r="P103" s="172"/>
      <c r="Q103" s="172"/>
      <c r="R103" s="172"/>
      <c r="S103" s="172"/>
      <c r="T103" s="172"/>
      <c r="U103" s="172"/>
      <c r="V103" s="172"/>
      <c r="W103" s="172"/>
      <c r="X103" s="172"/>
      <c r="Y103" s="172"/>
      <c r="Z103" s="172"/>
      <c r="AA103" s="172"/>
    </row>
    <row r="104" spans="1:27" ht="34">
      <c r="A104" s="170" t="str">
        <f t="shared" ca="1" si="0"/>
        <v>Applications of Software Architecture for Big Data</v>
      </c>
      <c r="B104" s="171" t="str">
        <f t="shared" ca="1" si="1"/>
        <v>CSCA 5028 - Applications of Software Architecture for Big Data</v>
      </c>
      <c r="C104" s="171" t="str">
        <f t="shared" ca="1" si="2"/>
        <v>The time you spend on this class will completely depend on your prior experience and the project you choose.</v>
      </c>
      <c r="D104" s="172">
        <f t="shared" ca="1" si="3"/>
        <v>1</v>
      </c>
      <c r="E104" s="172">
        <v>24</v>
      </c>
      <c r="F104" s="172"/>
      <c r="G104" s="174" t="str">
        <f ca="1">IFERROR(__xludf.DUMMYFUNCTION("""COMPUTED_VALUE"""),"CSCA 5312 - Basic Robotic Behaviors and Odometry")</f>
        <v>CSCA 5312 - Basic Robotic Behaviors and Odometry</v>
      </c>
      <c r="H104" s="174" t="str">
        <f ca="1">IFERROR(__xludf.DUMMYFUNCTION("""COMPUTED_VALUE"""),"I had no prior knowledge for robotics and felt like the guides were well set up for this class and I feel like the professor does well with a lot of examples getting environments set up.")</f>
        <v>I had no prior knowledge for robotics and felt like the guides were well set up for this class and I feel like the professor does well with a lot of examples getting environments set up.</v>
      </c>
      <c r="I104" s="172">
        <f ca="1">IFERROR(__xludf.DUMMYFUNCTION("""COMPUTED_VALUE"""),1)</f>
        <v>1</v>
      </c>
      <c r="J104" s="172">
        <f ca="1">IFERROR(__xludf.DUMMYFUNCTION("""COMPUTED_VALUE"""),31)</f>
        <v>31</v>
      </c>
      <c r="K104" s="172"/>
      <c r="L104" s="172"/>
      <c r="M104" s="172"/>
      <c r="N104" s="172"/>
      <c r="O104" s="172"/>
      <c r="P104" s="172"/>
      <c r="Q104" s="172"/>
      <c r="R104" s="172"/>
      <c r="S104" s="172"/>
      <c r="T104" s="172"/>
      <c r="U104" s="172"/>
      <c r="V104" s="172"/>
      <c r="W104" s="172"/>
      <c r="X104" s="172"/>
      <c r="Y104" s="172"/>
      <c r="Z104" s="172"/>
      <c r="AA104" s="172"/>
    </row>
    <row r="105" spans="1:27" ht="34">
      <c r="A105" s="170" t="str">
        <f t="shared" ca="1" si="0"/>
        <v>Network Systems Foundation</v>
      </c>
      <c r="B105" s="171" t="str">
        <f t="shared" ca="1" si="1"/>
        <v>CSCA 5063 - Network Systems Foundation</v>
      </c>
      <c r="C105" s="171" t="str">
        <f t="shared" ca="1" si="2"/>
        <v>Way too many 'youknow's in the course. Its very distracting and difficult to focus.</v>
      </c>
      <c r="D105" s="172">
        <f t="shared" ca="1" si="3"/>
        <v>1</v>
      </c>
      <c r="E105" s="172">
        <v>6</v>
      </c>
      <c r="F105" s="172"/>
      <c r="G105" s="174" t="str">
        <f ca="1">IFERROR(__xludf.DUMMYFUNCTION("""COMPUTED_VALUE"""),"CSCA 5312 - Basic Robotic Behaviors and Odometry")</f>
        <v>CSCA 5312 - Basic Robotic Behaviors and Odometry</v>
      </c>
      <c r="H105" s="174" t="str">
        <f ca="1">IFERROR(__xludf.DUMMYFUNCTION("""COMPUTED_VALUE"""),"This was a fun class.  Fairly easy but very hands on and practical.  I recommend you take the time to do the optional honors quizzes, it will help prepare for the final.")</f>
        <v>This was a fun class.  Fairly easy but very hands on and practical.  I recommend you take the time to do the optional honors quizzes, it will help prepare for the final.</v>
      </c>
      <c r="I105" s="172">
        <f ca="1">IFERROR(__xludf.DUMMYFUNCTION("""COMPUTED_VALUE"""),1)</f>
        <v>1</v>
      </c>
      <c r="J105" s="172">
        <f ca="1">IFERROR(__xludf.DUMMYFUNCTION("""COMPUTED_VALUE"""),31)</f>
        <v>31</v>
      </c>
      <c r="K105" s="172"/>
      <c r="L105" s="172"/>
      <c r="M105" s="172"/>
      <c r="N105" s="172"/>
      <c r="O105" s="172"/>
      <c r="P105" s="172"/>
      <c r="Q105" s="172"/>
      <c r="R105" s="172"/>
      <c r="S105" s="172"/>
      <c r="T105" s="172"/>
      <c r="U105" s="172"/>
      <c r="V105" s="172"/>
      <c r="W105" s="172"/>
      <c r="X105" s="172"/>
      <c r="Y105" s="172"/>
      <c r="Z105" s="172"/>
      <c r="AA105" s="172"/>
    </row>
    <row r="106" spans="1:27" ht="34">
      <c r="A106" s="170" t="str">
        <f t="shared" ca="1" si="0"/>
        <v>Advanced Data Structures, RSA and Quantum Algorithms</v>
      </c>
      <c r="B106" s="171" t="str">
        <f t="shared" ca="1" si="1"/>
        <v>CSCA 5454 - Advanced Data Structures, RSA and Quantum Algorithms</v>
      </c>
      <c r="C106" s="171" t="str">
        <f t="shared" ca="1" si="2"/>
        <v>Definitely the toughest out of the three algorithms courses. The concepts can take a while to wrap your head around -- as a result the labs are a little easier than previous courses so there is some reprieve there. The final exam is easily twice as long as the other courses but overall wasn't insanely difficult. The material can feel a bit disjointed -- there's no real connective thread between the RSA/Quantum material and the BTrees/Tries. As always, Dr. S is a fantastic professor and goes to great lengths to effectively communicate and explain these complicated topics</v>
      </c>
      <c r="D106" s="172">
        <f t="shared" ca="1" si="3"/>
        <v>1</v>
      </c>
      <c r="E106" s="172">
        <v>5</v>
      </c>
      <c r="F106" s="172"/>
      <c r="G106" s="174" t="str">
        <f ca="1">IFERROR(__xludf.DUMMYFUNCTION("""COMPUTED_VALUE"""),"CSCA 5332 - Robotic Mapping and Trajectory Generation")</f>
        <v>CSCA 5332 - Robotic Mapping and Trajectory Generation</v>
      </c>
      <c r="H106" s="174" t="str">
        <f ca="1">IFERROR(__xludf.DUMMYFUNCTION("""COMPUTED_VALUE"""),"Courses built of the previous so make sure you really get a good foundation from the previous course. Instructor still described things well but will take some self learning.")</f>
        <v>Courses built of the previous so make sure you really get a good foundation from the previous course. Instructor still described things well but will take some self learning.</v>
      </c>
      <c r="I106" s="172">
        <f ca="1">IFERROR(__xludf.DUMMYFUNCTION("""COMPUTED_VALUE"""),1)</f>
        <v>1</v>
      </c>
      <c r="J106" s="172">
        <f ca="1">IFERROR(__xludf.DUMMYFUNCTION("""COMPUTED_VALUE"""),32)</f>
        <v>32</v>
      </c>
      <c r="K106" s="172"/>
      <c r="L106" s="172"/>
      <c r="M106" s="172"/>
      <c r="N106" s="172"/>
      <c r="O106" s="172"/>
      <c r="P106" s="172"/>
      <c r="Q106" s="172"/>
      <c r="R106" s="172"/>
      <c r="S106" s="172"/>
      <c r="T106" s="172"/>
      <c r="U106" s="172"/>
      <c r="V106" s="172"/>
      <c r="W106" s="172"/>
      <c r="X106" s="172"/>
      <c r="Y106" s="172"/>
      <c r="Z106" s="172"/>
      <c r="AA106" s="172"/>
    </row>
    <row r="107" spans="1:27" ht="34">
      <c r="A107" s="170" t="str">
        <f t="shared" ca="1" si="0"/>
        <v>Fundamentals of Software Architecture for Big Data</v>
      </c>
      <c r="B107" s="171" t="str">
        <f t="shared" ca="1" si="1"/>
        <v>CSCA 5008 - Fundamentals of Software Architecture for Big Data</v>
      </c>
      <c r="C107" s="171" t="str">
        <f t="shared" ca="1" si="2"/>
        <v>Not a great course in all honesty. The lectures are often short videos about a high-level architectural topic and then a programming assignment that very loosely ties that topic in. If you have no programming experience you will be in over your head -- the course expects you are comfortable working in an existing project, debugging, and writing tests. If you do have development experience, the course doesn't really teach you anything new and you can finish most assignments (including the final) in under an hour</v>
      </c>
      <c r="D107" s="172">
        <f t="shared" ca="1" si="3"/>
        <v>1</v>
      </c>
      <c r="E107" s="172">
        <v>22</v>
      </c>
      <c r="F107" s="172"/>
      <c r="G107" s="174" t="str">
        <f ca="1">IFERROR(__xludf.DUMMYFUNCTION("""COMPUTED_VALUE"""),"CSCA 5342 - Robotic Path Planning and Task Execution")</f>
        <v>CSCA 5342 - Robotic Path Planning and Task Execution</v>
      </c>
      <c r="H107" s="174" t="str">
        <f ca="1">IFERROR(__xludf.DUMMYFUNCTION("""COMPUTED_VALUE"""),"Projects seemed to jump very high in scale of difficulty. Make sure you really didn't miss any of the previous projects and you really take the time to understand what's going on. Although the difficulty greatly increases, I still find the lectures very i"&amp;"nteresting and fun to learn.")</f>
        <v>Projects seemed to jump very high in scale of difficulty. Make sure you really didn't miss any of the previous projects and you really take the time to understand what's going on. Although the difficulty greatly increases, I still find the lectures very interesting and fun to learn.</v>
      </c>
      <c r="I107" s="172">
        <f ca="1">IFERROR(__xludf.DUMMYFUNCTION("""COMPUTED_VALUE"""),1)</f>
        <v>1</v>
      </c>
      <c r="J107" s="172">
        <f ca="1">IFERROR(__xludf.DUMMYFUNCTION("""COMPUTED_VALUE"""),33)</f>
        <v>33</v>
      </c>
      <c r="K107" s="172"/>
      <c r="L107" s="172"/>
      <c r="M107" s="172"/>
      <c r="N107" s="172"/>
      <c r="O107" s="172"/>
      <c r="P107" s="172"/>
      <c r="Q107" s="172"/>
      <c r="R107" s="172"/>
      <c r="S107" s="172"/>
      <c r="T107" s="172"/>
      <c r="U107" s="172"/>
      <c r="V107" s="172"/>
      <c r="W107" s="172"/>
      <c r="X107" s="172"/>
      <c r="Y107" s="172"/>
      <c r="Z107" s="172"/>
      <c r="AA107" s="172"/>
    </row>
    <row r="108" spans="1:27" ht="119">
      <c r="A108" s="170" t="str">
        <f t="shared" ca="1" si="0"/>
        <v>Modeling of Autonomous Systems</v>
      </c>
      <c r="B108" s="171" t="str">
        <f t="shared" ca="1" si="1"/>
        <v>CSCA 5834 - Modeling of Autonomous Systems</v>
      </c>
      <c r="C108" s="171">
        <f t="shared" ca="1" si="2"/>
        <v>0</v>
      </c>
      <c r="D108" s="172">
        <f t="shared" ca="1" si="3"/>
        <v>1</v>
      </c>
      <c r="E108" s="172">
        <v>12</v>
      </c>
      <c r="F108" s="172"/>
      <c r="G108" s="174" t="str">
        <f ca="1">IFERROR(__xludf.DUMMYFUNCTION("""COMPUTED_VALUE"""),"CSCA 5222 - Introduction to Computer Vision")</f>
        <v>CSCA 5222 - Introduction to Computer Vision</v>
      </c>
      <c r="H108" s="174" t="str">
        <f ca="1">IFERROR(__xludf.DUMMYFUNCTION("""COMPUTED_VALUE"""),"First, I HIGHLY recommend this course for anyone who needs a review in linear algebra, especially matrix operations.  The course is very math heavy, and examines hands on the math behind computer vision operations.  I suspect it will be very effective whe"&amp;"n taken in conjunction with the later courses.  I was one of the first through the course, and at this point it is still fairly buggy, with quite a few broken quiz questions in week 4 content especially.  This should be fixed shortly.  
Similar to Intro "&amp;"to Gen AI, the final is a combination of questions from earlier content. (With only two allowed attempts).  Because not every quiz or practice assignment will give you every question each time, it is possible that there will be some new questions you have"&amp;"n't seen before on the final.  But for the most part, if you've gotten an A on the practice assignments and weekly assignments, the final should be easy.")</f>
        <v>First, I HIGHLY recommend this course for anyone who needs a review in linear algebra, especially matrix operations.  The course is very math heavy, and examines hands on the math behind computer vision operations.  I suspect it will be very effective when taken in conjunction with the later courses.  I was one of the first through the course, and at this point it is still fairly buggy, with quite a few broken quiz questions in week 4 content especially.  This should be fixed shortly.  
Similar to Intro to Gen AI, the final is a combination of questions from earlier content. (With only two allowed attempts).  Because not every quiz or practice assignment will give you every question each time, it is possible that there will be some new questions you haven't seen before on the final.  But for the most part, if you've gotten an A on the practice assignments and weekly assignments, the final should be easy.</v>
      </c>
      <c r="I108" s="172">
        <f ca="1">IFERROR(__xludf.DUMMYFUNCTION("""COMPUTED_VALUE"""),1)</f>
        <v>1</v>
      </c>
      <c r="J108" s="172">
        <f ca="1">IFERROR(__xludf.DUMMYFUNCTION("""COMPUTED_VALUE"""),40)</f>
        <v>40</v>
      </c>
      <c r="K108" s="172"/>
      <c r="L108" s="172"/>
      <c r="M108" s="172"/>
      <c r="N108" s="172"/>
      <c r="O108" s="172"/>
      <c r="P108" s="172"/>
      <c r="Q108" s="172"/>
      <c r="R108" s="172"/>
      <c r="S108" s="172"/>
      <c r="T108" s="172"/>
      <c r="U108" s="172"/>
      <c r="V108" s="172"/>
      <c r="W108" s="172"/>
      <c r="X108" s="172"/>
      <c r="Y108" s="172"/>
      <c r="Z108" s="172"/>
      <c r="AA108" s="172"/>
    </row>
    <row r="109" spans="1:27" ht="34">
      <c r="A109" s="170" t="str">
        <f t="shared" ca="1" si="0"/>
        <v>Advanced Data Structures, RSA and Quantum Algorithms</v>
      </c>
      <c r="B109" s="171" t="str">
        <f t="shared" ca="1" si="1"/>
        <v>CSCA 5454 - Advanced Data Structures, RSA and Quantum Algorithms</v>
      </c>
      <c r="C109" s="171">
        <f t="shared" ca="1" si="2"/>
        <v>0</v>
      </c>
      <c r="D109" s="172">
        <f t="shared" ca="1" si="3"/>
        <v>1</v>
      </c>
      <c r="E109" s="172">
        <v>5</v>
      </c>
      <c r="F109" s="172"/>
      <c r="G109" s="174" t="str">
        <f ca="1">IFERROR(__xludf.DUMMYFUNCTION("""COMPUTED_VALUE"""),"CSCA 5234 - Ethical Issues in Computing Applications")</f>
        <v>CSCA 5234 - Ethical Issues in Computing Applications</v>
      </c>
      <c r="H109" s="174"/>
      <c r="I109" s="172">
        <f ca="1">IFERROR(__xludf.DUMMYFUNCTION("""COMPUTED_VALUE"""),0)</f>
        <v>0</v>
      </c>
      <c r="J109" s="172"/>
      <c r="K109" s="172"/>
      <c r="L109" s="172"/>
      <c r="M109" s="172"/>
      <c r="N109" s="172"/>
      <c r="O109" s="172"/>
      <c r="P109" s="172"/>
      <c r="Q109" s="172"/>
      <c r="R109" s="172"/>
      <c r="S109" s="172"/>
      <c r="T109" s="172"/>
      <c r="U109" s="172"/>
      <c r="V109" s="172"/>
      <c r="W109" s="172"/>
      <c r="X109" s="172"/>
      <c r="Y109" s="172"/>
      <c r="Z109" s="172"/>
      <c r="AA109" s="172"/>
    </row>
    <row r="110" spans="1:27" ht="34">
      <c r="A110" s="170" t="str">
        <f t="shared" ca="1" si="0"/>
        <v>Introduction to Generative AI</v>
      </c>
      <c r="B110" s="171" t="str">
        <f t="shared" ca="1" si="1"/>
        <v>CSCA 5112 - Introduction to Generative AI</v>
      </c>
      <c r="C110" s="171" t="str">
        <f t="shared" ca="1" si="2"/>
        <v>It would help to have some basic understanding of discrete math. Overall this was a very short very interesting course.  I wouldn't want a ton more in terms of topics, but I felt like there was a bit missing.  Overall the instructor does a great job of breaking down a difficult topic into easy to understand explanations and diagrams.</v>
      </c>
      <c r="D110" s="172">
        <f t="shared" ca="1" si="3"/>
        <v>1</v>
      </c>
      <c r="E110" s="172">
        <v>25</v>
      </c>
      <c r="F110" s="172"/>
      <c r="G110" s="174" t="str">
        <f ca="1">IFERROR(__xludf.DUMMYFUNCTION("""COMPUTED_VALUE"""),"CSCA 5234 - Ethical Issues in Computing Applications")</f>
        <v>CSCA 5234 - Ethical Issues in Computing Applications</v>
      </c>
      <c r="H110" s="174"/>
      <c r="I110" s="172">
        <f ca="1">IFERROR(__xludf.DUMMYFUNCTION("""COMPUTED_VALUE"""),0)</f>
        <v>0</v>
      </c>
      <c r="J110" s="172"/>
      <c r="K110" s="172"/>
      <c r="L110" s="172"/>
      <c r="M110" s="172"/>
      <c r="N110" s="172"/>
      <c r="O110" s="172"/>
      <c r="P110" s="172"/>
      <c r="Q110" s="172"/>
      <c r="R110" s="172"/>
      <c r="S110" s="172"/>
      <c r="T110" s="172"/>
      <c r="U110" s="172"/>
      <c r="V110" s="172"/>
      <c r="W110" s="172"/>
      <c r="X110" s="172"/>
      <c r="Y110" s="172"/>
      <c r="Z110" s="172"/>
      <c r="AA110" s="172"/>
    </row>
    <row r="111" spans="1:27" ht="34">
      <c r="A111" s="170" t="str">
        <f t="shared" ca="1" si="0"/>
        <v>Advanced Data Structures, RSA and Quantum Algorithms</v>
      </c>
      <c r="B111" s="171" t="str">
        <f t="shared" ca="1" si="1"/>
        <v>CSCA 5454 - Advanced Data Structures, RSA and Quantum Algorithms</v>
      </c>
      <c r="C111" s="171" t="str">
        <f t="shared" ca="1" si="2"/>
        <v>The quantum computing section was pretty difficult to wrap my head around.  The biggest piece of advice I'd give is to not wait to fully understand the quantum computing stuff before starting in on the programming assignments.  I felt way underwater going into them but they are a lot less difficult than I expected.</v>
      </c>
      <c r="D111" s="172">
        <f t="shared" ca="1" si="3"/>
        <v>1</v>
      </c>
      <c r="E111" s="172">
        <v>5</v>
      </c>
      <c r="F111" s="172"/>
      <c r="G111" s="174" t="str">
        <f ca="1">IFERROR(__xludf.DUMMYFUNCTION("""COMPUTED_VALUE"""),"CSCA 5234 - Ethical Issues in Computing Applications")</f>
        <v>CSCA 5234 - Ethical Issues in Computing Applications</v>
      </c>
      <c r="H111" s="174"/>
      <c r="I111" s="172">
        <f ca="1">IFERROR(__xludf.DUMMYFUNCTION("""COMPUTED_VALUE"""),0)</f>
        <v>0</v>
      </c>
      <c r="J111" s="172"/>
      <c r="K111" s="172"/>
      <c r="L111" s="172"/>
      <c r="M111" s="172"/>
      <c r="N111" s="172"/>
      <c r="O111" s="172"/>
      <c r="P111" s="172"/>
      <c r="Q111" s="172"/>
      <c r="R111" s="172"/>
      <c r="S111" s="172"/>
      <c r="T111" s="172"/>
      <c r="U111" s="172"/>
      <c r="V111" s="172"/>
      <c r="W111" s="172"/>
      <c r="X111" s="172"/>
      <c r="Y111" s="172"/>
      <c r="Z111" s="172"/>
      <c r="AA111" s="172"/>
    </row>
    <row r="112" spans="1:27" ht="34">
      <c r="A112" s="170" t="str">
        <f t="shared" ca="1" si="0"/>
        <v>Dynamic Programming, Greedy Algorithms</v>
      </c>
      <c r="B112" s="171" t="str">
        <f t="shared" ca="1" si="1"/>
        <v>CSCA 5414 - Dynamic Programming, Greedy Algorithms</v>
      </c>
      <c r="C112" s="171" t="str">
        <f t="shared" ca="1" si="2"/>
        <v xml:space="preserve">The course is hard for people haven't take any data structure course before. Even if I took the previous two courses in this specialization, I found it really hard. </v>
      </c>
      <c r="D112" s="172">
        <f t="shared" ca="1" si="3"/>
        <v>1</v>
      </c>
      <c r="E112" s="172">
        <v>3</v>
      </c>
      <c r="F112" s="172"/>
      <c r="G112" s="174" t="str">
        <f ca="1">IFERROR(__xludf.DUMMYFUNCTION("""COMPUTED_VALUE"""),"CSCA 5234 - Ethical Issues in Computing Applications")</f>
        <v>CSCA 5234 - Ethical Issues in Computing Applications</v>
      </c>
      <c r="H112" s="174"/>
      <c r="I112" s="172">
        <f ca="1">IFERROR(__xludf.DUMMYFUNCTION("""COMPUTED_VALUE"""),0)</f>
        <v>0</v>
      </c>
      <c r="J112" s="172"/>
      <c r="K112" s="172"/>
      <c r="L112" s="172"/>
      <c r="M112" s="172"/>
      <c r="N112" s="172"/>
      <c r="O112" s="172"/>
      <c r="P112" s="172"/>
      <c r="Q112" s="172"/>
      <c r="R112" s="172"/>
      <c r="S112" s="172"/>
      <c r="T112" s="172"/>
      <c r="U112" s="172"/>
      <c r="V112" s="172"/>
      <c r="W112" s="172"/>
      <c r="X112" s="172"/>
      <c r="Y112" s="172"/>
      <c r="Z112" s="172"/>
      <c r="AA112" s="172"/>
    </row>
    <row r="113" spans="1:27" ht="34">
      <c r="A113" s="170" t="str">
        <f t="shared" ca="1" si="0"/>
        <v>Dynamic Programming, Greedy Algorithms</v>
      </c>
      <c r="B113" s="171" t="str">
        <f t="shared" ca="1" si="1"/>
        <v>CSCA 5414 - Dynamic Programming, Greedy Algorithms</v>
      </c>
      <c r="C113" s="171">
        <f t="shared" ca="1" si="2"/>
        <v>0</v>
      </c>
      <c r="D113" s="172">
        <f t="shared" ca="1" si="3"/>
        <v>1</v>
      </c>
      <c r="E113" s="172">
        <v>3</v>
      </c>
      <c r="F113" s="172"/>
      <c r="G113" s="174" t="str">
        <f ca="1">IFERROR(__xludf.DUMMYFUNCTION("""COMPUTED_VALUE"""),"CSCA 5414 - Dynamic Programming, Greedy Algorithms")</f>
        <v>CSCA 5414 - Dynamic Programming, Greedy Algorithms</v>
      </c>
      <c r="H113" s="174"/>
      <c r="I113" s="172">
        <f ca="1">IFERROR(__xludf.DUMMYFUNCTION("""COMPUTED_VALUE"""),0)</f>
        <v>0</v>
      </c>
      <c r="J113" s="172">
        <f ca="1">IFERROR(__xludf.DUMMYFUNCTION("""COMPUTED_VALUE"""),3)</f>
        <v>3</v>
      </c>
      <c r="K113" s="172"/>
      <c r="L113" s="172"/>
      <c r="M113" s="172"/>
      <c r="N113" s="172"/>
      <c r="O113" s="172"/>
      <c r="P113" s="172"/>
      <c r="Q113" s="172"/>
      <c r="R113" s="172"/>
      <c r="S113" s="172"/>
      <c r="T113" s="172"/>
      <c r="U113" s="172"/>
      <c r="V113" s="172"/>
      <c r="W113" s="172"/>
      <c r="X113" s="172"/>
      <c r="Y113" s="172"/>
      <c r="Z113" s="172"/>
      <c r="AA113" s="172"/>
    </row>
    <row r="114" spans="1:27" ht="34">
      <c r="A114" s="170" t="str">
        <f t="shared" ca="1" si="0"/>
        <v>Approximation Algorithms and Linear Programming</v>
      </c>
      <c r="B114" s="171" t="str">
        <f t="shared" ca="1" si="1"/>
        <v>CSCA 5424 - Approximation Algorithms and Linear Programming</v>
      </c>
      <c r="C114" s="171">
        <f t="shared" ca="1" si="2"/>
        <v>0</v>
      </c>
      <c r="D114" s="172">
        <f t="shared" ca="1" si="3"/>
        <v>1</v>
      </c>
      <c r="E114" s="172">
        <v>4</v>
      </c>
      <c r="F114" s="172"/>
      <c r="G114" s="174" t="str">
        <f ca="1">IFERROR(__xludf.DUMMYFUNCTION("""COMPUTED_VALUE"""),"CSCA 5414 - Dynamic Programming, Greedy Algorithms")</f>
        <v>CSCA 5414 - Dynamic Programming, Greedy Algorithms</v>
      </c>
      <c r="H114" s="174"/>
      <c r="I114" s="172">
        <f ca="1">IFERROR(__xludf.DUMMYFUNCTION("""COMPUTED_VALUE"""),0)</f>
        <v>0</v>
      </c>
      <c r="J114" s="172">
        <f ca="1">IFERROR(__xludf.DUMMYFUNCTION("""COMPUTED_VALUE"""),3)</f>
        <v>3</v>
      </c>
      <c r="K114" s="172"/>
      <c r="L114" s="172"/>
      <c r="M114" s="172"/>
      <c r="N114" s="172"/>
      <c r="O114" s="172"/>
      <c r="P114" s="172"/>
      <c r="Q114" s="172"/>
      <c r="R114" s="172"/>
      <c r="S114" s="172"/>
      <c r="T114" s="172"/>
      <c r="U114" s="172"/>
      <c r="V114" s="172"/>
      <c r="W114" s="172"/>
      <c r="X114" s="172"/>
      <c r="Y114" s="172"/>
      <c r="Z114" s="172"/>
      <c r="AA114" s="172"/>
    </row>
    <row r="115" spans="1:27" ht="34">
      <c r="A115" s="170" t="str">
        <f t="shared" ca="1" si="0"/>
        <v>Advanced Data Structures, RSA and Quantum Algorithms</v>
      </c>
      <c r="B115" s="171" t="str">
        <f t="shared" ca="1" si="1"/>
        <v>CSCA 5454 - Advanced Data Structures, RSA and Quantum Algorithms</v>
      </c>
      <c r="C115" s="171">
        <f t="shared" ca="1" si="2"/>
        <v>0</v>
      </c>
      <c r="D115" s="172">
        <f t="shared" ca="1" si="3"/>
        <v>1</v>
      </c>
      <c r="E115" s="172">
        <v>5</v>
      </c>
      <c r="F115" s="172"/>
      <c r="G115" s="174" t="str">
        <f ca="1">IFERROR(__xludf.DUMMYFUNCTION("""COMPUTED_VALUE"""),"CSCA 5414 - Dynamic Programming, Greedy Algorithms")</f>
        <v>CSCA 5414 - Dynamic Programming, Greedy Algorithms</v>
      </c>
      <c r="H115" s="174"/>
      <c r="I115" s="172">
        <f ca="1">IFERROR(__xludf.DUMMYFUNCTION("""COMPUTED_VALUE"""),0)</f>
        <v>0</v>
      </c>
      <c r="J115" s="172">
        <f ca="1">IFERROR(__xludf.DUMMYFUNCTION("""COMPUTED_VALUE"""),3)</f>
        <v>3</v>
      </c>
      <c r="K115" s="172"/>
      <c r="L115" s="172"/>
      <c r="M115" s="172"/>
      <c r="N115" s="172"/>
      <c r="O115" s="172"/>
      <c r="P115" s="172"/>
      <c r="Q115" s="172"/>
      <c r="R115" s="172"/>
      <c r="S115" s="172"/>
      <c r="T115" s="172"/>
      <c r="U115" s="172"/>
      <c r="V115" s="172"/>
      <c r="W115" s="172"/>
      <c r="X115" s="172"/>
      <c r="Y115" s="172"/>
      <c r="Z115" s="172"/>
      <c r="AA115" s="172"/>
    </row>
    <row r="116" spans="1:27" ht="34">
      <c r="A116" s="170" t="str">
        <f t="shared" ca="1" si="0"/>
        <v>Advanced Data Structures, RSA and Quantum Algorithms</v>
      </c>
      <c r="B116" s="171" t="str">
        <f t="shared" ca="1" si="1"/>
        <v>CSCA 5454 - Advanced Data Structures, RSA and Quantum Algorithms</v>
      </c>
      <c r="C116" s="171" t="str">
        <f t="shared" ca="1" si="2"/>
        <v xml:space="preserve">1. Prof S teaches all number theory required for the course. 2. Assignments are challenging but doable with what you learn. 3. Pay close attention to lectures and labs </v>
      </c>
      <c r="D116" s="172">
        <f t="shared" ca="1" si="3"/>
        <v>1</v>
      </c>
      <c r="E116" s="172">
        <v>5</v>
      </c>
      <c r="F116" s="172"/>
      <c r="G116" s="174" t="str">
        <f ca="1">IFERROR(__xludf.DUMMYFUNCTION("""COMPUTED_VALUE"""),"CSCA 5414 - Dynamic Programming, Greedy Algorithms")</f>
        <v>CSCA 5414 - Dynamic Programming, Greedy Algorithms</v>
      </c>
      <c r="H116" s="174"/>
      <c r="I116" s="172">
        <f ca="1">IFERROR(__xludf.DUMMYFUNCTION("""COMPUTED_VALUE"""),0)</f>
        <v>0</v>
      </c>
      <c r="J116" s="172">
        <f ca="1">IFERROR(__xludf.DUMMYFUNCTION("""COMPUTED_VALUE"""),3)</f>
        <v>3</v>
      </c>
      <c r="K116" s="172"/>
      <c r="L116" s="172"/>
      <c r="M116" s="172"/>
      <c r="N116" s="172"/>
      <c r="O116" s="172"/>
      <c r="P116" s="172"/>
      <c r="Q116" s="172"/>
      <c r="R116" s="172"/>
      <c r="S116" s="172"/>
      <c r="T116" s="172"/>
      <c r="U116" s="172"/>
      <c r="V116" s="172"/>
      <c r="W116" s="172"/>
      <c r="X116" s="172"/>
      <c r="Y116" s="172"/>
      <c r="Z116" s="172"/>
      <c r="AA116" s="172"/>
    </row>
    <row r="117" spans="1:27" ht="34">
      <c r="A117" s="170" t="str">
        <f t="shared" ca="1" si="0"/>
        <v>Network Principles in Practice: Linux Networking</v>
      </c>
      <c r="B117" s="171" t="str">
        <f t="shared" ca="1" si="1"/>
        <v>CSCA 5073 - Network Principles in Practice: Linux Networking</v>
      </c>
      <c r="C117" s="171" t="str">
        <f t="shared" ca="1" si="2"/>
        <v>The labs are pretty easy and fun.  Ironically it is way easier to set them up on a windows system than Linux.</v>
      </c>
      <c r="D117" s="172">
        <f t="shared" ca="1" si="3"/>
        <v>1</v>
      </c>
      <c r="E117" s="172">
        <v>7</v>
      </c>
      <c r="F117" s="172"/>
      <c r="G117" s="174" t="str">
        <f ca="1">IFERROR(__xludf.DUMMYFUNCTION("""COMPUTED_VALUE"""),"CSCA 5414 - Dynamic Programming, Greedy Algorithms")</f>
        <v>CSCA 5414 - Dynamic Programming, Greedy Algorithms</v>
      </c>
      <c r="H117" s="174"/>
      <c r="I117" s="172">
        <f ca="1">IFERROR(__xludf.DUMMYFUNCTION("""COMPUTED_VALUE"""),0)</f>
        <v>0</v>
      </c>
      <c r="J117" s="172">
        <f ca="1">IFERROR(__xludf.DUMMYFUNCTION("""COMPUTED_VALUE"""),3)</f>
        <v>3</v>
      </c>
      <c r="K117" s="172"/>
      <c r="L117" s="172"/>
      <c r="M117" s="172"/>
      <c r="N117" s="172"/>
      <c r="O117" s="172"/>
      <c r="P117" s="172"/>
      <c r="Q117" s="172"/>
      <c r="R117" s="172"/>
      <c r="S117" s="172"/>
      <c r="T117" s="172"/>
      <c r="U117" s="172"/>
      <c r="V117" s="172"/>
      <c r="W117" s="172"/>
      <c r="X117" s="172"/>
      <c r="Y117" s="172"/>
      <c r="Z117" s="172"/>
      <c r="AA117" s="172"/>
    </row>
    <row r="118" spans="1:27" ht="34">
      <c r="A118" s="170" t="str">
        <f t="shared" ca="1" si="0"/>
        <v>Software Architecture Patterns for Big Data</v>
      </c>
      <c r="B118" s="171" t="str">
        <f t="shared" ca="1" si="1"/>
        <v>CSCA 5018 - Software Architecture Patterns for Big Data</v>
      </c>
      <c r="C118" s="171" t="str">
        <f t="shared" ca="1" si="2"/>
        <v>I believe this course and potentially the entire Big Data specialization could benefit from an update maybe recreate the courses from scratch again</v>
      </c>
      <c r="D118" s="172">
        <f t="shared" ca="1" si="3"/>
        <v>1</v>
      </c>
      <c r="E118" s="172">
        <v>23</v>
      </c>
      <c r="F118" s="172"/>
      <c r="G118" s="174" t="str">
        <f ca="1">IFERROR(__xludf.DUMMYFUNCTION("""COMPUTED_VALUE"""),"CSCA 5414 - Dynamic Programming, Greedy Algorithms")</f>
        <v>CSCA 5414 - Dynamic Programming, Greedy Algorithms</v>
      </c>
      <c r="H118" s="174"/>
      <c r="I118" s="172">
        <f ca="1">IFERROR(__xludf.DUMMYFUNCTION("""COMPUTED_VALUE"""),0)</f>
        <v>0</v>
      </c>
      <c r="J118" s="172">
        <f ca="1">IFERROR(__xludf.DUMMYFUNCTION("""COMPUTED_VALUE"""),3)</f>
        <v>3</v>
      </c>
      <c r="K118" s="172"/>
      <c r="L118" s="172"/>
      <c r="M118" s="172"/>
      <c r="N118" s="172"/>
      <c r="O118" s="172"/>
      <c r="P118" s="172"/>
      <c r="Q118" s="172"/>
      <c r="R118" s="172"/>
      <c r="S118" s="172"/>
      <c r="T118" s="172"/>
      <c r="U118" s="172"/>
      <c r="V118" s="172"/>
      <c r="W118" s="172"/>
      <c r="X118" s="172"/>
      <c r="Y118" s="172"/>
      <c r="Z118" s="172"/>
      <c r="AA118" s="172"/>
    </row>
    <row r="119" spans="1:27" ht="34">
      <c r="A119" s="170" t="str">
        <f t="shared" ca="1" si="0"/>
        <v>Applications of Software Architecture for Big Data</v>
      </c>
      <c r="B119" s="171" t="str">
        <f t="shared" ca="1" si="1"/>
        <v>CSCA 5028 - Applications of Software Architecture for Big Data</v>
      </c>
      <c r="C119" s="171" t="str">
        <f t="shared" ca="1" si="2"/>
        <v>You should have skills in the programming language of choice (likely Java,Kotlin,Python, JavaScript, or perhaps Go), having developed some project in this language before will help.
Assignments &amp; exams are basic, but the final project is the most important and although the rubric is not comprehensive, you should aim to fulfill everything the facilitators require.
Try to finish the project before enrolling for-credit, just in case (you can finish it fast though).</v>
      </c>
      <c r="D119" s="172">
        <f t="shared" ca="1" si="3"/>
        <v>1</v>
      </c>
      <c r="E119" s="172">
        <v>24</v>
      </c>
      <c r="F119" s="172"/>
      <c r="G119" s="174" t="str">
        <f ca="1">IFERROR(__xludf.DUMMYFUNCTION("""COMPUTED_VALUE"""),"CSCA 5414 - Dynamic Programming, Greedy Algorithms")</f>
        <v>CSCA 5414 - Dynamic Programming, Greedy Algorithms</v>
      </c>
      <c r="H119" s="174"/>
      <c r="I119" s="172">
        <f ca="1">IFERROR(__xludf.DUMMYFUNCTION("""COMPUTED_VALUE"""),0)</f>
        <v>0</v>
      </c>
      <c r="J119" s="172">
        <f ca="1">IFERROR(__xludf.DUMMYFUNCTION("""COMPUTED_VALUE"""),3)</f>
        <v>3</v>
      </c>
      <c r="K119" s="172"/>
      <c r="L119" s="172"/>
      <c r="M119" s="172"/>
      <c r="N119" s="172"/>
      <c r="O119" s="172"/>
      <c r="P119" s="172"/>
      <c r="Q119" s="172"/>
      <c r="R119" s="172"/>
      <c r="S119" s="172"/>
      <c r="T119" s="172"/>
      <c r="U119" s="172"/>
      <c r="V119" s="172"/>
      <c r="W119" s="172"/>
      <c r="X119" s="172"/>
      <c r="Y119" s="172"/>
      <c r="Z119" s="172"/>
      <c r="AA119" s="172"/>
    </row>
    <row r="120" spans="1:27" ht="34">
      <c r="A120" s="170" t="str">
        <f t="shared" ca="1" si="0"/>
        <v>Software Architecture Patterns for Big Data</v>
      </c>
      <c r="B120" s="171" t="str">
        <f t="shared" ca="1" si="1"/>
        <v>CSCA 5018 - Software Architecture Patterns for Big Data</v>
      </c>
      <c r="C120" s="171" t="str">
        <f t="shared" ca="1" si="2"/>
        <v>Good idea is to do the first course, other than that the course is not hard and is interesting - taught me fun things I had not known before
Easy assignments - make sure to use an IDE if not on Mac</v>
      </c>
      <c r="D120" s="172">
        <f t="shared" ca="1" si="3"/>
        <v>1</v>
      </c>
      <c r="E120" s="172">
        <v>23</v>
      </c>
      <c r="F120" s="172"/>
      <c r="G120" s="174" t="str">
        <f ca="1">IFERROR(__xludf.DUMMYFUNCTION("""COMPUTED_VALUE"""),"CSCA 5414 - Dynamic Programming, Greedy Algorithms")</f>
        <v>CSCA 5414 - Dynamic Programming, Greedy Algorithms</v>
      </c>
      <c r="H120" s="174"/>
      <c r="I120" s="172">
        <f ca="1">IFERROR(__xludf.DUMMYFUNCTION("""COMPUTED_VALUE"""),0)</f>
        <v>0</v>
      </c>
      <c r="J120" s="172">
        <f ca="1">IFERROR(__xludf.DUMMYFUNCTION("""COMPUTED_VALUE"""),3)</f>
        <v>3</v>
      </c>
      <c r="K120" s="172"/>
      <c r="L120" s="172"/>
      <c r="M120" s="172"/>
      <c r="N120" s="172"/>
      <c r="O120" s="172"/>
      <c r="P120" s="172"/>
      <c r="Q120" s="172"/>
      <c r="R120" s="172"/>
      <c r="S120" s="172"/>
      <c r="T120" s="172"/>
      <c r="U120" s="172"/>
      <c r="V120" s="172"/>
      <c r="W120" s="172"/>
      <c r="X120" s="172"/>
      <c r="Y120" s="172"/>
      <c r="Z120" s="172"/>
      <c r="AA120" s="172"/>
    </row>
    <row r="121" spans="1:27" ht="34">
      <c r="A121" s="170" t="str">
        <f t="shared" ca="1" si="0"/>
        <v>Fundamentals of Software Architecture for Big Data</v>
      </c>
      <c r="B121" s="171" t="str">
        <f t="shared" ca="1" si="1"/>
        <v>CSCA 5008 - Fundamentals of Software Architecture for Big Data</v>
      </c>
      <c r="C121" s="171" t="str">
        <f t="shared" ca="1" si="2"/>
        <v>Some experience with reading someone else's code and changing it, also using an IDE
Assignments are not hard, but harder than the next course - there are times when you need to understand what is going on and it feels good once you get everything
Tips : you may be overwhelmed if you have not done sth like this before, or if it's hard to set up the environment, but keep going, it gets comfortable</v>
      </c>
      <c r="D121" s="172">
        <f t="shared" ca="1" si="3"/>
        <v>1</v>
      </c>
      <c r="E121" s="172">
        <v>22</v>
      </c>
      <c r="F121" s="172"/>
      <c r="G121" s="174" t="str">
        <f ca="1">IFERROR(__xludf.DUMMYFUNCTION("""COMPUTED_VALUE"""),"CSCA 5424 - Approximation Algorithms and Linear Programming")</f>
        <v>CSCA 5424 - Approximation Algorithms and Linear Programming</v>
      </c>
      <c r="H121" s="174"/>
      <c r="I121" s="172">
        <f ca="1">IFERROR(__xludf.DUMMYFUNCTION("""COMPUTED_VALUE"""),0)</f>
        <v>0</v>
      </c>
      <c r="J121" s="172">
        <f ca="1">IFERROR(__xludf.DUMMYFUNCTION("""COMPUTED_VALUE"""),4)</f>
        <v>4</v>
      </c>
      <c r="K121" s="172"/>
      <c r="L121" s="172"/>
      <c r="M121" s="172"/>
      <c r="N121" s="172"/>
      <c r="O121" s="172"/>
      <c r="P121" s="172"/>
      <c r="Q121" s="172"/>
      <c r="R121" s="172"/>
      <c r="S121" s="172"/>
      <c r="T121" s="172"/>
      <c r="U121" s="172"/>
      <c r="V121" s="172"/>
      <c r="W121" s="172"/>
      <c r="X121" s="172"/>
      <c r="Y121" s="172"/>
      <c r="Z121" s="172"/>
      <c r="AA121" s="172"/>
    </row>
    <row r="122" spans="1:27" ht="34">
      <c r="A122" s="170" t="str">
        <f t="shared" ca="1" si="0"/>
        <v>Computing, Ethics, and Society Foundations</v>
      </c>
      <c r="B122" s="171" t="str">
        <f t="shared" ca="1" si="1"/>
        <v>CSCA 5214 - Computing, Ethics, and Society Foundations</v>
      </c>
      <c r="C122" s="171" t="str">
        <f t="shared" ca="1" si="2"/>
        <v xml:space="preserve">No prior knowledge needed, just critical thinking and research skills. Assignments are pretty repetitive + easy, just make sure to hit all of parts of the questions they ask, as all of them will appear on the rubric for most assignments. </v>
      </c>
      <c r="D122" s="172">
        <f t="shared" ca="1" si="3"/>
        <v>1</v>
      </c>
      <c r="E122" s="172">
        <v>15</v>
      </c>
      <c r="F122" s="172"/>
      <c r="G122" s="174" t="str">
        <f ca="1">IFERROR(__xludf.DUMMYFUNCTION("""COMPUTED_VALUE"""),"CSCA 5424 - Approximation Algorithms and Linear Programming")</f>
        <v>CSCA 5424 - Approximation Algorithms and Linear Programming</v>
      </c>
      <c r="H122" s="174"/>
      <c r="I122" s="172">
        <f ca="1">IFERROR(__xludf.DUMMYFUNCTION("""COMPUTED_VALUE"""),0)</f>
        <v>0</v>
      </c>
      <c r="J122" s="172">
        <f ca="1">IFERROR(__xludf.DUMMYFUNCTION("""COMPUTED_VALUE"""),4)</f>
        <v>4</v>
      </c>
      <c r="K122" s="172"/>
      <c r="L122" s="172"/>
      <c r="M122" s="172"/>
      <c r="N122" s="172"/>
      <c r="O122" s="172"/>
      <c r="P122" s="172"/>
      <c r="Q122" s="172"/>
      <c r="R122" s="172"/>
      <c r="S122" s="172"/>
      <c r="T122" s="172"/>
      <c r="U122" s="172"/>
      <c r="V122" s="172"/>
      <c r="W122" s="172"/>
      <c r="X122" s="172"/>
      <c r="Y122" s="172"/>
      <c r="Z122" s="172"/>
      <c r="AA122" s="172"/>
    </row>
    <row r="123" spans="1:27" ht="34">
      <c r="A123" s="170" t="str">
        <f t="shared" ca="1" si="0"/>
        <v>Fundamentals of Software Architecture for Big Data</v>
      </c>
      <c r="B123" s="171" t="str">
        <f t="shared" ca="1" si="1"/>
        <v>CSCA 5008 - Fundamentals of Software Architecture for Big Data</v>
      </c>
      <c r="C123" s="171" t="str">
        <f t="shared" ca="1" si="2"/>
        <v>Some hands-on programming experience is helpful, especially Java(but not required). The assignments are designed for Mac so having a Mac saves you a lot of trouble setting up the environment. It's also doable with windows WSL, but there are hoops to jump through.
Definitely utilize the search function in your IDE a lot, and search/ask on slack when you encounter issues. Chances are they might have already been answered before</v>
      </c>
      <c r="D123" s="172">
        <f t="shared" ca="1" si="3"/>
        <v>1</v>
      </c>
      <c r="E123" s="172">
        <v>22</v>
      </c>
      <c r="F123" s="172"/>
      <c r="G123" s="174" t="str">
        <f ca="1">IFERROR(__xludf.DUMMYFUNCTION("""COMPUTED_VALUE"""),"CSCA 5424 - Approximation Algorithms and Linear Programming")</f>
        <v>CSCA 5424 - Approximation Algorithms and Linear Programming</v>
      </c>
      <c r="H123" s="174"/>
      <c r="I123" s="172">
        <f ca="1">IFERROR(__xludf.DUMMYFUNCTION("""COMPUTED_VALUE"""),0)</f>
        <v>0</v>
      </c>
      <c r="J123" s="172">
        <f ca="1">IFERROR(__xludf.DUMMYFUNCTION("""COMPUTED_VALUE"""),4)</f>
        <v>4</v>
      </c>
      <c r="K123" s="172"/>
      <c r="L123" s="172"/>
      <c r="M123" s="172"/>
      <c r="N123" s="172"/>
      <c r="O123" s="172"/>
      <c r="P123" s="172"/>
      <c r="Q123" s="172"/>
      <c r="R123" s="172"/>
      <c r="S123" s="172"/>
      <c r="T123" s="172"/>
      <c r="U123" s="172"/>
      <c r="V123" s="172"/>
      <c r="W123" s="172"/>
      <c r="X123" s="172"/>
      <c r="Y123" s="172"/>
      <c r="Z123" s="172"/>
      <c r="AA123" s="172"/>
    </row>
    <row r="124" spans="1:27" ht="34">
      <c r="A124" s="170" t="str">
        <f t="shared" ca="1" si="0"/>
        <v>Data Mining Pipeline</v>
      </c>
      <c r="B124" s="171" t="str">
        <f t="shared" ca="1" si="1"/>
        <v>CSCA 5502 - Data Mining Pipeline</v>
      </c>
      <c r="C124" s="171" t="str">
        <f t="shared" ca="1" si="2"/>
        <v>The course is very informative, especially if you have never seen a data pipeline before. The homeworks were very easy and I spent about 20 min on the final with about 20-30min on the ProctorU process. 
Where the meat in this course is just understanding the first three phases of the data pipeline. It’s more introductory while it seems the second class is where all the juice is.</v>
      </c>
      <c r="D124" s="172">
        <f t="shared" ca="1" si="3"/>
        <v>1</v>
      </c>
      <c r="E124" s="172">
        <v>19</v>
      </c>
      <c r="F124" s="172"/>
      <c r="G124" s="174" t="str">
        <f ca="1">IFERROR(__xludf.DUMMYFUNCTION("""COMPUTED_VALUE"""),"CSCA 5424 - Approximation Algorithms and Linear Programming")</f>
        <v>CSCA 5424 - Approximation Algorithms and Linear Programming</v>
      </c>
      <c r="H124" s="174"/>
      <c r="I124" s="172">
        <f ca="1">IFERROR(__xludf.DUMMYFUNCTION("""COMPUTED_VALUE"""),0)</f>
        <v>0</v>
      </c>
      <c r="J124" s="172">
        <f ca="1">IFERROR(__xludf.DUMMYFUNCTION("""COMPUTED_VALUE"""),4)</f>
        <v>4</v>
      </c>
      <c r="K124" s="172"/>
      <c r="L124" s="172"/>
      <c r="M124" s="172"/>
      <c r="N124" s="172"/>
      <c r="O124" s="172"/>
      <c r="P124" s="172"/>
      <c r="Q124" s="172"/>
      <c r="R124" s="172"/>
      <c r="S124" s="172"/>
      <c r="T124" s="172"/>
      <c r="U124" s="172"/>
      <c r="V124" s="172"/>
      <c r="W124" s="172"/>
      <c r="X124" s="172"/>
      <c r="Y124" s="172"/>
      <c r="Z124" s="172"/>
      <c r="AA124" s="172"/>
    </row>
    <row r="125" spans="1:27" ht="34">
      <c r="A125" s="170" t="str">
        <f t="shared" ca="1" si="0"/>
        <v>Network Systems Foundation</v>
      </c>
      <c r="B125" s="171" t="str">
        <f t="shared" ca="1" si="1"/>
        <v>CSCA 5063 - Network Systems Foundation</v>
      </c>
      <c r="C125" s="171" t="str">
        <f t="shared" ca="1" si="2"/>
        <v xml:space="preserve">The material covered is very high level - which is appropriate given that this is aimed at a graduate level study. For someone wanting a stronger foundation for Computer Networking, I recommend pairing this course with another undergraduate online networking class. I did the Top-Down Networking class by Jim Kurose at UMass Amherst, videos available online - just google. The combination worked very well: Kurose's class provided very thorough foundational knowledge about computer networking, and Eric Keller's class provided the high level overview + implementation aspects of networking through programming assignments. Good class overall - I've learned a lot. </v>
      </c>
      <c r="D125" s="172">
        <f t="shared" ca="1" si="3"/>
        <v>1</v>
      </c>
      <c r="E125" s="172">
        <v>6</v>
      </c>
      <c r="F125" s="172"/>
      <c r="G125" s="174" t="str">
        <f ca="1">IFERROR(__xludf.DUMMYFUNCTION("""COMPUTED_VALUE"""),"CSCA 5424 - Approximation Algorithms and Linear Programming")</f>
        <v>CSCA 5424 - Approximation Algorithms and Linear Programming</v>
      </c>
      <c r="H125" s="174"/>
      <c r="I125" s="172">
        <f ca="1">IFERROR(__xludf.DUMMYFUNCTION("""COMPUTED_VALUE"""),0)</f>
        <v>0</v>
      </c>
      <c r="J125" s="172">
        <f ca="1">IFERROR(__xludf.DUMMYFUNCTION("""COMPUTED_VALUE"""),4)</f>
        <v>4</v>
      </c>
      <c r="K125" s="172"/>
      <c r="L125" s="172"/>
      <c r="M125" s="172"/>
      <c r="N125" s="172"/>
      <c r="O125" s="172"/>
      <c r="P125" s="172"/>
      <c r="Q125" s="172"/>
      <c r="R125" s="172"/>
      <c r="S125" s="172"/>
      <c r="T125" s="172"/>
      <c r="U125" s="172"/>
      <c r="V125" s="172"/>
      <c r="W125" s="172"/>
      <c r="X125" s="172"/>
      <c r="Y125" s="172"/>
      <c r="Z125" s="172"/>
      <c r="AA125" s="172"/>
    </row>
    <row r="126" spans="1:27" ht="34">
      <c r="A126" s="170" t="str">
        <f t="shared" ca="1" si="0"/>
        <v>Introduction to Generative AI</v>
      </c>
      <c r="B126" s="171" t="str">
        <f t="shared" ca="1" si="1"/>
        <v>CSCA 5112 - Introduction to Generative AI</v>
      </c>
      <c r="C126" s="171" t="str">
        <f t="shared" ca="1" si="2"/>
        <v xml:space="preserve">The instructor is really excellent at explaining the concepts in intuitive manner. Having said that, the class was way too easy for a graduate level course. </v>
      </c>
      <c r="D126" s="172">
        <f t="shared" ca="1" si="3"/>
        <v>1</v>
      </c>
      <c r="E126" s="172">
        <v>25</v>
      </c>
      <c r="F126" s="172"/>
      <c r="G126" s="174" t="str">
        <f ca="1">IFERROR(__xludf.DUMMYFUNCTION("""COMPUTED_VALUE"""),"CSCA 5424 - Approximation Algorithms and Linear Programming")</f>
        <v>CSCA 5424 - Approximation Algorithms and Linear Programming</v>
      </c>
      <c r="H126" s="174"/>
      <c r="I126" s="172">
        <f ca="1">IFERROR(__xludf.DUMMYFUNCTION("""COMPUTED_VALUE"""),0)</f>
        <v>0</v>
      </c>
      <c r="J126" s="172">
        <f ca="1">IFERROR(__xludf.DUMMYFUNCTION("""COMPUTED_VALUE"""),4)</f>
        <v>4</v>
      </c>
      <c r="K126" s="172"/>
      <c r="L126" s="172"/>
      <c r="M126" s="172"/>
      <c r="N126" s="172"/>
      <c r="O126" s="172"/>
      <c r="P126" s="172"/>
      <c r="Q126" s="172"/>
      <c r="R126" s="172"/>
      <c r="S126" s="172"/>
      <c r="T126" s="172"/>
      <c r="U126" s="172"/>
      <c r="V126" s="172"/>
      <c r="W126" s="172"/>
      <c r="X126" s="172"/>
      <c r="Y126" s="172"/>
      <c r="Z126" s="172"/>
      <c r="AA126" s="172"/>
    </row>
    <row r="127" spans="1:27" ht="34">
      <c r="A127" s="170" t="str">
        <f t="shared" ca="1" si="0"/>
        <v>Computing, Ethics, and Society Foundations</v>
      </c>
      <c r="B127" s="171" t="str">
        <f t="shared" ca="1" si="1"/>
        <v>CSCA 5214 - Computing, Ethics, and Society Foundations</v>
      </c>
      <c r="C127" s="171" t="str">
        <f t="shared" ca="1" si="2"/>
        <v>I recommend listening to the lectures similarly to podcasts while doing other things during your day to save time</v>
      </c>
      <c r="D127" s="172">
        <f t="shared" ca="1" si="3"/>
        <v>1</v>
      </c>
      <c r="E127" s="172">
        <v>15</v>
      </c>
      <c r="F127" s="172"/>
      <c r="G127" s="174" t="str">
        <f ca="1">IFERROR(__xludf.DUMMYFUNCTION("""COMPUTED_VALUE"""),"CSCA 5424 - Approximation Algorithms and Linear Programming")</f>
        <v>CSCA 5424 - Approximation Algorithms and Linear Programming</v>
      </c>
      <c r="H127" s="174"/>
      <c r="I127" s="172">
        <f ca="1">IFERROR(__xludf.DUMMYFUNCTION("""COMPUTED_VALUE"""),0)</f>
        <v>0</v>
      </c>
      <c r="J127" s="172">
        <f ca="1">IFERROR(__xludf.DUMMYFUNCTION("""COMPUTED_VALUE"""),4)</f>
        <v>4</v>
      </c>
      <c r="K127" s="172"/>
      <c r="L127" s="172"/>
      <c r="M127" s="172"/>
      <c r="N127" s="172"/>
      <c r="O127" s="172"/>
      <c r="P127" s="172"/>
      <c r="Q127" s="172"/>
      <c r="R127" s="172"/>
      <c r="S127" s="172"/>
      <c r="T127" s="172"/>
      <c r="U127" s="172"/>
      <c r="V127" s="172"/>
      <c r="W127" s="172"/>
      <c r="X127" s="172"/>
      <c r="Y127" s="172"/>
      <c r="Z127" s="172"/>
      <c r="AA127" s="172"/>
    </row>
    <row r="128" spans="1:27" ht="34">
      <c r="A128" s="170" t="str">
        <f t="shared" ca="1" si="0"/>
        <v>Ethical Issues in AI and Professional Ethics</v>
      </c>
      <c r="B128" s="171" t="str">
        <f t="shared" ca="1" si="1"/>
        <v>CSCA 5224 - Ethical Issues in AI and Professional Ethics</v>
      </c>
      <c r="C128" s="171" t="str">
        <f t="shared" ca="1" si="2"/>
        <v>I recommend reading all articles enough to understand the general idea and enhance your perspective</v>
      </c>
      <c r="D128" s="172">
        <f t="shared" ca="1" si="3"/>
        <v>1</v>
      </c>
      <c r="E128" s="172">
        <v>16</v>
      </c>
      <c r="F128" s="172"/>
      <c r="G128" s="174" t="str">
        <f ca="1">IFERROR(__xludf.DUMMYFUNCTION("""COMPUTED_VALUE"""),"CSCA 5424 - Approximation Algorithms and Linear Programming")</f>
        <v>CSCA 5424 - Approximation Algorithms and Linear Programming</v>
      </c>
      <c r="H128" s="174"/>
      <c r="I128" s="172">
        <f ca="1">IFERROR(__xludf.DUMMYFUNCTION("""COMPUTED_VALUE"""),0)</f>
        <v>0</v>
      </c>
      <c r="J128" s="172">
        <f ca="1">IFERROR(__xludf.DUMMYFUNCTION("""COMPUTED_VALUE"""),4)</f>
        <v>4</v>
      </c>
      <c r="K128" s="172"/>
      <c r="L128" s="172"/>
      <c r="M128" s="172"/>
      <c r="N128" s="172"/>
      <c r="O128" s="172"/>
      <c r="P128" s="172"/>
      <c r="Q128" s="172"/>
      <c r="R128" s="172"/>
      <c r="S128" s="172"/>
      <c r="T128" s="172"/>
      <c r="U128" s="172"/>
      <c r="V128" s="172"/>
      <c r="W128" s="172"/>
      <c r="X128" s="172"/>
      <c r="Y128" s="172"/>
      <c r="Z128" s="172"/>
      <c r="AA128" s="172"/>
    </row>
    <row r="129" spans="1:27" ht="34">
      <c r="A129" s="170" t="str">
        <f t="shared" ca="1" si="0"/>
        <v>Ethical Issues in Computing Applications</v>
      </c>
      <c r="B129" s="171" t="str">
        <f t="shared" ca="1" si="1"/>
        <v>CSCA 5234 - Ethical Issues in Computing Applications</v>
      </c>
      <c r="C129" s="171" t="str">
        <f t="shared" ca="1" si="2"/>
        <v>Prepare in advance to write many essays</v>
      </c>
      <c r="D129" s="172">
        <f t="shared" ca="1" si="3"/>
        <v>1</v>
      </c>
      <c r="E129" s="172" t="s">
        <v>281</v>
      </c>
      <c r="F129" s="172"/>
      <c r="G129" s="174" t="str">
        <f ca="1">IFERROR(__xludf.DUMMYFUNCTION("""COMPUTED_VALUE"""),"CSCA 5424 - Approximation Algorithms and Linear Programming")</f>
        <v>CSCA 5424 - Approximation Algorithms and Linear Programming</v>
      </c>
      <c r="H129" s="174"/>
      <c r="I129" s="172">
        <f ca="1">IFERROR(__xludf.DUMMYFUNCTION("""COMPUTED_VALUE"""),0)</f>
        <v>0</v>
      </c>
      <c r="J129" s="172">
        <f ca="1">IFERROR(__xludf.DUMMYFUNCTION("""COMPUTED_VALUE"""),4)</f>
        <v>4</v>
      </c>
      <c r="K129" s="172"/>
      <c r="L129" s="172"/>
      <c r="M129" s="172"/>
      <c r="N129" s="172"/>
      <c r="O129" s="172"/>
      <c r="P129" s="172"/>
      <c r="Q129" s="172"/>
      <c r="R129" s="172"/>
      <c r="S129" s="172"/>
      <c r="T129" s="172"/>
      <c r="U129" s="172"/>
      <c r="V129" s="172"/>
      <c r="W129" s="172"/>
      <c r="X129" s="172"/>
      <c r="Y129" s="172"/>
      <c r="Z129" s="172"/>
      <c r="AA129" s="172"/>
    </row>
    <row r="130" spans="1:27" ht="51">
      <c r="A130" s="170" t="str">
        <f t="shared" ca="1" si="0"/>
        <v>Introduction to Generative AI</v>
      </c>
      <c r="B130" s="171" t="str">
        <f t="shared" ca="1" si="1"/>
        <v>CSCA 5112 - Introduction to Generative AI</v>
      </c>
      <c r="C130" s="171" t="str">
        <f t="shared" ca="1" si="2"/>
        <v xml:space="preserve">I am not a software engineer but had some familiarity with AI/ML going into the course. I enjoyed it and thought it was approachable as a non SWE. It still would have been better if we had some ways to apply what we learned since the knowledge you gain is mostly conceptual. Professor did a good job of making it broad without being too dense for an intro course. There were a few questions on the final that weren't covered in the course! The final is also now 43 questions, not 40. </v>
      </c>
      <c r="D130" s="172">
        <f t="shared" ca="1" si="3"/>
        <v>1</v>
      </c>
      <c r="E130" s="172">
        <v>25</v>
      </c>
      <c r="F130" s="172"/>
      <c r="G130" s="174" t="str">
        <f ca="1">IFERROR(__xludf.DUMMYFUNCTION("""COMPUTED_VALUE"""),"CSCA 5454 - Advanced Data Structures, RSA and Quantum Algorithms")</f>
        <v>CSCA 5454 - Advanced Data Structures, RSA and Quantum Algorithms</v>
      </c>
      <c r="H130" s="174"/>
      <c r="I130" s="172">
        <f ca="1">IFERROR(__xludf.DUMMYFUNCTION("""COMPUTED_VALUE"""),0)</f>
        <v>0</v>
      </c>
      <c r="J130" s="172">
        <f ca="1">IFERROR(__xludf.DUMMYFUNCTION("""COMPUTED_VALUE"""),5)</f>
        <v>5</v>
      </c>
      <c r="K130" s="172"/>
      <c r="L130" s="172"/>
      <c r="M130" s="172"/>
      <c r="N130" s="172"/>
      <c r="O130" s="172"/>
      <c r="P130" s="172"/>
      <c r="Q130" s="172"/>
      <c r="R130" s="172"/>
      <c r="S130" s="172"/>
      <c r="T130" s="172"/>
      <c r="U130" s="172"/>
      <c r="V130" s="172"/>
      <c r="W130" s="172"/>
      <c r="X130" s="172"/>
      <c r="Y130" s="172"/>
      <c r="Z130" s="172"/>
      <c r="AA130" s="172"/>
    </row>
    <row r="131" spans="1:27" ht="51">
      <c r="A131" s="170" t="str">
        <f t="shared" ca="1" si="0"/>
        <v>Dynamic Programming, Greedy Algorithms</v>
      </c>
      <c r="B131" s="171" t="str">
        <f t="shared" ca="1" si="1"/>
        <v>CSCA 5414 - Dynamic Programming, Greedy Algorithms</v>
      </c>
      <c r="C131" s="171" t="str">
        <f t="shared" ca="1" si="2"/>
        <v>I don't hold an undergraduate degree, so I started my journey by taking discrete mathematics, linear algebra &amp; calculus courses on Coursera followed by the previous 2 courses in the Algorithms specialization. They really helped me get up-to-speed.
Some of the programming assignments were quite challenging, but on average I found the estimated time quite accurate.
However the final caught me somewhat off-guard and I couldn't solve all the problems.
It's not that much harder than the other assignments but don't underestimate it. You should be quite comfortable with the main topics in this course.</v>
      </c>
      <c r="D131" s="172">
        <f t="shared" ca="1" si="3"/>
        <v>1</v>
      </c>
      <c r="E131" s="172">
        <v>3</v>
      </c>
      <c r="F131" s="172"/>
      <c r="G131" s="174" t="str">
        <f ca="1">IFERROR(__xludf.DUMMYFUNCTION("""COMPUTED_VALUE"""),"CSCA 5454 - Advanced Data Structures, RSA and Quantum Algorithms")</f>
        <v>CSCA 5454 - Advanced Data Structures, RSA and Quantum Algorithms</v>
      </c>
      <c r="H131" s="174"/>
      <c r="I131" s="172">
        <f ca="1">IFERROR(__xludf.DUMMYFUNCTION("""COMPUTED_VALUE"""),0)</f>
        <v>0</v>
      </c>
      <c r="J131" s="172">
        <f ca="1">IFERROR(__xludf.DUMMYFUNCTION("""COMPUTED_VALUE"""),5)</f>
        <v>5</v>
      </c>
      <c r="K131" s="172"/>
      <c r="L131" s="172"/>
      <c r="M131" s="172"/>
      <c r="N131" s="172"/>
      <c r="O131" s="172"/>
      <c r="P131" s="172"/>
      <c r="Q131" s="172"/>
      <c r="R131" s="172"/>
      <c r="S131" s="172"/>
      <c r="T131" s="172"/>
      <c r="U131" s="172"/>
      <c r="V131" s="172"/>
      <c r="W131" s="172"/>
      <c r="X131" s="172"/>
      <c r="Y131" s="172"/>
      <c r="Z131" s="172"/>
      <c r="AA131" s="172"/>
    </row>
    <row r="132" spans="1:27" ht="51">
      <c r="A132" s="170" t="str">
        <f t="shared" ca="1" si="0"/>
        <v>Basic Robotic Behaviors and Odometry</v>
      </c>
      <c r="B132" s="171" t="str">
        <f t="shared" ca="1" si="1"/>
        <v>CSCA 5312 - Basic Robotic Behaviors and Odometry</v>
      </c>
      <c r="C132" s="171" t="str">
        <f t="shared" ca="1" si="2"/>
        <v>I had no prior knowledge for robotics and felt like the guides were well set up for this class and I feel like the professor does well with a lot of examples getting environments set up.</v>
      </c>
      <c r="D132" s="172">
        <f t="shared" ca="1" si="3"/>
        <v>1</v>
      </c>
      <c r="E132" s="172">
        <v>31</v>
      </c>
      <c r="F132" s="172"/>
      <c r="G132" s="174" t="str">
        <f ca="1">IFERROR(__xludf.DUMMYFUNCTION("""COMPUTED_VALUE"""),"CSCA 5454 - Advanced Data Structures, RSA and Quantum Algorithms")</f>
        <v>CSCA 5454 - Advanced Data Structures, RSA and Quantum Algorithms</v>
      </c>
      <c r="H132" s="174"/>
      <c r="I132" s="172">
        <f ca="1">IFERROR(__xludf.DUMMYFUNCTION("""COMPUTED_VALUE"""),0)</f>
        <v>0</v>
      </c>
      <c r="J132" s="172">
        <f ca="1">IFERROR(__xludf.DUMMYFUNCTION("""COMPUTED_VALUE"""),5)</f>
        <v>5</v>
      </c>
      <c r="K132" s="172"/>
      <c r="L132" s="172"/>
      <c r="M132" s="172"/>
      <c r="N132" s="172"/>
      <c r="O132" s="172"/>
      <c r="P132" s="172"/>
      <c r="Q132" s="172"/>
      <c r="R132" s="172"/>
      <c r="S132" s="172"/>
      <c r="T132" s="172"/>
      <c r="U132" s="172"/>
      <c r="V132" s="172"/>
      <c r="W132" s="172"/>
      <c r="X132" s="172"/>
      <c r="Y132" s="172"/>
      <c r="Z132" s="172"/>
      <c r="AA132" s="172"/>
    </row>
    <row r="133" spans="1:27" ht="51">
      <c r="A133" s="170" t="str">
        <f t="shared" ca="1" si="0"/>
        <v>Robotic Mapping and Trajectory Generation</v>
      </c>
      <c r="B133" s="171" t="str">
        <f t="shared" ca="1" si="1"/>
        <v>CSCA 5332 - Robotic Mapping and Trajectory Generation</v>
      </c>
      <c r="C133" s="171" t="str">
        <f t="shared" ca="1" si="2"/>
        <v>Courses built of the previous so make sure you really get a good foundation from the previous course. Instructor still described things well but will take some self learning.</v>
      </c>
      <c r="D133" s="172">
        <f t="shared" ca="1" si="3"/>
        <v>1</v>
      </c>
      <c r="E133" s="172">
        <v>32</v>
      </c>
      <c r="F133" s="172"/>
      <c r="G133" s="174" t="str">
        <f ca="1">IFERROR(__xludf.DUMMYFUNCTION("""COMPUTED_VALUE"""),"CSCA 5454 - Advanced Data Structures, RSA and Quantum Algorithms")</f>
        <v>CSCA 5454 - Advanced Data Structures, RSA and Quantum Algorithms</v>
      </c>
      <c r="H133" s="174"/>
      <c r="I133" s="172">
        <f ca="1">IFERROR(__xludf.DUMMYFUNCTION("""COMPUTED_VALUE"""),0)</f>
        <v>0</v>
      </c>
      <c r="J133" s="172">
        <f ca="1">IFERROR(__xludf.DUMMYFUNCTION("""COMPUTED_VALUE"""),5)</f>
        <v>5</v>
      </c>
      <c r="K133" s="172"/>
      <c r="L133" s="172"/>
      <c r="M133" s="172"/>
      <c r="N133" s="172"/>
      <c r="O133" s="172"/>
      <c r="P133" s="172"/>
      <c r="Q133" s="172"/>
      <c r="R133" s="172"/>
      <c r="S133" s="172"/>
      <c r="T133" s="172"/>
      <c r="U133" s="172"/>
      <c r="V133" s="172"/>
      <c r="W133" s="172"/>
      <c r="X133" s="172"/>
      <c r="Y133" s="172"/>
      <c r="Z133" s="172"/>
      <c r="AA133" s="172"/>
    </row>
    <row r="134" spans="1:27" ht="51">
      <c r="A134" s="170" t="str">
        <f t="shared" ca="1" si="0"/>
        <v>Robotic Path Planning and Task Execution</v>
      </c>
      <c r="B134" s="171" t="str">
        <f t="shared" ca="1" si="1"/>
        <v>CSCA 5342 - Robotic Path Planning and Task Execution</v>
      </c>
      <c r="C134" s="171" t="str">
        <f t="shared" ca="1" si="2"/>
        <v>Projects seemed to jump very high in scale of difficulty. Make sure you really didn't miss any of the previous projects and you really take the time to understand what's going on. Although the difficulty greatly increases, I still find the lectures very interesting and fun to learn.</v>
      </c>
      <c r="D134" s="172">
        <f t="shared" ca="1" si="3"/>
        <v>1</v>
      </c>
      <c r="E134" s="172">
        <v>33</v>
      </c>
      <c r="F134" s="172"/>
      <c r="G134" s="174" t="str">
        <f ca="1">IFERROR(__xludf.DUMMYFUNCTION("""COMPUTED_VALUE"""),"CSCA 5454 - Advanced Data Structures, RSA and Quantum Algorithms")</f>
        <v>CSCA 5454 - Advanced Data Structures, RSA and Quantum Algorithms</v>
      </c>
      <c r="H134" s="174"/>
      <c r="I134" s="172">
        <f ca="1">IFERROR(__xludf.DUMMYFUNCTION("""COMPUTED_VALUE"""),0)</f>
        <v>0</v>
      </c>
      <c r="J134" s="172">
        <f ca="1">IFERROR(__xludf.DUMMYFUNCTION("""COMPUTED_VALUE"""),5)</f>
        <v>5</v>
      </c>
      <c r="K134" s="172"/>
      <c r="L134" s="172"/>
      <c r="M134" s="172"/>
      <c r="N134" s="172"/>
      <c r="O134" s="172"/>
      <c r="P134" s="172"/>
      <c r="Q134" s="172"/>
      <c r="R134" s="172"/>
      <c r="S134" s="172"/>
      <c r="T134" s="172"/>
      <c r="U134" s="172"/>
      <c r="V134" s="172"/>
      <c r="W134" s="172"/>
      <c r="X134" s="172"/>
      <c r="Y134" s="172"/>
      <c r="Z134" s="172"/>
      <c r="AA134" s="172"/>
    </row>
    <row r="135" spans="1:27" ht="51">
      <c r="A135" s="170" t="str">
        <f t="shared" ca="1" si="0"/>
        <v>Approximation Algorithms and Linear Programming</v>
      </c>
      <c r="B135" s="171" t="str">
        <f t="shared" ca="1" si="1"/>
        <v>CSCA 5424 - Approximation Algorithms and Linear Programming</v>
      </c>
      <c r="C135" s="171">
        <f t="shared" ca="1" si="2"/>
        <v>0</v>
      </c>
      <c r="D135" s="172">
        <f t="shared" ca="1" si="3"/>
        <v>1</v>
      </c>
      <c r="E135" s="172">
        <v>4</v>
      </c>
      <c r="F135" s="172"/>
      <c r="G135" s="174" t="str">
        <f ca="1">IFERROR(__xludf.DUMMYFUNCTION("""COMPUTED_VALUE"""),"CSCA 5454 - Advanced Data Structures, RSA and Quantum Algorithms")</f>
        <v>CSCA 5454 - Advanced Data Structures, RSA and Quantum Algorithms</v>
      </c>
      <c r="H135" s="174"/>
      <c r="I135" s="172">
        <f ca="1">IFERROR(__xludf.DUMMYFUNCTION("""COMPUTED_VALUE"""),0)</f>
        <v>0</v>
      </c>
      <c r="J135" s="172">
        <f ca="1">IFERROR(__xludf.DUMMYFUNCTION("""COMPUTED_VALUE"""),5)</f>
        <v>5</v>
      </c>
      <c r="K135" s="172"/>
      <c r="L135" s="172"/>
      <c r="M135" s="172"/>
      <c r="N135" s="172"/>
      <c r="O135" s="172"/>
      <c r="P135" s="172"/>
      <c r="Q135" s="172"/>
      <c r="R135" s="172"/>
      <c r="S135" s="172"/>
      <c r="T135" s="172"/>
      <c r="U135" s="172"/>
      <c r="V135" s="172"/>
      <c r="W135" s="172"/>
      <c r="X135" s="172"/>
      <c r="Y135" s="172"/>
      <c r="Z135" s="172"/>
      <c r="AA135" s="172"/>
    </row>
    <row r="136" spans="1:27" ht="34">
      <c r="A136" s="170" t="str">
        <f t="shared" ca="1" si="0"/>
        <v>Verification and Synthesis of Autonomous Systems</v>
      </c>
      <c r="B136" s="171" t="str">
        <f t="shared" ca="1" si="1"/>
        <v>CSCA 5854 - Verification and Synthesis of Autonomous Systems</v>
      </c>
      <c r="C136" s="171" t="str">
        <f t="shared" ca="1" si="2"/>
        <v>MCQ exam (12 hours time limit; 1 attempt)</v>
      </c>
      <c r="D136" s="172">
        <f t="shared" ca="1" si="3"/>
        <v>1</v>
      </c>
      <c r="E136" s="172">
        <v>14</v>
      </c>
      <c r="F136" s="172"/>
      <c r="G136" s="174" t="str">
        <f ca="1">IFERROR(__xludf.DUMMYFUNCTION("""COMPUTED_VALUE"""),"CSCA 5063 - Network Systems Foundation")</f>
        <v>CSCA 5063 - Network Systems Foundation</v>
      </c>
      <c r="H136" s="174"/>
      <c r="I136" s="172">
        <f ca="1">IFERROR(__xludf.DUMMYFUNCTION("""COMPUTED_VALUE"""),0)</f>
        <v>0</v>
      </c>
      <c r="J136" s="172">
        <f ca="1">IFERROR(__xludf.DUMMYFUNCTION("""COMPUTED_VALUE"""),6)</f>
        <v>6</v>
      </c>
      <c r="K136" s="172"/>
      <c r="L136" s="172"/>
      <c r="M136" s="172"/>
      <c r="N136" s="172"/>
      <c r="O136" s="172"/>
      <c r="P136" s="172"/>
      <c r="Q136" s="172"/>
      <c r="R136" s="172"/>
      <c r="S136" s="172"/>
      <c r="T136" s="172"/>
      <c r="U136" s="172"/>
      <c r="V136" s="172"/>
      <c r="W136" s="172"/>
      <c r="X136" s="172"/>
      <c r="Y136" s="172"/>
      <c r="Z136" s="172"/>
      <c r="AA136" s="172"/>
    </row>
    <row r="137" spans="1:27" ht="34">
      <c r="A137" s="170" t="str">
        <f t="shared" ca="1" si="0"/>
        <v>Network Systems Foundation</v>
      </c>
      <c r="B137" s="171" t="str">
        <f t="shared" ca="1" si="1"/>
        <v>CSCA 5063 - Network Systems Foundation</v>
      </c>
      <c r="C137" s="171">
        <f t="shared" ca="1" si="2"/>
        <v>0</v>
      </c>
      <c r="D137" s="172">
        <f t="shared" ca="1" si="3"/>
        <v>1</v>
      </c>
      <c r="E137" s="172">
        <v>6</v>
      </c>
      <c r="F137" s="172"/>
      <c r="G137" s="174" t="str">
        <f ca="1">IFERROR(__xludf.DUMMYFUNCTION("""COMPUTED_VALUE"""),"CSCA 5063 - Network Systems Foundation")</f>
        <v>CSCA 5063 - Network Systems Foundation</v>
      </c>
      <c r="H137" s="174"/>
      <c r="I137" s="172">
        <f ca="1">IFERROR(__xludf.DUMMYFUNCTION("""COMPUTED_VALUE"""),0)</f>
        <v>0</v>
      </c>
      <c r="J137" s="172">
        <f ca="1">IFERROR(__xludf.DUMMYFUNCTION("""COMPUTED_VALUE"""),6)</f>
        <v>6</v>
      </c>
      <c r="K137" s="172"/>
      <c r="L137" s="172"/>
      <c r="M137" s="172"/>
      <c r="N137" s="172"/>
      <c r="O137" s="172"/>
      <c r="P137" s="172"/>
      <c r="Q137" s="172"/>
      <c r="R137" s="172"/>
      <c r="S137" s="172"/>
      <c r="T137" s="172"/>
      <c r="U137" s="172"/>
      <c r="V137" s="172"/>
      <c r="W137" s="172"/>
      <c r="X137" s="172"/>
      <c r="Y137" s="172"/>
      <c r="Z137" s="172"/>
      <c r="AA137" s="172"/>
    </row>
    <row r="138" spans="1:27" ht="34">
      <c r="A138" s="170" t="str">
        <f t="shared" ca="1" si="0"/>
        <v>Advanced Data Structures, RSA and Quantum Algorithms</v>
      </c>
      <c r="B138" s="171" t="str">
        <f t="shared" ca="1" si="1"/>
        <v>CSCA 5454 - Advanced Data Structures, RSA and Quantum Algorithms</v>
      </c>
      <c r="C138" s="171" t="str">
        <f t="shared" ca="1" si="2"/>
        <v>The Quantum Computing parts are easily the most complicated. The basic concepts &amp; basic qubit gates are very doable, but once it went into more complex multi-qubit systems I got lost quite a bit. I was still able to solve most problems and get an A.</v>
      </c>
      <c r="D138" s="172">
        <f t="shared" ca="1" si="3"/>
        <v>1</v>
      </c>
      <c r="E138" s="172">
        <v>5</v>
      </c>
      <c r="F138" s="172"/>
      <c r="G138" s="174" t="str">
        <f ca="1">IFERROR(__xludf.DUMMYFUNCTION("""COMPUTED_VALUE"""),"CSCA 5073 - Network Principles in Practice: Linux Networking")</f>
        <v>CSCA 5073 - Network Principles in Practice: Linux Networking</v>
      </c>
      <c r="H138" s="174"/>
      <c r="I138" s="172">
        <f ca="1">IFERROR(__xludf.DUMMYFUNCTION("""COMPUTED_VALUE"""),0)</f>
        <v>0</v>
      </c>
      <c r="J138" s="172">
        <f ca="1">IFERROR(__xludf.DUMMYFUNCTION("""COMPUTED_VALUE"""),7)</f>
        <v>7</v>
      </c>
      <c r="K138" s="172"/>
      <c r="L138" s="172"/>
      <c r="M138" s="172"/>
      <c r="N138" s="172"/>
      <c r="O138" s="172"/>
      <c r="P138" s="172"/>
      <c r="Q138" s="172"/>
      <c r="R138" s="172"/>
      <c r="S138" s="172"/>
      <c r="T138" s="172"/>
      <c r="U138" s="172"/>
      <c r="V138" s="172"/>
      <c r="W138" s="172"/>
      <c r="X138" s="172"/>
      <c r="Y138" s="172"/>
      <c r="Z138" s="172"/>
      <c r="AA138" s="172"/>
    </row>
    <row r="139" spans="1:27" ht="34">
      <c r="A139" s="170" t="str">
        <f t="shared" ca="1" si="0"/>
        <v>Advanced Data Structures, RSA and Quantum Algorithms</v>
      </c>
      <c r="B139" s="171" t="str">
        <f t="shared" ca="1" si="1"/>
        <v>CSCA 5454 - Advanced Data Structures, RSA and Quantum Algorithms</v>
      </c>
      <c r="C139" s="171">
        <f t="shared" ca="1" si="2"/>
        <v>0</v>
      </c>
      <c r="D139" s="172">
        <f t="shared" ca="1" si="3"/>
        <v>1</v>
      </c>
      <c r="E139" s="172">
        <v>5</v>
      </c>
      <c r="F139" s="172"/>
      <c r="G139" s="174" t="str">
        <f ca="1">IFERROR(__xludf.DUMMYFUNCTION("""COMPUTED_VALUE"""),"CSCA 5073 - Network Principles in Practice: Linux Networking")</f>
        <v>CSCA 5073 - Network Principles in Practice: Linux Networking</v>
      </c>
      <c r="H139" s="174"/>
      <c r="I139" s="172">
        <f ca="1">IFERROR(__xludf.DUMMYFUNCTION("""COMPUTED_VALUE"""),0)</f>
        <v>0</v>
      </c>
      <c r="J139" s="172">
        <f ca="1">IFERROR(__xludf.DUMMYFUNCTION("""COMPUTED_VALUE"""),7)</f>
        <v>7</v>
      </c>
      <c r="K139" s="172"/>
      <c r="L139" s="172"/>
      <c r="M139" s="172"/>
      <c r="N139" s="172"/>
      <c r="O139" s="172"/>
      <c r="P139" s="172"/>
      <c r="Q139" s="172"/>
      <c r="R139" s="172"/>
      <c r="S139" s="172"/>
      <c r="T139" s="172"/>
      <c r="U139" s="172"/>
      <c r="V139" s="172"/>
      <c r="W139" s="172"/>
      <c r="X139" s="172"/>
      <c r="Y139" s="172"/>
      <c r="Z139" s="172"/>
      <c r="AA139" s="172"/>
    </row>
    <row r="140" spans="1:27" ht="34">
      <c r="A140" s="170" t="str">
        <f t="shared" ca="1" si="0"/>
        <v>Network Principles in Practice: Linux Networking</v>
      </c>
      <c r="B140" s="171" t="str">
        <f t="shared" ca="1" si="1"/>
        <v>CSCA 5073 - Network Principles in Practice: Linux Networking</v>
      </c>
      <c r="C140" s="171">
        <f t="shared" ca="1" si="2"/>
        <v>0</v>
      </c>
      <c r="D140" s="172">
        <f t="shared" ca="1" si="3"/>
        <v>1</v>
      </c>
      <c r="E140" s="172">
        <v>7</v>
      </c>
      <c r="F140" s="172"/>
      <c r="G140" s="174" t="str">
        <f ca="1">IFERROR(__xludf.DUMMYFUNCTION("""COMPUTED_VALUE"""),"CSCA 5073 - Network Principles in Practice: Linux Networking")</f>
        <v>CSCA 5073 - Network Principles in Practice: Linux Networking</v>
      </c>
      <c r="H140" s="174"/>
      <c r="I140" s="172">
        <f ca="1">IFERROR(__xludf.DUMMYFUNCTION("""COMPUTED_VALUE"""),0)</f>
        <v>0</v>
      </c>
      <c r="J140" s="172">
        <f ca="1">IFERROR(__xludf.DUMMYFUNCTION("""COMPUTED_VALUE"""),7)</f>
        <v>7</v>
      </c>
      <c r="K140" s="172"/>
      <c r="L140" s="172"/>
      <c r="M140" s="172"/>
      <c r="N140" s="172"/>
      <c r="O140" s="172"/>
      <c r="P140" s="172"/>
      <c r="Q140" s="172"/>
      <c r="R140" s="172"/>
      <c r="S140" s="172"/>
      <c r="T140" s="172"/>
      <c r="U140" s="172"/>
      <c r="V140" s="172"/>
      <c r="W140" s="172"/>
      <c r="X140" s="172"/>
      <c r="Y140" s="172"/>
      <c r="Z140" s="172"/>
      <c r="AA140" s="172"/>
    </row>
    <row r="141" spans="1:27" ht="34">
      <c r="A141" s="170" t="str">
        <f t="shared" ca="1" si="0"/>
        <v>Introduction to Generative AI</v>
      </c>
      <c r="B141" s="171" t="str">
        <f t="shared" ca="1" si="1"/>
        <v>CSCA 5112 - Introduction to Generative AI</v>
      </c>
      <c r="C141" s="171">
        <f t="shared" ca="1" si="2"/>
        <v>0</v>
      </c>
      <c r="D141" s="172">
        <f t="shared" ca="1" si="3"/>
        <v>1</v>
      </c>
      <c r="E141" s="172">
        <v>25</v>
      </c>
      <c r="F141" s="172"/>
      <c r="G141" s="174" t="str">
        <f ca="1">IFERROR(__xludf.DUMMYFUNCTION("""COMPUTED_VALUE"""),"CSCA 5083 - Network Principles in Practice: Cloud Networking")</f>
        <v>CSCA 5083 - Network Principles in Practice: Cloud Networking</v>
      </c>
      <c r="H141" s="174"/>
      <c r="I141" s="172">
        <f ca="1">IFERROR(__xludf.DUMMYFUNCTION("""COMPUTED_VALUE"""),0)</f>
        <v>0</v>
      </c>
      <c r="J141" s="172">
        <f ca="1">IFERROR(__xludf.DUMMYFUNCTION("""COMPUTED_VALUE"""),8)</f>
        <v>8</v>
      </c>
      <c r="K141" s="172"/>
      <c r="L141" s="172"/>
      <c r="M141" s="172"/>
      <c r="N141" s="172"/>
      <c r="O141" s="172"/>
      <c r="P141" s="172"/>
      <c r="Q141" s="172"/>
      <c r="R141" s="172"/>
      <c r="S141" s="172"/>
      <c r="T141" s="172"/>
      <c r="U141" s="172"/>
      <c r="V141" s="172"/>
      <c r="W141" s="172"/>
      <c r="X141" s="172"/>
      <c r="Y141" s="172"/>
      <c r="Z141" s="172"/>
      <c r="AA141" s="172"/>
    </row>
    <row r="142" spans="1:27" ht="34">
      <c r="A142" s="170" t="str">
        <f t="shared" ca="1" si="0"/>
        <v>Ethical Issues in AI and Professional Ethics</v>
      </c>
      <c r="B142" s="171" t="str">
        <f t="shared" ca="1" si="1"/>
        <v>CSCA 5224 - Ethical Issues in AI and Professional Ethics</v>
      </c>
      <c r="C142" s="171" t="str">
        <f t="shared" ca="1" si="2"/>
        <v>I enjoyed this less than the first course.  Lots of focus on a narrow range of topics, and not nearly enough time spent on other things.</v>
      </c>
      <c r="D142" s="172">
        <f t="shared" ca="1" si="3"/>
        <v>1</v>
      </c>
      <c r="E142" s="172">
        <v>16</v>
      </c>
      <c r="F142" s="172"/>
      <c r="G142" s="174" t="str">
        <f ca="1">IFERROR(__xludf.DUMMYFUNCTION("""COMPUTED_VALUE"""),"CSCA 5083 - Network Principles in Practice: Cloud Networking")</f>
        <v>CSCA 5083 - Network Principles in Practice: Cloud Networking</v>
      </c>
      <c r="H142" s="174"/>
      <c r="I142" s="172">
        <f ca="1">IFERROR(__xludf.DUMMYFUNCTION("""COMPUTED_VALUE"""),0)</f>
        <v>0</v>
      </c>
      <c r="J142" s="172">
        <f ca="1">IFERROR(__xludf.DUMMYFUNCTION("""COMPUTED_VALUE"""),8)</f>
        <v>8</v>
      </c>
      <c r="K142" s="172"/>
      <c r="L142" s="172"/>
      <c r="M142" s="172"/>
      <c r="N142" s="172"/>
      <c r="O142" s="172"/>
      <c r="P142" s="172"/>
      <c r="Q142" s="172"/>
      <c r="R142" s="172"/>
      <c r="S142" s="172"/>
      <c r="T142" s="172"/>
      <c r="U142" s="172"/>
      <c r="V142" s="172"/>
      <c r="W142" s="172"/>
      <c r="X142" s="172"/>
      <c r="Y142" s="172"/>
      <c r="Z142" s="172"/>
      <c r="AA142" s="172"/>
    </row>
    <row r="143" spans="1:27" ht="34">
      <c r="A143" s="170" t="str">
        <f t="shared" ca="1" si="0"/>
        <v>Basic Robotic Behaviors and Odometry</v>
      </c>
      <c r="B143" s="171" t="str">
        <f t="shared" ca="1" si="1"/>
        <v>CSCA 5312 - Basic Robotic Behaviors and Odometry</v>
      </c>
      <c r="C143" s="171" t="str">
        <f t="shared" ca="1" si="2"/>
        <v>This was a fun class.  Fairly easy but very hands on and practical.  I recommend you take the time to do the optional honors quizzes, it will help prepare for the final.</v>
      </c>
      <c r="D143" s="172">
        <f t="shared" ca="1" si="3"/>
        <v>1</v>
      </c>
      <c r="E143" s="172">
        <v>31</v>
      </c>
      <c r="F143" s="172"/>
      <c r="G143" s="174" t="str">
        <f ca="1">IFERROR(__xludf.DUMMYFUNCTION("""COMPUTED_VALUE"""),"CSCA 5622 - Introduction to Machine Learning: Supervised Learning")</f>
        <v>CSCA 5622 - Introduction to Machine Learning: Supervised Learning</v>
      </c>
      <c r="H143" s="174"/>
      <c r="I143" s="172">
        <f ca="1">IFERROR(__xludf.DUMMYFUNCTION("""COMPUTED_VALUE"""),0)</f>
        <v>0</v>
      </c>
      <c r="J143" s="172">
        <f ca="1">IFERROR(__xludf.DUMMYFUNCTION("""COMPUTED_VALUE"""),9)</f>
        <v>9</v>
      </c>
      <c r="K143" s="172"/>
      <c r="L143" s="172"/>
      <c r="M143" s="172"/>
      <c r="N143" s="172"/>
      <c r="O143" s="172"/>
      <c r="P143" s="172"/>
      <c r="Q143" s="172"/>
      <c r="R143" s="172"/>
      <c r="S143" s="172"/>
      <c r="T143" s="172"/>
      <c r="U143" s="172"/>
      <c r="V143" s="172"/>
      <c r="W143" s="172"/>
      <c r="X143" s="172"/>
      <c r="Y143" s="172"/>
      <c r="Z143" s="172"/>
      <c r="AA143" s="172"/>
    </row>
    <row r="144" spans="1:27" ht="34">
      <c r="A144" s="170" t="str">
        <f t="shared" ca="1" si="0"/>
        <v>Unsupervised Algorithms in Machine Learning</v>
      </c>
      <c r="B144" s="171" t="str">
        <f t="shared" ca="1" si="1"/>
        <v>CSCA 5632 - Unsupervised Algorithms in Machine Learning</v>
      </c>
      <c r="C144" s="171" t="str">
        <f t="shared" ca="1" si="2"/>
        <v>Instructor is not effective, and assignment requirements are not adequately explained.  I highly recommend doing the data mining pathway before these courses, so that you will have some background in the ML techniques used in this course.</v>
      </c>
      <c r="D144" s="172">
        <f t="shared" ca="1" si="3"/>
        <v>1</v>
      </c>
      <c r="E144" s="172">
        <v>10</v>
      </c>
      <c r="F144" s="172"/>
      <c r="G144" s="174" t="str">
        <f ca="1">IFERROR(__xludf.DUMMYFUNCTION("""COMPUTED_VALUE"""),"CSCA 5622 - Introduction to Machine Learning: Supervised Learning")</f>
        <v>CSCA 5622 - Introduction to Machine Learning: Supervised Learning</v>
      </c>
      <c r="H144" s="174"/>
      <c r="I144" s="172">
        <f ca="1">IFERROR(__xludf.DUMMYFUNCTION("""COMPUTED_VALUE"""),0)</f>
        <v>0</v>
      </c>
      <c r="J144" s="172">
        <f ca="1">IFERROR(__xludf.DUMMYFUNCTION("""COMPUTED_VALUE"""),9)</f>
        <v>9</v>
      </c>
      <c r="K144" s="172"/>
      <c r="L144" s="172"/>
      <c r="M144" s="172"/>
      <c r="N144" s="172"/>
      <c r="O144" s="172"/>
      <c r="P144" s="172"/>
      <c r="Q144" s="172"/>
      <c r="R144" s="172"/>
      <c r="S144" s="172"/>
      <c r="T144" s="172"/>
      <c r="U144" s="172"/>
      <c r="V144" s="172"/>
      <c r="W144" s="172"/>
      <c r="X144" s="172"/>
      <c r="Y144" s="172"/>
      <c r="Z144" s="172"/>
      <c r="AA144" s="172"/>
    </row>
    <row r="145" spans="1:27" ht="34">
      <c r="A145" s="170" t="str">
        <f t="shared" ca="1" si="0"/>
        <v>Introduction to Machine Learning: Supervised Learning</v>
      </c>
      <c r="B145" s="171" t="str">
        <f t="shared" ca="1" si="1"/>
        <v>CSCA 5622 - Introduction to Machine Learning: Supervised Learning</v>
      </c>
      <c r="C145" s="171" t="str">
        <f t="shared" ca="1" si="2"/>
        <v>1. basic stats, types of error, hypothesis testing, etc. 2. Assignments did not involve much programming at all. It sometimes took a long time to figure out the answer to hidden tests in the assignments. 3. The textbook readings are much more helpful than the lectures</v>
      </c>
      <c r="D145" s="172">
        <f t="shared" ca="1" si="3"/>
        <v>1</v>
      </c>
      <c r="E145" s="172">
        <v>9</v>
      </c>
      <c r="F145" s="172"/>
      <c r="G145" s="174" t="str">
        <f ca="1">IFERROR(__xludf.DUMMYFUNCTION("""COMPUTED_VALUE"""),"CSCA 5632 - Unsupervised Algorithms in Machine Learning")</f>
        <v>CSCA 5632 - Unsupervised Algorithms in Machine Learning</v>
      </c>
      <c r="H145" s="174"/>
      <c r="I145" s="172">
        <f ca="1">IFERROR(__xludf.DUMMYFUNCTION("""COMPUTED_VALUE"""),0)</f>
        <v>0</v>
      </c>
      <c r="J145" s="172">
        <f ca="1">IFERROR(__xludf.DUMMYFUNCTION("""COMPUTED_VALUE"""),10)</f>
        <v>10</v>
      </c>
      <c r="K145" s="172"/>
      <c r="L145" s="172"/>
      <c r="M145" s="172"/>
      <c r="N145" s="172"/>
      <c r="O145" s="172"/>
      <c r="P145" s="172"/>
      <c r="Q145" s="172"/>
      <c r="R145" s="172"/>
      <c r="S145" s="172"/>
      <c r="T145" s="172"/>
      <c r="U145" s="172"/>
      <c r="V145" s="172"/>
      <c r="W145" s="172"/>
      <c r="X145" s="172"/>
      <c r="Y145" s="172"/>
      <c r="Z145" s="172"/>
      <c r="AA145" s="172"/>
    </row>
    <row r="146" spans="1:27" ht="34">
      <c r="A146" s="170" t="str">
        <f t="shared" ca="1" si="0"/>
        <v>Advanced Data Structures, RSA and Quantum Algorithms</v>
      </c>
      <c r="B146" s="171" t="str">
        <f t="shared" ca="1" si="1"/>
        <v>CSCA 5454 - Advanced Data Structures, RSA and Quantum Algorithms</v>
      </c>
      <c r="C146" s="171">
        <f t="shared" ca="1" si="2"/>
        <v>0</v>
      </c>
      <c r="D146" s="172">
        <f t="shared" ca="1" si="3"/>
        <v>1</v>
      </c>
      <c r="E146" s="172">
        <v>5</v>
      </c>
      <c r="F146" s="172"/>
      <c r="G146" s="174" t="str">
        <f ca="1">IFERROR(__xludf.DUMMYFUNCTION("""COMPUTED_VALUE"""),"CSCA 5834 - Modeling of Autonomous Systems")</f>
        <v>CSCA 5834 - Modeling of Autonomous Systems</v>
      </c>
      <c r="H146" s="174"/>
      <c r="I146" s="172">
        <f ca="1">IFERROR(__xludf.DUMMYFUNCTION("""COMPUTED_VALUE"""),0)</f>
        <v>0</v>
      </c>
      <c r="J146" s="172">
        <f ca="1">IFERROR(__xludf.DUMMYFUNCTION("""COMPUTED_VALUE"""),12)</f>
        <v>12</v>
      </c>
      <c r="K146" s="172"/>
      <c r="L146" s="172"/>
      <c r="M146" s="172"/>
      <c r="N146" s="172"/>
      <c r="O146" s="172"/>
      <c r="P146" s="172"/>
      <c r="Q146" s="172"/>
      <c r="R146" s="172"/>
      <c r="S146" s="172"/>
      <c r="T146" s="172"/>
      <c r="U146" s="172"/>
      <c r="V146" s="172"/>
      <c r="W146" s="172"/>
      <c r="X146" s="172"/>
      <c r="Y146" s="172"/>
      <c r="Z146" s="172"/>
      <c r="AA146" s="172"/>
    </row>
    <row r="147" spans="1:27" ht="34">
      <c r="A147" s="170" t="str">
        <f t="shared" ca="1" si="0"/>
        <v>Fundamentals of Software Architecture for Big Data</v>
      </c>
      <c r="B147" s="171" t="str">
        <f t="shared" ca="1" si="1"/>
        <v>CSCA 5008 - Fundamentals of Software Architecture for Big Data</v>
      </c>
      <c r="C147" s="171" t="str">
        <f t="shared" ca="1" si="2"/>
        <v xml:space="preserve">half my time spent on this course was getting environments and code to actually run before doing course work. </v>
      </c>
      <c r="D147" s="172">
        <f t="shared" ca="1" si="3"/>
        <v>1</v>
      </c>
      <c r="E147" s="172">
        <v>22</v>
      </c>
      <c r="F147" s="172"/>
      <c r="G147" s="174" t="str">
        <f ca="1">IFERROR(__xludf.DUMMYFUNCTION("""COMPUTED_VALUE"""),"CSCA 5214 - Computing, Ethics, and Society Foundations")</f>
        <v>CSCA 5214 - Computing, Ethics, and Society Foundations</v>
      </c>
      <c r="H147" s="174"/>
      <c r="I147" s="172">
        <f ca="1">IFERROR(__xludf.DUMMYFUNCTION("""COMPUTED_VALUE"""),0)</f>
        <v>0</v>
      </c>
      <c r="J147" s="172">
        <f ca="1">IFERROR(__xludf.DUMMYFUNCTION("""COMPUTED_VALUE"""),15)</f>
        <v>15</v>
      </c>
      <c r="K147" s="172"/>
      <c r="L147" s="172"/>
      <c r="M147" s="172"/>
      <c r="N147" s="172"/>
      <c r="O147" s="172"/>
      <c r="P147" s="172"/>
      <c r="Q147" s="172"/>
      <c r="R147" s="172"/>
      <c r="S147" s="172"/>
      <c r="T147" s="172"/>
      <c r="U147" s="172"/>
      <c r="V147" s="172"/>
      <c r="W147" s="172"/>
      <c r="X147" s="172"/>
      <c r="Y147" s="172"/>
      <c r="Z147" s="172"/>
      <c r="AA147" s="172"/>
    </row>
    <row r="148" spans="1:27" ht="34">
      <c r="A148" s="170" t="str">
        <f t="shared" ca="1" si="0"/>
        <v>Software Architecture Patterns for Big Data</v>
      </c>
      <c r="B148" s="171" t="str">
        <f t="shared" ca="1" si="1"/>
        <v>CSCA 5018 - Software Architecture Patterns for Big Data</v>
      </c>
      <c r="C148" s="171" t="str">
        <f t="shared" ca="1" si="2"/>
        <v>Tyson is a bit better as an instructor and the soccer match predictor was a very cool assignment.</v>
      </c>
      <c r="D148" s="172">
        <f t="shared" ca="1" si="3"/>
        <v>1</v>
      </c>
      <c r="E148" s="172">
        <v>23</v>
      </c>
      <c r="F148" s="172"/>
      <c r="G148" s="174" t="str">
        <f ca="1">IFERROR(__xludf.DUMMYFUNCTION("""COMPUTED_VALUE"""),"CSCA 5214 - Computing, Ethics, and Society Foundations")</f>
        <v>CSCA 5214 - Computing, Ethics, and Society Foundations</v>
      </c>
      <c r="H148" s="174"/>
      <c r="I148" s="172">
        <f ca="1">IFERROR(__xludf.DUMMYFUNCTION("""COMPUTED_VALUE"""),0)</f>
        <v>0</v>
      </c>
      <c r="J148" s="172">
        <f ca="1">IFERROR(__xludf.DUMMYFUNCTION("""COMPUTED_VALUE"""),15)</f>
        <v>15</v>
      </c>
      <c r="K148" s="172"/>
      <c r="L148" s="172"/>
      <c r="M148" s="172"/>
      <c r="N148" s="172"/>
      <c r="O148" s="172"/>
      <c r="P148" s="172"/>
      <c r="Q148" s="172"/>
      <c r="R148" s="172"/>
      <c r="S148" s="172"/>
      <c r="T148" s="172"/>
      <c r="U148" s="172"/>
      <c r="V148" s="172"/>
      <c r="W148" s="172"/>
      <c r="X148" s="172"/>
      <c r="Y148" s="172"/>
      <c r="Z148" s="172"/>
      <c r="AA148" s="172"/>
    </row>
    <row r="149" spans="1:27" ht="34">
      <c r="A149" s="170" t="str">
        <f t="shared" ca="1" si="0"/>
        <v>Applications of Software Architecture for Big Data</v>
      </c>
      <c r="B149" s="171" t="str">
        <f t="shared" ca="1" si="1"/>
        <v>CSCA 5028 - Applications of Software Architecture for Big Data</v>
      </c>
      <c r="C149" s="171" t="str">
        <f t="shared" ca="1" si="2"/>
        <v xml:space="preserve">Nice last one of the series, at least this series improves over the three classes. The project is a very nice way to learn a lot and practice skills learned in the class.  Also it gives a nice project to put on the resume. </v>
      </c>
      <c r="D149" s="172">
        <f t="shared" ca="1" si="3"/>
        <v>1</v>
      </c>
      <c r="E149" s="172">
        <v>24</v>
      </c>
      <c r="F149" s="172"/>
      <c r="G149" s="174" t="str">
        <f ca="1">IFERROR(__xludf.DUMMYFUNCTION("""COMPUTED_VALUE"""),"CSCA 5214 - Computing, Ethics, and Society Foundations")</f>
        <v>CSCA 5214 - Computing, Ethics, and Society Foundations</v>
      </c>
      <c r="H149" s="174"/>
      <c r="I149" s="172">
        <f ca="1">IFERROR(__xludf.DUMMYFUNCTION("""COMPUTED_VALUE"""),0)</f>
        <v>0</v>
      </c>
      <c r="J149" s="172">
        <f ca="1">IFERROR(__xludf.DUMMYFUNCTION("""COMPUTED_VALUE"""),15)</f>
        <v>15</v>
      </c>
      <c r="K149" s="172"/>
      <c r="L149" s="172"/>
      <c r="M149" s="172"/>
      <c r="N149" s="172"/>
      <c r="O149" s="172"/>
      <c r="P149" s="172"/>
      <c r="Q149" s="172"/>
      <c r="R149" s="172"/>
      <c r="S149" s="172"/>
      <c r="T149" s="172"/>
      <c r="U149" s="172"/>
      <c r="V149" s="172"/>
      <c r="W149" s="172"/>
      <c r="X149" s="172"/>
      <c r="Y149" s="172"/>
      <c r="Z149" s="172"/>
      <c r="AA149" s="172"/>
    </row>
    <row r="150" spans="1:27" ht="34">
      <c r="A150" s="170" t="str">
        <f t="shared" ca="1" si="0"/>
        <v>Computing, Ethics, and Society Foundations</v>
      </c>
      <c r="B150" s="171" t="str">
        <f t="shared" ca="1" si="1"/>
        <v>CSCA 5214 - Computing, Ethics, and Society Foundations</v>
      </c>
      <c r="C150" s="171" t="str">
        <f t="shared" ca="1" si="2"/>
        <v xml:space="preserve">I liked this class a lot and the number of articles assigned was good.  I think the only thing lacking is a reinforcement on good writing.  I think as long as you talk about each topic, it is pretty easy to get 100%.  It would be nice to get more feedback on the writing assignments and have the grading be a bit more rigorous to incentivize reviewing and editing your own writing before submitting. </v>
      </c>
      <c r="D150" s="172">
        <f t="shared" ca="1" si="3"/>
        <v>1</v>
      </c>
      <c r="E150" s="172">
        <v>15</v>
      </c>
      <c r="F150" s="172"/>
      <c r="G150" s="174" t="str">
        <f ca="1">IFERROR(__xludf.DUMMYFUNCTION("""COMPUTED_VALUE"""),"CSCA 5214 - Computing, Ethics, and Society Foundations")</f>
        <v>CSCA 5214 - Computing, Ethics, and Society Foundations</v>
      </c>
      <c r="H150" s="174"/>
      <c r="I150" s="172">
        <f ca="1">IFERROR(__xludf.DUMMYFUNCTION("""COMPUTED_VALUE"""),0)</f>
        <v>0</v>
      </c>
      <c r="J150" s="172">
        <f ca="1">IFERROR(__xludf.DUMMYFUNCTION("""COMPUTED_VALUE"""),15)</f>
        <v>15</v>
      </c>
      <c r="K150" s="172"/>
      <c r="L150" s="172"/>
      <c r="M150" s="172"/>
      <c r="N150" s="172"/>
      <c r="O150" s="172"/>
      <c r="P150" s="172"/>
      <c r="Q150" s="172"/>
      <c r="R150" s="172"/>
      <c r="S150" s="172"/>
      <c r="T150" s="172"/>
      <c r="U150" s="172"/>
      <c r="V150" s="172"/>
      <c r="W150" s="172"/>
      <c r="X150" s="172"/>
      <c r="Y150" s="172"/>
      <c r="Z150" s="172"/>
      <c r="AA150" s="172"/>
    </row>
    <row r="151" spans="1:27" ht="34">
      <c r="A151" s="170" t="str">
        <f t="shared" ca="1" si="0"/>
        <v>Network Systems Foundation</v>
      </c>
      <c r="B151" s="171" t="str">
        <f t="shared" ca="1" si="1"/>
        <v>CSCA 5063 - Network Systems Foundation</v>
      </c>
      <c r="C151" s="171" t="str">
        <f t="shared" ca="1" si="2"/>
        <v xml:space="preserve">Nice course. I like the instructors teaching style and the assignments reinforce the material learned for each week.  I think the exam was fairly tricky, but fair. </v>
      </c>
      <c r="D151" s="172">
        <f t="shared" ca="1" si="3"/>
        <v>1</v>
      </c>
      <c r="E151" s="172">
        <v>6</v>
      </c>
      <c r="F151" s="172"/>
      <c r="G151" s="174" t="str">
        <f ca="1">IFERROR(__xludf.DUMMYFUNCTION("""COMPUTED_VALUE"""),"CSCA 5214 - Computing, Ethics, and Society Foundations")</f>
        <v>CSCA 5214 - Computing, Ethics, and Society Foundations</v>
      </c>
      <c r="H151" s="174"/>
      <c r="I151" s="172">
        <f ca="1">IFERROR(__xludf.DUMMYFUNCTION("""COMPUTED_VALUE"""),0)</f>
        <v>0</v>
      </c>
      <c r="J151" s="172">
        <f ca="1">IFERROR(__xludf.DUMMYFUNCTION("""COMPUTED_VALUE"""),15)</f>
        <v>15</v>
      </c>
      <c r="K151" s="172"/>
      <c r="L151" s="172"/>
      <c r="M151" s="172"/>
      <c r="N151" s="172"/>
      <c r="O151" s="172"/>
      <c r="P151" s="172"/>
      <c r="Q151" s="172"/>
      <c r="R151" s="172"/>
      <c r="S151" s="172"/>
      <c r="T151" s="172"/>
      <c r="U151" s="172"/>
      <c r="V151" s="172"/>
      <c r="W151" s="172"/>
      <c r="X151" s="172"/>
      <c r="Y151" s="172"/>
      <c r="Z151" s="172"/>
      <c r="AA151" s="172"/>
    </row>
    <row r="152" spans="1:27" ht="34">
      <c r="A152" s="170" t="str">
        <f t="shared" ca="1" si="0"/>
        <v>Approximation Algorithms and Linear Programming</v>
      </c>
      <c r="B152" s="171" t="str">
        <f t="shared" ca="1" si="1"/>
        <v>CSCA 5424 - Approximation Algorithms and Linear Programming</v>
      </c>
      <c r="C152" s="171" t="str">
        <f t="shared" ca="1" si="2"/>
        <v xml:space="preserve">Really good class. Can't say enough about how good the entire pathway is. </v>
      </c>
      <c r="D152" s="172">
        <f t="shared" ca="1" si="3"/>
        <v>1</v>
      </c>
      <c r="E152" s="172">
        <v>4</v>
      </c>
      <c r="F152" s="172"/>
      <c r="G152" s="174" t="str">
        <f ca="1">IFERROR(__xludf.DUMMYFUNCTION("""COMPUTED_VALUE"""),"CSCA 5224 - Ethical Issues in AI and Professional Ethics")</f>
        <v>CSCA 5224 - Ethical Issues in AI and Professional Ethics</v>
      </c>
      <c r="H152" s="174"/>
      <c r="I152" s="172">
        <f ca="1">IFERROR(__xludf.DUMMYFUNCTION("""COMPUTED_VALUE"""),0)</f>
        <v>0</v>
      </c>
      <c r="J152" s="172">
        <f ca="1">IFERROR(__xludf.DUMMYFUNCTION("""COMPUTED_VALUE"""),16)</f>
        <v>16</v>
      </c>
      <c r="K152" s="172"/>
      <c r="L152" s="172"/>
      <c r="M152" s="172"/>
      <c r="N152" s="172"/>
      <c r="O152" s="172"/>
      <c r="P152" s="172"/>
      <c r="Q152" s="172"/>
      <c r="R152" s="172"/>
      <c r="S152" s="172"/>
      <c r="T152" s="172"/>
      <c r="U152" s="172"/>
      <c r="V152" s="172"/>
      <c r="W152" s="172"/>
      <c r="X152" s="172"/>
      <c r="Y152" s="172"/>
      <c r="Z152" s="172"/>
      <c r="AA152" s="172"/>
    </row>
    <row r="153" spans="1:27" ht="34">
      <c r="A153" s="170" t="str">
        <f t="shared" ca="1" si="0"/>
        <v>Dynamic Programming, Greedy Algorithms</v>
      </c>
      <c r="B153" s="171" t="str">
        <f t="shared" ca="1" si="1"/>
        <v>CSCA 5414 - Dynamic Programming, Greedy Algorithms</v>
      </c>
      <c r="C153" s="171" t="str">
        <f t="shared" ca="1" si="2"/>
        <v>memoization was tricky but was so satisfying to figure out! Great class!</v>
      </c>
      <c r="D153" s="172">
        <f t="shared" ca="1" si="3"/>
        <v>1</v>
      </c>
      <c r="E153" s="172">
        <v>3</v>
      </c>
      <c r="F153" s="172"/>
      <c r="G153" s="174" t="str">
        <f ca="1">IFERROR(__xludf.DUMMYFUNCTION("""COMPUTED_VALUE"""),"CSCA 5224 - Ethical Issues in AI and Professional Ethics")</f>
        <v>CSCA 5224 - Ethical Issues in AI and Professional Ethics</v>
      </c>
      <c r="H153" s="174"/>
      <c r="I153" s="172">
        <f ca="1">IFERROR(__xludf.DUMMYFUNCTION("""COMPUTED_VALUE"""),0)</f>
        <v>0</v>
      </c>
      <c r="J153" s="172">
        <f ca="1">IFERROR(__xludf.DUMMYFUNCTION("""COMPUTED_VALUE"""),16)</f>
        <v>16</v>
      </c>
      <c r="K153" s="172"/>
      <c r="L153" s="172"/>
      <c r="M153" s="172"/>
      <c r="N153" s="172"/>
      <c r="O153" s="172"/>
      <c r="P153" s="172"/>
      <c r="Q153" s="172"/>
      <c r="R153" s="172"/>
      <c r="S153" s="172"/>
      <c r="T153" s="172"/>
      <c r="U153" s="172"/>
      <c r="V153" s="172"/>
      <c r="W153" s="172"/>
      <c r="X153" s="172"/>
      <c r="Y153" s="172"/>
      <c r="Z153" s="172"/>
      <c r="AA153" s="172"/>
    </row>
    <row r="154" spans="1:27" ht="34">
      <c r="A154" s="170" t="str">
        <f t="shared" ca="1" si="0"/>
        <v>Network Principles in Practice: Linux Networking</v>
      </c>
      <c r="B154" s="171" t="str">
        <f t="shared" ca="1" si="1"/>
        <v>CSCA 5073 - Network Principles in Practice: Linux Networking</v>
      </c>
      <c r="C154" s="171">
        <f t="shared" ca="1" si="2"/>
        <v>0</v>
      </c>
      <c r="D154" s="172">
        <f t="shared" ca="1" si="3"/>
        <v>1</v>
      </c>
      <c r="E154" s="172">
        <v>7</v>
      </c>
      <c r="F154" s="172"/>
      <c r="G154" s="174" t="str">
        <f ca="1">IFERROR(__xludf.DUMMYFUNCTION("""COMPUTED_VALUE"""),"CSCA 5224 - Ethical Issues in AI and Professional Ethics")</f>
        <v>CSCA 5224 - Ethical Issues in AI and Professional Ethics</v>
      </c>
      <c r="H154" s="174"/>
      <c r="I154" s="172">
        <f ca="1">IFERROR(__xludf.DUMMYFUNCTION("""COMPUTED_VALUE"""),0)</f>
        <v>0</v>
      </c>
      <c r="J154" s="172">
        <f ca="1">IFERROR(__xludf.DUMMYFUNCTION("""COMPUTED_VALUE"""),16)</f>
        <v>16</v>
      </c>
      <c r="K154" s="172"/>
      <c r="L154" s="172"/>
      <c r="M154" s="172"/>
      <c r="N154" s="172"/>
      <c r="O154" s="172"/>
      <c r="P154" s="172"/>
      <c r="Q154" s="172"/>
      <c r="R154" s="172"/>
      <c r="S154" s="172"/>
      <c r="T154" s="172"/>
      <c r="U154" s="172"/>
      <c r="V154" s="172"/>
      <c r="W154" s="172"/>
      <c r="X154" s="172"/>
      <c r="Y154" s="172"/>
      <c r="Z154" s="172"/>
      <c r="AA154" s="172"/>
    </row>
    <row r="155" spans="1:27" ht="34">
      <c r="A155" s="170" t="str">
        <f t="shared" ca="1" si="0"/>
        <v>Network Principles in Practice: Cloud Networking</v>
      </c>
      <c r="B155" s="171" t="str">
        <f t="shared" ca="1" si="1"/>
        <v>CSCA 5083 - Network Principles in Practice: Cloud Networking</v>
      </c>
      <c r="C155" s="171" t="str">
        <f t="shared" ca="1" si="2"/>
        <v>Course focuses on Google Cloud Platform.  The labs are well designed, more like the first course and require more thought than the Linux networking labs, but still fairly quick to complete.  There is a trick to the week 3 lab--he intentionally left something out and you have to figure it out.  Be aware that if all you do is follow the directions, you won't get it working.  The final contains a lot of questions that weren't covered directly on earlier quizzes, so prepare well.</v>
      </c>
      <c r="D155" s="172">
        <f t="shared" ca="1" si="3"/>
        <v>1</v>
      </c>
      <c r="E155" s="172">
        <v>8</v>
      </c>
      <c r="F155" s="172"/>
      <c r="G155" s="174" t="str">
        <f ca="1">IFERROR(__xludf.DUMMYFUNCTION("""COMPUTED_VALUE"""),"CSCA 5224 - Ethical Issues in AI and Professional Ethics")</f>
        <v>CSCA 5224 - Ethical Issues in AI and Professional Ethics</v>
      </c>
      <c r="H155" s="174"/>
      <c r="I155" s="172">
        <f ca="1">IFERROR(__xludf.DUMMYFUNCTION("""COMPUTED_VALUE"""),0)</f>
        <v>0</v>
      </c>
      <c r="J155" s="172">
        <f ca="1">IFERROR(__xludf.DUMMYFUNCTION("""COMPUTED_VALUE"""),16)</f>
        <v>16</v>
      </c>
      <c r="K155" s="172"/>
      <c r="L155" s="172"/>
      <c r="M155" s="172"/>
      <c r="N155" s="172"/>
      <c r="O155" s="172"/>
      <c r="P155" s="172"/>
      <c r="Q155" s="172"/>
      <c r="R155" s="172"/>
      <c r="S155" s="172"/>
      <c r="T155" s="172"/>
      <c r="U155" s="172"/>
      <c r="V155" s="172"/>
      <c r="W155" s="172"/>
      <c r="X155" s="172"/>
      <c r="Y155" s="172"/>
      <c r="Z155" s="172"/>
      <c r="AA155" s="172"/>
    </row>
    <row r="156" spans="1:27" ht="17">
      <c r="A156" s="170" t="str">
        <f t="shared" ca="1" si="0"/>
        <v>Dynamic Programming, Greedy Algorithms</v>
      </c>
      <c r="B156" s="171" t="str">
        <f t="shared" ca="1" si="1"/>
        <v>CSCA 5414 - Dynamic Programming, Greedy Algorithms</v>
      </c>
      <c r="C156" s="171" t="str">
        <f t="shared" ca="1" si="2"/>
        <v>Course Preparation: I felt very prepared after taking the prior 3 courses in this sequence.
Assignments and quizzes were reflective of the course content and difficulty. The final exam  took 3-4 hours for me to complete.
Tips for Future Students: I spent more time trying to mentally digest DP than any other topic so far. I found that modelling the dynamic programs in excel helped me grasp the topic. However, this of course requires more than basic excel skills, such as index/match.</v>
      </c>
      <c r="D156" s="172">
        <f t="shared" ca="1" si="3"/>
        <v>1</v>
      </c>
      <c r="E156" s="172">
        <v>3</v>
      </c>
      <c r="F156" s="172"/>
      <c r="G156" s="174" t="str">
        <f ca="1">IFERROR(__xludf.DUMMYFUNCTION("""COMPUTED_VALUE"""),"CSCA 5502 - Data Mining Pipeline")</f>
        <v>CSCA 5502 - Data Mining Pipeline</v>
      </c>
      <c r="H156" s="174"/>
      <c r="I156" s="172">
        <f ca="1">IFERROR(__xludf.DUMMYFUNCTION("""COMPUTED_VALUE"""),0)</f>
        <v>0</v>
      </c>
      <c r="J156" s="172">
        <f ca="1">IFERROR(__xludf.DUMMYFUNCTION("""COMPUTED_VALUE"""),19)</f>
        <v>19</v>
      </c>
      <c r="K156" s="172"/>
      <c r="L156" s="172"/>
      <c r="M156" s="172"/>
      <c r="N156" s="172"/>
      <c r="O156" s="172"/>
      <c r="P156" s="172"/>
      <c r="Q156" s="172"/>
      <c r="R156" s="172"/>
      <c r="S156" s="172"/>
      <c r="T156" s="172"/>
      <c r="U156" s="172"/>
      <c r="V156" s="172"/>
      <c r="W156" s="172"/>
      <c r="X156" s="172"/>
      <c r="Y156" s="172"/>
      <c r="Z156" s="172"/>
      <c r="AA156" s="172"/>
    </row>
    <row r="157" spans="1:27" ht="34">
      <c r="A157" s="170" t="str">
        <f t="shared" ca="1" si="0"/>
        <v>Approximation Algorithms and Linear Programming</v>
      </c>
      <c r="B157" s="171" t="str">
        <f t="shared" ca="1" si="1"/>
        <v>CSCA 5424 - Approximation Algorithms and Linear Programming</v>
      </c>
      <c r="C157" s="171" t="str">
        <f t="shared" ca="1" si="2"/>
        <v>Tips for Future Students: I had used PuLP extensively in the past, making this course a breeze. It's not necessary, but practicing how to formulate problems in PuLP or a similar package is very useful not just for this course but potentially also in your career. I'd also recommend, where appropriate, to stop using academic-looking variable and parameter names when writing code. For example, don't call a decision variable for quantity of items to ship from A to B "x[a,b]", instead call it "quantity_to_ship[a,b]" - it makes readability easier for everyone.</v>
      </c>
      <c r="D157" s="172">
        <f t="shared" ca="1" si="3"/>
        <v>1</v>
      </c>
      <c r="E157" s="172">
        <v>4</v>
      </c>
      <c r="F157" s="172"/>
      <c r="G157" s="174" t="str">
        <f ca="1">IFERROR(__xludf.DUMMYFUNCTION("""COMPUTED_VALUE"""),"CSCA 5008 - Fundamentals of Software Architecture for Big Data")</f>
        <v>CSCA 5008 - Fundamentals of Software Architecture for Big Data</v>
      </c>
      <c r="H157" s="174"/>
      <c r="I157" s="172">
        <f ca="1">IFERROR(__xludf.DUMMYFUNCTION("""COMPUTED_VALUE"""),0)</f>
        <v>0</v>
      </c>
      <c r="J157" s="172">
        <f ca="1">IFERROR(__xludf.DUMMYFUNCTION("""COMPUTED_VALUE"""),22)</f>
        <v>22</v>
      </c>
      <c r="K157" s="172"/>
      <c r="L157" s="172"/>
      <c r="M157" s="172"/>
      <c r="N157" s="172"/>
      <c r="O157" s="172"/>
      <c r="P157" s="172"/>
      <c r="Q157" s="172"/>
      <c r="R157" s="172"/>
      <c r="S157" s="172"/>
      <c r="T157" s="172"/>
      <c r="U157" s="172"/>
      <c r="V157" s="172"/>
      <c r="W157" s="172"/>
      <c r="X157" s="172"/>
      <c r="Y157" s="172"/>
      <c r="Z157" s="172"/>
      <c r="AA157" s="172"/>
    </row>
    <row r="158" spans="1:27" ht="34">
      <c r="A158" s="170" t="str">
        <f t="shared" ca="1" si="0"/>
        <v>Introduction to Computer Vision</v>
      </c>
      <c r="B158" s="171" t="str">
        <f t="shared" ca="1" si="1"/>
        <v>CSCA 5222 - Introduction to Computer Vision</v>
      </c>
      <c r="C158" s="171" t="str">
        <f t="shared" ca="1" si="2"/>
        <v>First, I HIGHLY recommend this course for anyone who needs a review in linear algebra, especially matrix operations.  The course is very math heavy, and examines hands on the math behind computer vision operations.  I suspect it will be very effective when taken in conjunction with the later courses.  I was one of the first through the course, and at this point it is still fairly buggy, with quite a few broken quiz questions in week 4 content especially.  This should be fixed shortly.  
Similar to Intro to Gen AI, the final is a combination of questions from earlier content. (With only two allowed attempts).  Because not every quiz or practice assignment will give you every question each time, it is possible that there will be some new questions you haven't seen before on the final.  But for the most part, if you've gotten an A on the practice assignments and weekly assignments, the final should be easy.</v>
      </c>
      <c r="D158" s="172">
        <f t="shared" ca="1" si="3"/>
        <v>1</v>
      </c>
      <c r="E158" s="172">
        <v>40</v>
      </c>
      <c r="F158" s="172"/>
      <c r="G158" s="174" t="str">
        <f ca="1">IFERROR(__xludf.DUMMYFUNCTION("""COMPUTED_VALUE"""),"CSCA 5008 - Fundamentals of Software Architecture for Big Data")</f>
        <v>CSCA 5008 - Fundamentals of Software Architecture for Big Data</v>
      </c>
      <c r="H158" s="174"/>
      <c r="I158" s="172">
        <f ca="1">IFERROR(__xludf.DUMMYFUNCTION("""COMPUTED_VALUE"""),0)</f>
        <v>0</v>
      </c>
      <c r="J158" s="172">
        <f ca="1">IFERROR(__xludf.DUMMYFUNCTION("""COMPUTED_VALUE"""),22)</f>
        <v>22</v>
      </c>
      <c r="K158" s="172"/>
      <c r="L158" s="172"/>
      <c r="M158" s="172"/>
      <c r="N158" s="172"/>
      <c r="O158" s="172"/>
      <c r="P158" s="172"/>
      <c r="Q158" s="172"/>
      <c r="R158" s="172"/>
      <c r="S158" s="172"/>
      <c r="T158" s="172"/>
      <c r="U158" s="172"/>
      <c r="V158" s="172"/>
      <c r="W158" s="172"/>
      <c r="X158" s="172"/>
      <c r="Y158" s="172"/>
      <c r="Z158" s="172"/>
      <c r="AA158" s="172"/>
    </row>
    <row r="159" spans="1:27" ht="34">
      <c r="A159" s="170" t="str">
        <f t="shared" ca="1" si="0"/>
        <v>Dynamic Programming, Greedy Algorithms</v>
      </c>
      <c r="B159" s="171" t="str">
        <f t="shared" ca="1" si="1"/>
        <v>CSCA 5414 - Dynamic Programming, Greedy Algorithms</v>
      </c>
      <c r="C159" s="171">
        <f t="shared" ca="1" si="2"/>
        <v>0</v>
      </c>
      <c r="D159" s="172">
        <f t="shared" ca="1" si="3"/>
        <v>1</v>
      </c>
      <c r="E159" s="172">
        <v>3</v>
      </c>
      <c r="F159" s="172"/>
      <c r="G159" s="174" t="str">
        <f ca="1">IFERROR(__xludf.DUMMYFUNCTION("""COMPUTED_VALUE"""),"CSCA 5008 - Fundamentals of Software Architecture for Big Data")</f>
        <v>CSCA 5008 - Fundamentals of Software Architecture for Big Data</v>
      </c>
      <c r="H159" s="174"/>
      <c r="I159" s="172">
        <f ca="1">IFERROR(__xludf.DUMMYFUNCTION("""COMPUTED_VALUE"""),0)</f>
        <v>0</v>
      </c>
      <c r="J159" s="172">
        <f ca="1">IFERROR(__xludf.DUMMYFUNCTION("""COMPUTED_VALUE"""),22)</f>
        <v>22</v>
      </c>
      <c r="K159" s="172"/>
      <c r="L159" s="172"/>
      <c r="M159" s="172"/>
      <c r="N159" s="172"/>
      <c r="O159" s="172"/>
      <c r="P159" s="172"/>
      <c r="Q159" s="172"/>
      <c r="R159" s="172"/>
      <c r="S159" s="172"/>
      <c r="T159" s="172"/>
      <c r="U159" s="172"/>
      <c r="V159" s="172"/>
      <c r="W159" s="172"/>
      <c r="X159" s="172"/>
      <c r="Y159" s="172"/>
      <c r="Z159" s="172"/>
      <c r="AA159" s="172"/>
    </row>
    <row r="160" spans="1:27" ht="34">
      <c r="A160" s="170" t="str">
        <f t="shared" ca="1" si="0"/>
        <v>Approximation Algorithms and Linear Programming</v>
      </c>
      <c r="B160" s="171" t="str">
        <f t="shared" ca="1" si="1"/>
        <v>CSCA 5424 - Approximation Algorithms and Linear Programming</v>
      </c>
      <c r="C160" s="171">
        <f t="shared" ca="1" si="2"/>
        <v>0</v>
      </c>
      <c r="D160" s="172">
        <f t="shared" ca="1" si="3"/>
        <v>1</v>
      </c>
      <c r="E160" s="172">
        <v>4</v>
      </c>
      <c r="F160" s="172"/>
      <c r="G160" s="174" t="str">
        <f ca="1">IFERROR(__xludf.DUMMYFUNCTION("""COMPUTED_VALUE"""),"CSCA 5008 - Fundamentals of Software Architecture for Big Data")</f>
        <v>CSCA 5008 - Fundamentals of Software Architecture for Big Data</v>
      </c>
      <c r="H160" s="174"/>
      <c r="I160" s="172">
        <f ca="1">IFERROR(__xludf.DUMMYFUNCTION("""COMPUTED_VALUE"""),0)</f>
        <v>0</v>
      </c>
      <c r="J160" s="172">
        <f ca="1">IFERROR(__xludf.DUMMYFUNCTION("""COMPUTED_VALUE"""),22)</f>
        <v>22</v>
      </c>
      <c r="K160" s="172"/>
      <c r="L160" s="172"/>
      <c r="M160" s="172"/>
      <c r="N160" s="172"/>
      <c r="O160" s="172"/>
      <c r="P160" s="172"/>
      <c r="Q160" s="172"/>
      <c r="R160" s="172"/>
      <c r="S160" s="172"/>
      <c r="T160" s="172"/>
      <c r="U160" s="172"/>
      <c r="V160" s="172"/>
      <c r="W160" s="172"/>
      <c r="X160" s="172"/>
      <c r="Y160" s="172"/>
      <c r="Z160" s="172"/>
      <c r="AA160" s="172"/>
    </row>
    <row r="161" spans="1:27" ht="34">
      <c r="A161" s="170" t="str">
        <f t="shared" ca="1" si="0"/>
        <v>Advanced Data Structures, RSA and Quantum Algorithms</v>
      </c>
      <c r="B161" s="171" t="str">
        <f t="shared" ca="1" si="1"/>
        <v>CSCA 5454 - Advanced Data Structures, RSA and Quantum Algorithms</v>
      </c>
      <c r="C161" s="171">
        <f t="shared" ca="1" si="2"/>
        <v>0</v>
      </c>
      <c r="D161" s="172">
        <f t="shared" ca="1" si="3"/>
        <v>1</v>
      </c>
      <c r="E161" s="172">
        <v>5</v>
      </c>
      <c r="F161" s="172"/>
      <c r="G161" s="174" t="str">
        <f ca="1">IFERROR(__xludf.DUMMYFUNCTION("""COMPUTED_VALUE"""),"CSCA 5008 - Fundamentals of Software Architecture for Big Data")</f>
        <v>CSCA 5008 - Fundamentals of Software Architecture for Big Data</v>
      </c>
      <c r="H161" s="174"/>
      <c r="I161" s="172">
        <f ca="1">IFERROR(__xludf.DUMMYFUNCTION("""COMPUTED_VALUE"""),0)</f>
        <v>0</v>
      </c>
      <c r="J161" s="172">
        <f ca="1">IFERROR(__xludf.DUMMYFUNCTION("""COMPUTED_VALUE"""),22)</f>
        <v>22</v>
      </c>
      <c r="K161" s="172"/>
      <c r="L161" s="172"/>
      <c r="M161" s="172"/>
      <c r="N161" s="172"/>
      <c r="O161" s="172"/>
      <c r="P161" s="172"/>
      <c r="Q161" s="172"/>
      <c r="R161" s="172"/>
      <c r="S161" s="172"/>
      <c r="T161" s="172"/>
      <c r="U161" s="172"/>
      <c r="V161" s="172"/>
      <c r="W161" s="172"/>
      <c r="X161" s="172"/>
      <c r="Y161" s="172"/>
      <c r="Z161" s="172"/>
      <c r="AA161" s="172"/>
    </row>
    <row r="162" spans="1:27" ht="34">
      <c r="A162" s="170" t="str">
        <f t="shared" ca="1" si="0"/>
        <v>Fundamentals of Software Architecture for Big Data</v>
      </c>
      <c r="B162" s="171" t="str">
        <f t="shared" ca="1" si="1"/>
        <v>CSCA 5008 - Fundamentals of Software Architecture for Big Data</v>
      </c>
      <c r="C162" s="171">
        <f t="shared" ca="1" si="2"/>
        <v>0</v>
      </c>
      <c r="D162" s="172">
        <f t="shared" ca="1" si="3"/>
        <v>1</v>
      </c>
      <c r="E162" s="172">
        <v>22</v>
      </c>
      <c r="F162" s="172"/>
      <c r="G162" s="174" t="str">
        <f ca="1">IFERROR(__xludf.DUMMYFUNCTION("""COMPUTED_VALUE"""),"CSCA 5008 - Fundamentals of Software Architecture for Big Data")</f>
        <v>CSCA 5008 - Fundamentals of Software Architecture for Big Data</v>
      </c>
      <c r="H162" s="174"/>
      <c r="I162" s="172">
        <f ca="1">IFERROR(__xludf.DUMMYFUNCTION("""COMPUTED_VALUE"""),0)</f>
        <v>0</v>
      </c>
      <c r="J162" s="172">
        <f ca="1">IFERROR(__xludf.DUMMYFUNCTION("""COMPUTED_VALUE"""),22)</f>
        <v>22</v>
      </c>
      <c r="K162" s="172"/>
      <c r="L162" s="172"/>
      <c r="M162" s="172"/>
      <c r="N162" s="172"/>
      <c r="O162" s="172"/>
      <c r="P162" s="172"/>
      <c r="Q162" s="172"/>
      <c r="R162" s="172"/>
      <c r="S162" s="172"/>
      <c r="T162" s="172"/>
      <c r="U162" s="172"/>
      <c r="V162" s="172"/>
      <c r="W162" s="172"/>
      <c r="X162" s="172"/>
      <c r="Y162" s="172"/>
      <c r="Z162" s="172"/>
      <c r="AA162" s="172"/>
    </row>
    <row r="163" spans="1:27" ht="34">
      <c r="A163" s="170" t="str">
        <f t="shared" ca="1" si="0"/>
        <v>Software Architecture Patterns for Big Data</v>
      </c>
      <c r="B163" s="171" t="str">
        <f t="shared" ca="1" si="1"/>
        <v>CSCA 5018 - Software Architecture Patterns for Big Data</v>
      </c>
      <c r="C163" s="171">
        <f t="shared" ca="1" si="2"/>
        <v>0</v>
      </c>
      <c r="D163" s="172">
        <f t="shared" ca="1" si="3"/>
        <v>1</v>
      </c>
      <c r="E163" s="172">
        <v>23</v>
      </c>
      <c r="F163" s="172"/>
      <c r="G163" s="174" t="str">
        <f ca="1">IFERROR(__xludf.DUMMYFUNCTION("""COMPUTED_VALUE"""),"CSCA 5008 - Fundamentals of Software Architecture for Big Data")</f>
        <v>CSCA 5008 - Fundamentals of Software Architecture for Big Data</v>
      </c>
      <c r="H163" s="174"/>
      <c r="I163" s="172">
        <f ca="1">IFERROR(__xludf.DUMMYFUNCTION("""COMPUTED_VALUE"""),0)</f>
        <v>0</v>
      </c>
      <c r="J163" s="172">
        <f ca="1">IFERROR(__xludf.DUMMYFUNCTION("""COMPUTED_VALUE"""),22)</f>
        <v>22</v>
      </c>
      <c r="K163" s="172"/>
      <c r="L163" s="172"/>
      <c r="M163" s="172"/>
      <c r="N163" s="172"/>
      <c r="O163" s="172"/>
      <c r="P163" s="172"/>
      <c r="Q163" s="172"/>
      <c r="R163" s="172"/>
      <c r="S163" s="172"/>
      <c r="T163" s="172"/>
      <c r="U163" s="172"/>
      <c r="V163" s="172"/>
      <c r="W163" s="172"/>
      <c r="X163" s="172"/>
      <c r="Y163" s="172"/>
      <c r="Z163" s="172"/>
      <c r="AA163" s="172"/>
    </row>
    <row r="164" spans="1:27" ht="34">
      <c r="A164" s="170" t="str">
        <f t="shared" ca="1" si="0"/>
        <v>Applications of Software Architecture for Big Data</v>
      </c>
      <c r="B164" s="171" t="str">
        <f t="shared" ca="1" si="1"/>
        <v>CSCA 5028 - Applications of Software Architecture for Big Data</v>
      </c>
      <c r="C164" s="171">
        <f t="shared" ca="1" si="2"/>
        <v>0</v>
      </c>
      <c r="D164" s="172">
        <f t="shared" ca="1" si="3"/>
        <v>1</v>
      </c>
      <c r="E164" s="172">
        <v>24</v>
      </c>
      <c r="F164" s="172"/>
      <c r="G164" s="174" t="str">
        <f ca="1">IFERROR(__xludf.DUMMYFUNCTION("""COMPUTED_VALUE"""),"CSCA 5008 - Fundamentals of Software Architecture for Big Data")</f>
        <v>CSCA 5008 - Fundamentals of Software Architecture for Big Data</v>
      </c>
      <c r="H164" s="174"/>
      <c r="I164" s="172">
        <f ca="1">IFERROR(__xludf.DUMMYFUNCTION("""COMPUTED_VALUE"""),0)</f>
        <v>0</v>
      </c>
      <c r="J164" s="172">
        <f ca="1">IFERROR(__xludf.DUMMYFUNCTION("""COMPUTED_VALUE"""),22)</f>
        <v>22</v>
      </c>
      <c r="K164" s="172"/>
      <c r="L164" s="172"/>
      <c r="M164" s="172"/>
      <c r="N164" s="172"/>
      <c r="O164" s="172"/>
      <c r="P164" s="172"/>
      <c r="Q164" s="172"/>
      <c r="R164" s="172"/>
      <c r="S164" s="172"/>
      <c r="T164" s="172"/>
      <c r="U164" s="172"/>
      <c r="V164" s="172"/>
      <c r="W164" s="172"/>
      <c r="X164" s="172"/>
      <c r="Y164" s="172"/>
      <c r="Z164" s="172"/>
      <c r="AA164" s="172"/>
    </row>
    <row r="165" spans="1:27" ht="34">
      <c r="A165" s="170" t="str">
        <f t="shared" ca="1" si="0"/>
        <v>Computing, Ethics, and Society Foundations</v>
      </c>
      <c r="B165" s="171" t="str">
        <f t="shared" ca="1" si="1"/>
        <v>CSCA 5214 - Computing, Ethics, and Society Foundations</v>
      </c>
      <c r="C165" s="171">
        <f t="shared" ca="1" si="2"/>
        <v>0</v>
      </c>
      <c r="D165" s="172">
        <f t="shared" ca="1" si="3"/>
        <v>1</v>
      </c>
      <c r="E165" s="172">
        <v>15</v>
      </c>
      <c r="F165" s="172"/>
      <c r="G165" s="174" t="str">
        <f ca="1">IFERROR(__xludf.DUMMYFUNCTION("""COMPUTED_VALUE"""),"CSCA 5008 - Fundamentals of Software Architecture for Big Data")</f>
        <v>CSCA 5008 - Fundamentals of Software Architecture for Big Data</v>
      </c>
      <c r="H165" s="174"/>
      <c r="I165" s="172">
        <f ca="1">IFERROR(__xludf.DUMMYFUNCTION("""COMPUTED_VALUE"""),0)</f>
        <v>0</v>
      </c>
      <c r="J165" s="172">
        <f ca="1">IFERROR(__xludf.DUMMYFUNCTION("""COMPUTED_VALUE"""),22)</f>
        <v>22</v>
      </c>
      <c r="K165" s="172"/>
      <c r="L165" s="172"/>
      <c r="M165" s="172"/>
      <c r="N165" s="172"/>
      <c r="O165" s="172"/>
      <c r="P165" s="172"/>
      <c r="Q165" s="172"/>
      <c r="R165" s="172"/>
      <c r="S165" s="172"/>
      <c r="T165" s="172"/>
      <c r="U165" s="172"/>
      <c r="V165" s="172"/>
      <c r="W165" s="172"/>
      <c r="X165" s="172"/>
      <c r="Y165" s="172"/>
      <c r="Z165" s="172"/>
      <c r="AA165" s="172"/>
    </row>
    <row r="166" spans="1:27" ht="34">
      <c r="A166" s="170" t="str">
        <f t="shared" ca="1" si="0"/>
        <v>Ethical Issues in AI and Professional Ethics</v>
      </c>
      <c r="B166" s="171" t="str">
        <f t="shared" ca="1" si="1"/>
        <v>CSCA 5224 - Ethical Issues in AI and Professional Ethics</v>
      </c>
      <c r="C166" s="171">
        <f t="shared" ca="1" si="2"/>
        <v>0</v>
      </c>
      <c r="D166" s="172">
        <f t="shared" ca="1" si="3"/>
        <v>1</v>
      </c>
      <c r="E166" s="172">
        <v>16</v>
      </c>
      <c r="F166" s="172"/>
      <c r="G166" s="174" t="str">
        <f ca="1">IFERROR(__xludf.DUMMYFUNCTION("""COMPUTED_VALUE"""),"CSCA 5008 - Fundamentals of Software Architecture for Big Data")</f>
        <v>CSCA 5008 - Fundamentals of Software Architecture for Big Data</v>
      </c>
      <c r="H166" s="174"/>
      <c r="I166" s="172">
        <f ca="1">IFERROR(__xludf.DUMMYFUNCTION("""COMPUTED_VALUE"""),0)</f>
        <v>0</v>
      </c>
      <c r="J166" s="172">
        <f ca="1">IFERROR(__xludf.DUMMYFUNCTION("""COMPUTED_VALUE"""),22)</f>
        <v>22</v>
      </c>
      <c r="K166" s="172"/>
      <c r="L166" s="172"/>
      <c r="M166" s="172"/>
      <c r="N166" s="172"/>
      <c r="O166" s="172"/>
      <c r="P166" s="172"/>
      <c r="Q166" s="172"/>
      <c r="R166" s="172"/>
      <c r="S166" s="172"/>
      <c r="T166" s="172"/>
      <c r="U166" s="172"/>
      <c r="V166" s="172"/>
      <c r="W166" s="172"/>
      <c r="X166" s="172"/>
      <c r="Y166" s="172"/>
      <c r="Z166" s="172"/>
      <c r="AA166" s="172"/>
    </row>
    <row r="167" spans="1:27" ht="34">
      <c r="A167" s="170" t="str">
        <f t="shared" ca="1" si="0"/>
        <v>Ethical Issues in Computing Applications</v>
      </c>
      <c r="B167" s="171" t="str">
        <f t="shared" ca="1" si="1"/>
        <v>CSCA 5234 - Ethical Issues in Computing Applications</v>
      </c>
      <c r="C167" s="171">
        <f t="shared" ca="1" si="2"/>
        <v>0</v>
      </c>
      <c r="D167" s="172">
        <f t="shared" ca="1" si="3"/>
        <v>1</v>
      </c>
      <c r="E167" s="172" t="s">
        <v>281</v>
      </c>
      <c r="F167" s="172"/>
      <c r="G167" s="174" t="str">
        <f ca="1">IFERROR(__xludf.DUMMYFUNCTION("""COMPUTED_VALUE"""),"CSCA 5008 - Fundamentals of Software Architecture for Big Data")</f>
        <v>CSCA 5008 - Fundamentals of Software Architecture for Big Data</v>
      </c>
      <c r="H167" s="174"/>
      <c r="I167" s="172">
        <f ca="1">IFERROR(__xludf.DUMMYFUNCTION("""COMPUTED_VALUE"""),0)</f>
        <v>0</v>
      </c>
      <c r="J167" s="172">
        <f ca="1">IFERROR(__xludf.DUMMYFUNCTION("""COMPUTED_VALUE"""),22)</f>
        <v>22</v>
      </c>
      <c r="K167" s="172"/>
      <c r="L167" s="172"/>
      <c r="M167" s="172"/>
      <c r="N167" s="172"/>
      <c r="O167" s="172"/>
      <c r="P167" s="172"/>
      <c r="Q167" s="172"/>
      <c r="R167" s="172"/>
      <c r="S167" s="172"/>
      <c r="T167" s="172"/>
      <c r="U167" s="172"/>
      <c r="V167" s="172"/>
      <c r="W167" s="172"/>
      <c r="X167" s="172"/>
      <c r="Y167" s="172"/>
      <c r="Z167" s="172"/>
      <c r="AA167" s="172"/>
    </row>
    <row r="168" spans="1:27" ht="34">
      <c r="A168" s="170" t="str">
        <f t="shared" ca="1" si="0"/>
        <v>Basic Robotic Behaviors and Odometry</v>
      </c>
      <c r="B168" s="171" t="str">
        <f t="shared" ca="1" si="1"/>
        <v>CSCA 5312 - Basic Robotic Behaviors and Odometry</v>
      </c>
      <c r="C168" s="171">
        <f t="shared" ca="1" si="2"/>
        <v>0</v>
      </c>
      <c r="D168" s="172">
        <f t="shared" ca="1" si="3"/>
        <v>1</v>
      </c>
      <c r="E168" s="172">
        <v>31</v>
      </c>
      <c r="F168" s="172"/>
      <c r="G168" s="174" t="str">
        <f ca="1">IFERROR(__xludf.DUMMYFUNCTION("""COMPUTED_VALUE"""),"CSCA 5018 - Software Architecture Patterns for Big Data")</f>
        <v>CSCA 5018 - Software Architecture Patterns for Big Data</v>
      </c>
      <c r="H168" s="174"/>
      <c r="I168" s="172">
        <f ca="1">IFERROR(__xludf.DUMMYFUNCTION("""COMPUTED_VALUE"""),0)</f>
        <v>0</v>
      </c>
      <c r="J168" s="172">
        <f ca="1">IFERROR(__xludf.DUMMYFUNCTION("""COMPUTED_VALUE"""),23)</f>
        <v>23</v>
      </c>
      <c r="K168" s="172"/>
      <c r="L168" s="172"/>
      <c r="M168" s="172"/>
      <c r="N168" s="172"/>
      <c r="O168" s="172"/>
      <c r="P168" s="172"/>
      <c r="Q168" s="172"/>
      <c r="R168" s="172"/>
      <c r="S168" s="172"/>
      <c r="T168" s="172"/>
      <c r="U168" s="172"/>
      <c r="V168" s="172"/>
      <c r="W168" s="172"/>
      <c r="X168" s="172"/>
      <c r="Y168" s="172"/>
      <c r="Z168" s="172"/>
      <c r="AA168" s="172"/>
    </row>
    <row r="169" spans="1:27" ht="34">
      <c r="A169" s="170" t="str">
        <f t="shared" ca="1" si="0"/>
        <v>Robotic Mapping and Trajectory Generation</v>
      </c>
      <c r="B169" s="171" t="str">
        <f t="shared" ca="1" si="1"/>
        <v>CSCA 5332 - Robotic Mapping and Trajectory Generation</v>
      </c>
      <c r="C169" s="171">
        <f t="shared" ca="1" si="2"/>
        <v>0</v>
      </c>
      <c r="D169" s="172">
        <f t="shared" ca="1" si="3"/>
        <v>1</v>
      </c>
      <c r="E169" s="172">
        <v>32</v>
      </c>
      <c r="F169" s="172"/>
      <c r="G169" s="174" t="str">
        <f ca="1">IFERROR(__xludf.DUMMYFUNCTION("""COMPUTED_VALUE"""),"CSCA 5018 - Software Architecture Patterns for Big Data")</f>
        <v>CSCA 5018 - Software Architecture Patterns for Big Data</v>
      </c>
      <c r="H169" s="174"/>
      <c r="I169" s="172">
        <f ca="1">IFERROR(__xludf.DUMMYFUNCTION("""COMPUTED_VALUE"""),0)</f>
        <v>0</v>
      </c>
      <c r="J169" s="172">
        <f ca="1">IFERROR(__xludf.DUMMYFUNCTION("""COMPUTED_VALUE"""),23)</f>
        <v>23</v>
      </c>
      <c r="K169" s="172"/>
      <c r="L169" s="172"/>
      <c r="M169" s="172"/>
      <c r="N169" s="172"/>
      <c r="O169" s="172"/>
      <c r="P169" s="172"/>
      <c r="Q169" s="172"/>
      <c r="R169" s="172"/>
      <c r="S169" s="172"/>
      <c r="T169" s="172"/>
      <c r="U169" s="172"/>
      <c r="V169" s="172"/>
      <c r="W169" s="172"/>
      <c r="X169" s="172"/>
      <c r="Y169" s="172"/>
      <c r="Z169" s="172"/>
      <c r="AA169" s="172"/>
    </row>
    <row r="170" spans="1:27" ht="34">
      <c r="A170" s="170" t="str">
        <f t="shared" ca="1" si="0"/>
        <v>Data Mining Pipeline</v>
      </c>
      <c r="B170" s="171" t="str">
        <f t="shared" ca="1" si="1"/>
        <v>CSCA 5502 - Data Mining Pipeline</v>
      </c>
      <c r="C170" s="171" t="str">
        <f t="shared" ca="1" si="2"/>
        <v>No need for any background in this class. The content of the data pipeline is good and reflects what you'll see in the "real world". However, the assignments are too easy. I didn't think they challenged the ideas that were taught in the class.</v>
      </c>
      <c r="D170" s="172">
        <f t="shared" ca="1" si="3"/>
        <v>1</v>
      </c>
      <c r="E170" s="172">
        <v>19</v>
      </c>
      <c r="F170" s="172"/>
      <c r="G170" s="174" t="str">
        <f ca="1">IFERROR(__xludf.DUMMYFUNCTION("""COMPUTED_VALUE"""),"CSCA 5018 - Software Architecture Patterns for Big Data")</f>
        <v>CSCA 5018 - Software Architecture Patterns for Big Data</v>
      </c>
      <c r="H170" s="174"/>
      <c r="I170" s="172">
        <f ca="1">IFERROR(__xludf.DUMMYFUNCTION("""COMPUTED_VALUE"""),0)</f>
        <v>0</v>
      </c>
      <c r="J170" s="172">
        <f ca="1">IFERROR(__xludf.DUMMYFUNCTION("""COMPUTED_VALUE"""),23)</f>
        <v>23</v>
      </c>
      <c r="K170" s="172"/>
      <c r="L170" s="172"/>
      <c r="M170" s="172"/>
      <c r="N170" s="172"/>
      <c r="O170" s="172"/>
      <c r="P170" s="172"/>
      <c r="Q170" s="172"/>
      <c r="R170" s="172"/>
      <c r="S170" s="172"/>
      <c r="T170" s="172"/>
      <c r="U170" s="172"/>
      <c r="V170" s="172"/>
      <c r="W170" s="172"/>
      <c r="X170" s="172"/>
      <c r="Y170" s="172"/>
      <c r="Z170" s="172"/>
      <c r="AA170" s="172"/>
    </row>
    <row r="171" spans="1:27" ht="34">
      <c r="A171" s="170" t="str">
        <f t="shared" ca="1" si="0"/>
        <v>Data Mining Methods</v>
      </c>
      <c r="B171" s="171" t="str">
        <f t="shared" ca="1" si="1"/>
        <v>CSCA 5512 - Data Mining Methods</v>
      </c>
      <c r="C171" s="171" t="str">
        <f t="shared" ca="1" si="2"/>
        <v>This course was a big improvement over the previous course. The assignments were much better than the previous course; however, they still could have been more challenging and more broad to the material that was taught in the class.</v>
      </c>
      <c r="D171" s="172">
        <f t="shared" ca="1" si="3"/>
        <v>1</v>
      </c>
      <c r="E171" s="172">
        <v>20</v>
      </c>
      <c r="F171" s="172"/>
      <c r="G171" s="174" t="str">
        <f ca="1">IFERROR(__xludf.DUMMYFUNCTION("""COMPUTED_VALUE"""),"CSCA 5018 - Software Architecture Patterns for Big Data")</f>
        <v>CSCA 5018 - Software Architecture Patterns for Big Data</v>
      </c>
      <c r="H171" s="174"/>
      <c r="I171" s="172">
        <f ca="1">IFERROR(__xludf.DUMMYFUNCTION("""COMPUTED_VALUE"""),0)</f>
        <v>0</v>
      </c>
      <c r="J171" s="172">
        <f ca="1">IFERROR(__xludf.DUMMYFUNCTION("""COMPUTED_VALUE"""),23)</f>
        <v>23</v>
      </c>
      <c r="K171" s="172"/>
      <c r="L171" s="172"/>
      <c r="M171" s="172"/>
      <c r="N171" s="172"/>
      <c r="O171" s="172"/>
      <c r="P171" s="172"/>
      <c r="Q171" s="172"/>
      <c r="R171" s="172"/>
      <c r="S171" s="172"/>
      <c r="T171" s="172"/>
      <c r="U171" s="172"/>
      <c r="V171" s="172"/>
      <c r="W171" s="172"/>
      <c r="X171" s="172"/>
      <c r="Y171" s="172"/>
      <c r="Z171" s="172"/>
      <c r="AA171" s="172"/>
    </row>
    <row r="172" spans="1:27" ht="34">
      <c r="A172" s="170" t="str">
        <f t="shared" ca="1" si="0"/>
        <v>Dynamic Programming, Greedy Algorithms</v>
      </c>
      <c r="B172" s="171" t="str">
        <f t="shared" ca="1" si="1"/>
        <v>CSCA 5414 - Dynamic Programming, Greedy Algorithms</v>
      </c>
      <c r="C172" s="171" t="str">
        <f t="shared" ca="1" si="2"/>
        <v xml:space="preserve">This course a great introduction and brief overview of Dynamic Programming. The assignments and final are challenging and add appropriate "altering" of standard DP problems. The toughest part of this class is understanding how to build memoization and solution tables to extract optimal solutions. The idea of DP is simple and easy to understand; however, the implementation part is where DP is challenging.
If you took the two previous DSA courses to this, know that this course is a much larger step up in terms of difficulty. </v>
      </c>
      <c r="D172" s="172">
        <f t="shared" ca="1" si="3"/>
        <v>1</v>
      </c>
      <c r="E172" s="172">
        <v>3</v>
      </c>
      <c r="F172" s="172"/>
      <c r="G172" s="174" t="str">
        <f ca="1">IFERROR(__xludf.DUMMYFUNCTION("""COMPUTED_VALUE"""),"CSCA 5018 - Software Architecture Patterns for Big Data")</f>
        <v>CSCA 5018 - Software Architecture Patterns for Big Data</v>
      </c>
      <c r="H172" s="174"/>
      <c r="I172" s="172">
        <f ca="1">IFERROR(__xludf.DUMMYFUNCTION("""COMPUTED_VALUE"""),0)</f>
        <v>0</v>
      </c>
      <c r="J172" s="172">
        <f ca="1">IFERROR(__xludf.DUMMYFUNCTION("""COMPUTED_VALUE"""),23)</f>
        <v>23</v>
      </c>
      <c r="K172" s="172"/>
      <c r="L172" s="172"/>
      <c r="M172" s="172"/>
      <c r="N172" s="172"/>
      <c r="O172" s="172"/>
      <c r="P172" s="172"/>
      <c r="Q172" s="172"/>
      <c r="R172" s="172"/>
      <c r="S172" s="172"/>
      <c r="T172" s="172"/>
      <c r="U172" s="172"/>
      <c r="V172" s="172"/>
      <c r="W172" s="172"/>
      <c r="X172" s="172"/>
      <c r="Y172" s="172"/>
      <c r="Z172" s="172"/>
      <c r="AA172" s="172"/>
    </row>
    <row r="173" spans="1:27" ht="34">
      <c r="A173" s="170" t="str">
        <f t="shared" ca="1" si="0"/>
        <v>Network Principles in Practice: Cloud Networking</v>
      </c>
      <c r="B173" s="171" t="str">
        <f t="shared" ca="1" si="1"/>
        <v>CSCA 5083 - Network Principles in Practice: Cloud Networking</v>
      </c>
      <c r="C173" s="171" t="str">
        <f t="shared" ca="1" si="2"/>
        <v>Prep : Previous courses would be enough
Assignments and exams : have to go deep into the readings but not much besides that
Tips : Assignments involve actually getting a GCP account and using it. Be prepared to spend money or new GCP account free credits.</v>
      </c>
      <c r="D173" s="172">
        <f t="shared" ca="1" si="3"/>
        <v>1</v>
      </c>
      <c r="E173" s="172">
        <v>8</v>
      </c>
      <c r="F173" s="172"/>
      <c r="G173" s="174" t="str">
        <f ca="1">IFERROR(__xludf.DUMMYFUNCTION("""COMPUTED_VALUE"""),"CSCA 5018 - Software Architecture Patterns for Big Data")</f>
        <v>CSCA 5018 - Software Architecture Patterns for Big Data</v>
      </c>
      <c r="H173" s="174"/>
      <c r="I173" s="172">
        <f ca="1">IFERROR(__xludf.DUMMYFUNCTION("""COMPUTED_VALUE"""),0)</f>
        <v>0</v>
      </c>
      <c r="J173" s="172">
        <f ca="1">IFERROR(__xludf.DUMMYFUNCTION("""COMPUTED_VALUE"""),23)</f>
        <v>23</v>
      </c>
      <c r="K173" s="172"/>
      <c r="L173" s="172"/>
      <c r="M173" s="172"/>
      <c r="N173" s="172"/>
      <c r="O173" s="172"/>
      <c r="P173" s="172"/>
      <c r="Q173" s="172"/>
      <c r="R173" s="172"/>
      <c r="S173" s="172"/>
      <c r="T173" s="172"/>
      <c r="U173" s="172"/>
      <c r="V173" s="172"/>
      <c r="W173" s="172"/>
      <c r="X173" s="172"/>
      <c r="Y173" s="172"/>
      <c r="Z173" s="172"/>
      <c r="AA173" s="172"/>
    </row>
    <row r="174" spans="1:27" ht="34">
      <c r="A174" s="170" t="str">
        <f t="shared" ca="1" si="0"/>
        <v>Network Principles in Practice: Linux Networking</v>
      </c>
      <c r="B174" s="171" t="str">
        <f t="shared" ca="1" si="1"/>
        <v>CSCA 5073 - Network Principles in Practice: Linux Networking</v>
      </c>
      <c r="C174" s="171" t="str">
        <f t="shared" ca="1" si="2"/>
        <v>I found this a lot more interesting than the first course in the specialization. I do have quite a bit of background working with containers &amp; Kubernetes, so those bits were very easy &amp; quick for me to get through, but I still learned a lot about how k8s networking works below the surface.</v>
      </c>
      <c r="D174" s="172">
        <f t="shared" ca="1" si="3"/>
        <v>1</v>
      </c>
      <c r="E174" s="172">
        <v>7</v>
      </c>
      <c r="F174" s="172"/>
      <c r="G174" s="174" t="str">
        <f ca="1">IFERROR(__xludf.DUMMYFUNCTION("""COMPUTED_VALUE"""),"CSCA 5018 - Software Architecture Patterns for Big Data")</f>
        <v>CSCA 5018 - Software Architecture Patterns for Big Data</v>
      </c>
      <c r="H174" s="174"/>
      <c r="I174" s="172">
        <f ca="1">IFERROR(__xludf.DUMMYFUNCTION("""COMPUTED_VALUE"""),0)</f>
        <v>0</v>
      </c>
      <c r="J174" s="172">
        <f ca="1">IFERROR(__xludf.DUMMYFUNCTION("""COMPUTED_VALUE"""),23)</f>
        <v>23</v>
      </c>
      <c r="K174" s="172"/>
      <c r="L174" s="172"/>
      <c r="M174" s="172"/>
      <c r="N174" s="172"/>
      <c r="O174" s="172"/>
      <c r="P174" s="172"/>
      <c r="Q174" s="172"/>
      <c r="R174" s="172"/>
      <c r="S174" s="172"/>
      <c r="T174" s="172"/>
      <c r="U174" s="172"/>
      <c r="V174" s="172"/>
      <c r="W174" s="172"/>
      <c r="X174" s="172"/>
      <c r="Y174" s="172"/>
      <c r="Z174" s="172"/>
      <c r="AA174" s="172"/>
    </row>
    <row r="175" spans="1:27" ht="34">
      <c r="A175" s="170" t="str">
        <f t="shared" ca="1" si="0"/>
        <v>Network Principles in Practice: Cloud Networking</v>
      </c>
      <c r="B175" s="171" t="str">
        <f t="shared" ca="1" si="1"/>
        <v>CSCA 5083 - Network Principles in Practice: Cloud Networking</v>
      </c>
      <c r="C175" s="171">
        <f t="shared" ca="1" si="2"/>
        <v>0</v>
      </c>
      <c r="D175" s="172">
        <f t="shared" ca="1" si="3"/>
        <v>1</v>
      </c>
      <c r="E175" s="172">
        <v>8</v>
      </c>
      <c r="F175" s="172"/>
      <c r="G175" s="174" t="str">
        <f ca="1">IFERROR(__xludf.DUMMYFUNCTION("""COMPUTED_VALUE"""),"CSCA 5018 - Software Architecture Patterns for Big Data")</f>
        <v>CSCA 5018 - Software Architecture Patterns for Big Data</v>
      </c>
      <c r="H175" s="174"/>
      <c r="I175" s="172">
        <f ca="1">IFERROR(__xludf.DUMMYFUNCTION("""COMPUTED_VALUE"""),0)</f>
        <v>0</v>
      </c>
      <c r="J175" s="172">
        <f ca="1">IFERROR(__xludf.DUMMYFUNCTION("""COMPUTED_VALUE"""),23)</f>
        <v>23</v>
      </c>
      <c r="K175" s="172"/>
      <c r="L175" s="172"/>
      <c r="M175" s="172"/>
      <c r="N175" s="172"/>
      <c r="O175" s="172"/>
      <c r="P175" s="172"/>
      <c r="Q175" s="172"/>
      <c r="R175" s="172"/>
      <c r="S175" s="172"/>
      <c r="T175" s="172"/>
      <c r="U175" s="172"/>
      <c r="V175" s="172"/>
      <c r="W175" s="172"/>
      <c r="X175" s="172"/>
      <c r="Y175" s="172"/>
      <c r="Z175" s="172"/>
      <c r="AA175" s="172"/>
    </row>
    <row r="176" spans="1:27" ht="34">
      <c r="A176" s="170" t="str">
        <f t="shared" ca="1" si="0"/>
        <v>Advanced Data Structures, RSA and Quantum Algorithms</v>
      </c>
      <c r="B176" s="171" t="str">
        <f t="shared" ca="1" si="1"/>
        <v>CSCA 5454 - Advanced Data Structures, RSA and Quantum Algorithms</v>
      </c>
      <c r="C176" s="171" t="str">
        <f t="shared" ca="1" si="2"/>
        <v>Weeks 2 and 3 had some of the most dense content of the pathway in my opinion. The videos were relatively easy to follow along but I felt that the prof stopped short of explaining the concepts fully enough (primarily when it came to multi-qubit circuits) to do the assignments with confidence. It's as if he knew this, because the assignments had enough hints that they were not difficult to stumble through. At the very least the interactive labs should be updated to expanded on the topics with more end-to-end examples, if not also the video lectures.</v>
      </c>
      <c r="D176" s="172">
        <f t="shared" ca="1" si="3"/>
        <v>1</v>
      </c>
      <c r="E176" s="172">
        <v>5</v>
      </c>
      <c r="F176" s="172"/>
      <c r="G176" s="174" t="str">
        <f ca="1">IFERROR(__xludf.DUMMYFUNCTION("""COMPUTED_VALUE"""),"CSCA 5018 - Software Architecture Patterns for Big Data")</f>
        <v>CSCA 5018 - Software Architecture Patterns for Big Data</v>
      </c>
      <c r="H176" s="174"/>
      <c r="I176" s="172">
        <f ca="1">IFERROR(__xludf.DUMMYFUNCTION("""COMPUTED_VALUE"""),0)</f>
        <v>0</v>
      </c>
      <c r="J176" s="172">
        <f ca="1">IFERROR(__xludf.DUMMYFUNCTION("""COMPUTED_VALUE"""),23)</f>
        <v>23</v>
      </c>
      <c r="K176" s="172"/>
      <c r="L176" s="172"/>
      <c r="M176" s="172"/>
      <c r="N176" s="172"/>
      <c r="O176" s="172"/>
      <c r="P176" s="172"/>
      <c r="Q176" s="172"/>
      <c r="R176" s="172"/>
      <c r="S176" s="172"/>
      <c r="T176" s="172"/>
      <c r="U176" s="172"/>
      <c r="V176" s="172"/>
      <c r="W176" s="172"/>
      <c r="X176" s="172"/>
      <c r="Y176" s="172"/>
      <c r="Z176" s="172"/>
      <c r="AA176" s="172"/>
    </row>
    <row r="177" spans="1:27" ht="34">
      <c r="A177" s="170" t="str">
        <f t="shared" ca="1" si="0"/>
        <v>Network Systems Foundation</v>
      </c>
      <c r="B177" s="171" t="str">
        <f t="shared" ca="1" si="1"/>
        <v>CSCA 5063 - Network Systems Foundation</v>
      </c>
      <c r="C177" s="171" t="str">
        <f t="shared" ca="1" si="2"/>
        <v xml:space="preserve">The programming assignments aren't always worded very clearly, pay attention to the test results. </v>
      </c>
      <c r="D177" s="172">
        <f t="shared" ca="1" si="3"/>
        <v>1</v>
      </c>
      <c r="E177" s="172">
        <v>6</v>
      </c>
      <c r="F177" s="172"/>
      <c r="G177" s="174" t="str">
        <f ca="1">IFERROR(__xludf.DUMMYFUNCTION("""COMPUTED_VALUE"""),"CSCA 5018 - Software Architecture Patterns for Big Data")</f>
        <v>CSCA 5018 - Software Architecture Patterns for Big Data</v>
      </c>
      <c r="H177" s="174"/>
      <c r="I177" s="172">
        <f ca="1">IFERROR(__xludf.DUMMYFUNCTION("""COMPUTED_VALUE"""),0)</f>
        <v>0</v>
      </c>
      <c r="J177" s="172">
        <f ca="1">IFERROR(__xludf.DUMMYFUNCTION("""COMPUTED_VALUE"""),23)</f>
        <v>23</v>
      </c>
      <c r="K177" s="172"/>
      <c r="L177" s="172"/>
      <c r="M177" s="172"/>
      <c r="N177" s="172"/>
      <c r="O177" s="172"/>
      <c r="P177" s="172"/>
      <c r="Q177" s="172"/>
      <c r="R177" s="172"/>
      <c r="S177" s="172"/>
      <c r="T177" s="172"/>
      <c r="U177" s="172"/>
      <c r="V177" s="172"/>
      <c r="W177" s="172"/>
      <c r="X177" s="172"/>
      <c r="Y177" s="172"/>
      <c r="Z177" s="172"/>
      <c r="AA177" s="172"/>
    </row>
    <row r="178" spans="1:27" ht="34">
      <c r="A178" s="170" t="str">
        <f t="shared" ca="1" si="0"/>
        <v>Network Systems Foundation</v>
      </c>
      <c r="B178" s="171" t="str">
        <f t="shared" ca="1" si="1"/>
        <v>CSCA 5063 - Network Systems Foundation</v>
      </c>
      <c r="C178" s="171">
        <f t="shared" ca="1" si="2"/>
        <v>0</v>
      </c>
      <c r="D178" s="172">
        <f t="shared" ca="1" si="3"/>
        <v>1</v>
      </c>
      <c r="E178" s="172">
        <v>6</v>
      </c>
      <c r="F178" s="172"/>
      <c r="G178" s="174" t="str">
        <f ca="1">IFERROR(__xludf.DUMMYFUNCTION("""COMPUTED_VALUE"""),"CSCA 5028 - Applications of Software Architecture for Big Data")</f>
        <v>CSCA 5028 - Applications of Software Architecture for Big Data</v>
      </c>
      <c r="H178" s="174"/>
      <c r="I178" s="172">
        <f ca="1">IFERROR(__xludf.DUMMYFUNCTION("""COMPUTED_VALUE"""),0)</f>
        <v>0</v>
      </c>
      <c r="J178" s="172">
        <f ca="1">IFERROR(__xludf.DUMMYFUNCTION("""COMPUTED_VALUE"""),24)</f>
        <v>24</v>
      </c>
      <c r="K178" s="172"/>
      <c r="L178" s="172"/>
      <c r="M178" s="172"/>
      <c r="N178" s="172"/>
      <c r="O178" s="172"/>
      <c r="P178" s="172"/>
      <c r="Q178" s="172"/>
      <c r="R178" s="172"/>
      <c r="S178" s="172"/>
      <c r="T178" s="172"/>
      <c r="U178" s="172"/>
      <c r="V178" s="172"/>
      <c r="W178" s="172"/>
      <c r="X178" s="172"/>
      <c r="Y178" s="172"/>
      <c r="Z178" s="172"/>
      <c r="AA178" s="172"/>
    </row>
    <row r="179" spans="1:27" ht="34">
      <c r="A179" s="170" t="str">
        <f t="shared" ca="1" si="0"/>
        <v>Network Principles in Practice: Linux Networking</v>
      </c>
      <c r="B179" s="171" t="str">
        <f t="shared" ca="1" si="1"/>
        <v>CSCA 5073 - Network Principles in Practice: Linux Networking</v>
      </c>
      <c r="C179" s="171">
        <f t="shared" ca="1" si="2"/>
        <v>0</v>
      </c>
      <c r="D179" s="172">
        <f t="shared" ca="1" si="3"/>
        <v>1</v>
      </c>
      <c r="E179" s="172">
        <v>7</v>
      </c>
      <c r="F179" s="172"/>
      <c r="G179" s="174" t="str">
        <f ca="1">IFERROR(__xludf.DUMMYFUNCTION("""COMPUTED_VALUE"""),"CSCA 5028 - Applications of Software Architecture for Big Data")</f>
        <v>CSCA 5028 - Applications of Software Architecture for Big Data</v>
      </c>
      <c r="H179" s="174"/>
      <c r="I179" s="172">
        <f ca="1">IFERROR(__xludf.DUMMYFUNCTION("""COMPUTED_VALUE"""),0)</f>
        <v>0</v>
      </c>
      <c r="J179" s="172">
        <f ca="1">IFERROR(__xludf.DUMMYFUNCTION("""COMPUTED_VALUE"""),24)</f>
        <v>24</v>
      </c>
      <c r="K179" s="172"/>
      <c r="L179" s="172"/>
      <c r="M179" s="172"/>
      <c r="N179" s="172"/>
      <c r="O179" s="172"/>
      <c r="P179" s="172"/>
      <c r="Q179" s="172"/>
      <c r="R179" s="172"/>
      <c r="S179" s="172"/>
      <c r="T179" s="172"/>
      <c r="U179" s="172"/>
      <c r="V179" s="172"/>
      <c r="W179" s="172"/>
      <c r="X179" s="172"/>
      <c r="Y179" s="172"/>
      <c r="Z179" s="172"/>
      <c r="AA179" s="172"/>
    </row>
    <row r="180" spans="1:27" ht="34">
      <c r="A180" s="170" t="str">
        <f t="shared" ca="1" si="0"/>
        <v>Network Principles in Practice: Cloud Networking</v>
      </c>
      <c r="B180" s="171" t="str">
        <f t="shared" ca="1" si="1"/>
        <v>CSCA 5083 - Network Principles in Practice: Cloud Networking</v>
      </c>
      <c r="C180" s="171">
        <f t="shared" ca="1" si="2"/>
        <v>0</v>
      </c>
      <c r="D180" s="172">
        <f t="shared" ca="1" si="3"/>
        <v>1</v>
      </c>
      <c r="E180" s="172">
        <v>8</v>
      </c>
      <c r="F180" s="172"/>
      <c r="G180" s="174" t="str">
        <f ca="1">IFERROR(__xludf.DUMMYFUNCTION("""COMPUTED_VALUE"""),"CSCA 5028 - Applications of Software Architecture for Big Data")</f>
        <v>CSCA 5028 - Applications of Software Architecture for Big Data</v>
      </c>
      <c r="H180" s="174"/>
      <c r="I180" s="172">
        <f ca="1">IFERROR(__xludf.DUMMYFUNCTION("""COMPUTED_VALUE"""),0)</f>
        <v>0</v>
      </c>
      <c r="J180" s="172">
        <f ca="1">IFERROR(__xludf.DUMMYFUNCTION("""COMPUTED_VALUE"""),24)</f>
        <v>24</v>
      </c>
      <c r="K180" s="172"/>
      <c r="L180" s="172"/>
      <c r="M180" s="172"/>
      <c r="N180" s="172"/>
      <c r="O180" s="172"/>
      <c r="P180" s="172"/>
      <c r="Q180" s="172"/>
      <c r="R180" s="172"/>
      <c r="S180" s="172"/>
      <c r="T180" s="172"/>
      <c r="U180" s="172"/>
      <c r="V180" s="172"/>
      <c r="W180" s="172"/>
      <c r="X180" s="172"/>
      <c r="Y180" s="172"/>
      <c r="Z180" s="172"/>
      <c r="AA180" s="172"/>
    </row>
    <row r="181" spans="1:27" ht="34">
      <c r="A181" s="170" t="str">
        <f t="shared" ca="1" si="0"/>
        <v>Dynamic Programming, Greedy Algorithms</v>
      </c>
      <c r="B181" s="171" t="str">
        <f t="shared" ca="1" si="1"/>
        <v>CSCA 5414 - Dynamic Programming, Greedy Algorithms</v>
      </c>
      <c r="C181" s="171">
        <f t="shared" ca="1" si="2"/>
        <v>0</v>
      </c>
      <c r="D181" s="172">
        <f t="shared" ca="1" si="3"/>
        <v>1</v>
      </c>
      <c r="E181" s="172">
        <v>3</v>
      </c>
      <c r="F181" s="172"/>
      <c r="G181" s="174" t="str">
        <f ca="1">IFERROR(__xludf.DUMMYFUNCTION("""COMPUTED_VALUE"""),"CSCA 5028 - Applications of Software Architecture for Big Data")</f>
        <v>CSCA 5028 - Applications of Software Architecture for Big Data</v>
      </c>
      <c r="H181" s="174"/>
      <c r="I181" s="172">
        <f ca="1">IFERROR(__xludf.DUMMYFUNCTION("""COMPUTED_VALUE"""),0)</f>
        <v>0</v>
      </c>
      <c r="J181" s="172">
        <f ca="1">IFERROR(__xludf.DUMMYFUNCTION("""COMPUTED_VALUE"""),24)</f>
        <v>24</v>
      </c>
      <c r="K181" s="172"/>
      <c r="L181" s="172"/>
      <c r="M181" s="172"/>
      <c r="N181" s="172"/>
      <c r="O181" s="172"/>
      <c r="P181" s="172"/>
      <c r="Q181" s="172"/>
      <c r="R181" s="172"/>
      <c r="S181" s="172"/>
      <c r="T181" s="172"/>
      <c r="U181" s="172"/>
      <c r="V181" s="172"/>
      <c r="W181" s="172"/>
      <c r="X181" s="172"/>
      <c r="Y181" s="172"/>
      <c r="Z181" s="172"/>
      <c r="AA181" s="172"/>
    </row>
    <row r="182" spans="1:27" ht="34">
      <c r="A182" s="170" t="str">
        <f t="shared" ca="1" si="0"/>
        <v>Approximation Algorithms and Linear Programming</v>
      </c>
      <c r="B182" s="171" t="str">
        <f t="shared" ca="1" si="1"/>
        <v>CSCA 5424 - Approximation Algorithms and Linear Programming</v>
      </c>
      <c r="C182" s="171">
        <f t="shared" ca="1" si="2"/>
        <v>0</v>
      </c>
      <c r="D182" s="172">
        <f t="shared" ca="1" si="3"/>
        <v>1</v>
      </c>
      <c r="E182" s="172">
        <v>4</v>
      </c>
      <c r="F182" s="172"/>
      <c r="G182" s="174" t="str">
        <f ca="1">IFERROR(__xludf.DUMMYFUNCTION("""COMPUTED_VALUE"""),"CSCA 5028 - Applications of Software Architecture for Big Data")</f>
        <v>CSCA 5028 - Applications of Software Architecture for Big Data</v>
      </c>
      <c r="H182" s="174"/>
      <c r="I182" s="172">
        <f ca="1">IFERROR(__xludf.DUMMYFUNCTION("""COMPUTED_VALUE"""),0)</f>
        <v>0</v>
      </c>
      <c r="J182" s="172">
        <f ca="1">IFERROR(__xludf.DUMMYFUNCTION("""COMPUTED_VALUE"""),24)</f>
        <v>24</v>
      </c>
      <c r="K182" s="172"/>
      <c r="L182" s="172"/>
      <c r="M182" s="172"/>
      <c r="N182" s="172"/>
      <c r="O182" s="172"/>
      <c r="P182" s="172"/>
      <c r="Q182" s="172"/>
      <c r="R182" s="172"/>
      <c r="S182" s="172"/>
      <c r="T182" s="172"/>
      <c r="U182" s="172"/>
      <c r="V182" s="172"/>
      <c r="W182" s="172"/>
      <c r="X182" s="172"/>
      <c r="Y182" s="172"/>
      <c r="Z182" s="172"/>
      <c r="AA182" s="172"/>
    </row>
    <row r="183" spans="1:27" ht="34">
      <c r="A183" s="170" t="str">
        <f t="shared" ca="1" si="0"/>
        <v>Advanced Data Structures, RSA and Quantum Algorithms</v>
      </c>
      <c r="B183" s="171" t="str">
        <f t="shared" ca="1" si="1"/>
        <v>CSCA 5454 - Advanced Data Structures, RSA and Quantum Algorithms</v>
      </c>
      <c r="C183" s="171">
        <f t="shared" ca="1" si="2"/>
        <v>0</v>
      </c>
      <c r="D183" s="172">
        <f t="shared" ca="1" si="3"/>
        <v>1</v>
      </c>
      <c r="E183" s="172">
        <v>5</v>
      </c>
      <c r="F183" s="172"/>
      <c r="G183" s="174" t="str">
        <f ca="1">IFERROR(__xludf.DUMMYFUNCTION("""COMPUTED_VALUE"""),"CSCA 5028 - Applications of Software Architecture for Big Data")</f>
        <v>CSCA 5028 - Applications of Software Architecture for Big Data</v>
      </c>
      <c r="H183" s="174"/>
      <c r="I183" s="172">
        <f ca="1">IFERROR(__xludf.DUMMYFUNCTION("""COMPUTED_VALUE"""),0)</f>
        <v>0</v>
      </c>
      <c r="J183" s="172">
        <f ca="1">IFERROR(__xludf.DUMMYFUNCTION("""COMPUTED_VALUE"""),24)</f>
        <v>24</v>
      </c>
      <c r="K183" s="172"/>
      <c r="L183" s="172"/>
      <c r="M183" s="172"/>
      <c r="N183" s="172"/>
      <c r="O183" s="172"/>
      <c r="P183" s="172"/>
      <c r="Q183" s="172"/>
      <c r="R183" s="172"/>
      <c r="S183" s="172"/>
      <c r="T183" s="172"/>
      <c r="U183" s="172"/>
      <c r="V183" s="172"/>
      <c r="W183" s="172"/>
      <c r="X183" s="172"/>
      <c r="Y183" s="172"/>
      <c r="Z183" s="172"/>
      <c r="AA183" s="172"/>
    </row>
    <row r="184" spans="1:27" ht="34">
      <c r="A184" s="170" t="str">
        <f t="shared" ca="1" si="0"/>
        <v>Fundamentals of Software Architecture for Big Data</v>
      </c>
      <c r="B184" s="171" t="str">
        <f t="shared" ca="1" si="1"/>
        <v>CSCA 5008 - Fundamentals of Software Architecture for Big Data</v>
      </c>
      <c r="C184" s="171">
        <f t="shared" ca="1" si="2"/>
        <v>0</v>
      </c>
      <c r="D184" s="172">
        <f t="shared" ca="1" si="3"/>
        <v>1</v>
      </c>
      <c r="E184" s="172">
        <v>22</v>
      </c>
      <c r="F184" s="172"/>
      <c r="G184" s="174" t="str">
        <f ca="1">IFERROR(__xludf.DUMMYFUNCTION("""COMPUTED_VALUE"""),"CSCA 5028 - Applications of Software Architecture for Big Data")</f>
        <v>CSCA 5028 - Applications of Software Architecture for Big Data</v>
      </c>
      <c r="H184" s="174"/>
      <c r="I184" s="172">
        <f ca="1">IFERROR(__xludf.DUMMYFUNCTION("""COMPUTED_VALUE"""),0)</f>
        <v>0</v>
      </c>
      <c r="J184" s="172">
        <f ca="1">IFERROR(__xludf.DUMMYFUNCTION("""COMPUTED_VALUE"""),24)</f>
        <v>24</v>
      </c>
      <c r="K184" s="172"/>
      <c r="L184" s="172"/>
      <c r="M184" s="172"/>
      <c r="N184" s="172"/>
      <c r="O184" s="172"/>
      <c r="P184" s="172"/>
      <c r="Q184" s="172"/>
      <c r="R184" s="172"/>
      <c r="S184" s="172"/>
      <c r="T184" s="172"/>
      <c r="U184" s="172"/>
      <c r="V184" s="172"/>
      <c r="W184" s="172"/>
      <c r="X184" s="172"/>
      <c r="Y184" s="172"/>
      <c r="Z184" s="172"/>
      <c r="AA184" s="172"/>
    </row>
    <row r="185" spans="1:27" ht="34">
      <c r="A185" s="170" t="str">
        <f t="shared" ca="1" si="0"/>
        <v>Software Architecture Patterns for Big Data</v>
      </c>
      <c r="B185" s="171" t="str">
        <f t="shared" ca="1" si="1"/>
        <v>CSCA 5018 - Software Architecture Patterns for Big Data</v>
      </c>
      <c r="C185" s="171">
        <f t="shared" ca="1" si="2"/>
        <v>0</v>
      </c>
      <c r="D185" s="172">
        <f t="shared" ca="1" si="3"/>
        <v>1</v>
      </c>
      <c r="E185" s="172">
        <v>23</v>
      </c>
      <c r="F185" s="172"/>
      <c r="G185" s="174" t="str">
        <f ca="1">IFERROR(__xludf.DUMMYFUNCTION("""COMPUTED_VALUE"""),"CSCA 5112 - Introduction to Generative AI")</f>
        <v>CSCA 5112 - Introduction to Generative AI</v>
      </c>
      <c r="H185" s="174"/>
      <c r="I185" s="172">
        <f ca="1">IFERROR(__xludf.DUMMYFUNCTION("""COMPUTED_VALUE"""),0)</f>
        <v>0</v>
      </c>
      <c r="J185" s="172">
        <f ca="1">IFERROR(__xludf.DUMMYFUNCTION("""COMPUTED_VALUE"""),25)</f>
        <v>25</v>
      </c>
      <c r="K185" s="172"/>
      <c r="L185" s="172"/>
      <c r="M185" s="172"/>
      <c r="N185" s="172"/>
      <c r="O185" s="172"/>
      <c r="P185" s="172"/>
      <c r="Q185" s="172"/>
      <c r="R185" s="172"/>
      <c r="S185" s="172"/>
      <c r="T185" s="172"/>
      <c r="U185" s="172"/>
      <c r="V185" s="172"/>
      <c r="W185" s="172"/>
      <c r="X185" s="172"/>
      <c r="Y185" s="172"/>
      <c r="Z185" s="172"/>
      <c r="AA185" s="172"/>
    </row>
    <row r="186" spans="1:27" ht="34">
      <c r="A186" s="170" t="str">
        <f t="shared" ca="1" si="0"/>
        <v>Applications of Software Architecture for Big Data</v>
      </c>
      <c r="B186" s="171" t="str">
        <f t="shared" ca="1" si="1"/>
        <v>CSCA 5028 - Applications of Software Architecture for Big Data</v>
      </c>
      <c r="C186" s="171">
        <f t="shared" ca="1" si="2"/>
        <v>0</v>
      </c>
      <c r="D186" s="172">
        <f t="shared" ca="1" si="3"/>
        <v>1</v>
      </c>
      <c r="E186" s="172">
        <v>24</v>
      </c>
      <c r="F186" s="172"/>
      <c r="G186" s="174" t="str">
        <f ca="1">IFERROR(__xludf.DUMMYFUNCTION("""COMPUTED_VALUE"""),"CSCA 5112 - Introduction to Generative AI")</f>
        <v>CSCA 5112 - Introduction to Generative AI</v>
      </c>
      <c r="H186" s="174"/>
      <c r="I186" s="172">
        <f ca="1">IFERROR(__xludf.DUMMYFUNCTION("""COMPUTED_VALUE"""),0)</f>
        <v>0</v>
      </c>
      <c r="J186" s="172">
        <f ca="1">IFERROR(__xludf.DUMMYFUNCTION("""COMPUTED_VALUE"""),25)</f>
        <v>25</v>
      </c>
      <c r="K186" s="172"/>
      <c r="L186" s="172"/>
      <c r="M186" s="172"/>
      <c r="N186" s="172"/>
      <c r="O186" s="172"/>
      <c r="P186" s="172"/>
      <c r="Q186" s="172"/>
      <c r="R186" s="172"/>
      <c r="S186" s="172"/>
      <c r="T186" s="172"/>
      <c r="U186" s="172"/>
      <c r="V186" s="172"/>
      <c r="W186" s="172"/>
      <c r="X186" s="172"/>
      <c r="Y186" s="172"/>
      <c r="Z186" s="172"/>
      <c r="AA186" s="172"/>
    </row>
    <row r="187" spans="1:27" ht="34">
      <c r="A187" s="170" t="str">
        <f t="shared" ca="1" si="0"/>
        <v>Computing, Ethics, and Society Foundations</v>
      </c>
      <c r="B187" s="171" t="str">
        <f t="shared" ca="1" si="1"/>
        <v>CSCA 5214 - Computing, Ethics, and Society Foundations</v>
      </c>
      <c r="C187" s="171">
        <f t="shared" ca="1" si="2"/>
        <v>0</v>
      </c>
      <c r="D187" s="172">
        <f t="shared" ca="1" si="3"/>
        <v>1</v>
      </c>
      <c r="E187" s="172">
        <v>15</v>
      </c>
      <c r="F187" s="172"/>
      <c r="G187" s="174" t="str">
        <f ca="1">IFERROR(__xludf.DUMMYFUNCTION("""COMPUTED_VALUE"""),"CSCA 5312 - Basic Robotic Behaviors and Odometry")</f>
        <v>CSCA 5312 - Basic Robotic Behaviors and Odometry</v>
      </c>
      <c r="H187" s="174"/>
      <c r="I187" s="172">
        <f ca="1">IFERROR(__xludf.DUMMYFUNCTION("""COMPUTED_VALUE"""),0)</f>
        <v>0</v>
      </c>
      <c r="J187" s="172">
        <f ca="1">IFERROR(__xludf.DUMMYFUNCTION("""COMPUTED_VALUE"""),31)</f>
        <v>31</v>
      </c>
      <c r="K187" s="172"/>
      <c r="L187" s="172"/>
      <c r="M187" s="172"/>
      <c r="N187" s="172"/>
      <c r="O187" s="172"/>
      <c r="P187" s="172"/>
      <c r="Q187" s="172"/>
      <c r="R187" s="172"/>
      <c r="S187" s="172"/>
      <c r="T187" s="172"/>
      <c r="U187" s="172"/>
      <c r="V187" s="172"/>
      <c r="W187" s="172"/>
      <c r="X187" s="172"/>
      <c r="Y187" s="172"/>
      <c r="Z187" s="172"/>
      <c r="AA187" s="172"/>
    </row>
    <row r="188" spans="1:27" ht="34">
      <c r="A188" s="170" t="str">
        <f t="shared" ca="1" si="0"/>
        <v>Ethical Issues in AI and Professional Ethics</v>
      </c>
      <c r="B188" s="171" t="str">
        <f t="shared" ca="1" si="1"/>
        <v>CSCA 5224 - Ethical Issues in AI and Professional Ethics</v>
      </c>
      <c r="C188" s="171">
        <f t="shared" ca="1" si="2"/>
        <v>0</v>
      </c>
      <c r="D188" s="172">
        <f t="shared" ca="1" si="3"/>
        <v>1</v>
      </c>
      <c r="E188" s="172">
        <v>16</v>
      </c>
      <c r="F188" s="172"/>
      <c r="G188" s="174" t="str">
        <f ca="1">IFERROR(__xludf.DUMMYFUNCTION("""COMPUTED_VALUE"""),"CSCA 5332 - Robotic Mapping and Trajectory Generation")</f>
        <v>CSCA 5332 - Robotic Mapping and Trajectory Generation</v>
      </c>
      <c r="H188" s="174"/>
      <c r="I188" s="172">
        <f ca="1">IFERROR(__xludf.DUMMYFUNCTION("""COMPUTED_VALUE"""),0)</f>
        <v>0</v>
      </c>
      <c r="J188" s="172">
        <f ca="1">IFERROR(__xludf.DUMMYFUNCTION("""COMPUTED_VALUE"""),32)</f>
        <v>32</v>
      </c>
      <c r="K188" s="172"/>
      <c r="L188" s="172"/>
      <c r="M188" s="172"/>
      <c r="N188" s="172"/>
      <c r="O188" s="172"/>
      <c r="P188" s="172"/>
      <c r="Q188" s="172"/>
      <c r="R188" s="172"/>
      <c r="S188" s="172"/>
      <c r="T188" s="172"/>
      <c r="U188" s="172"/>
      <c r="V188" s="172"/>
      <c r="W188" s="172"/>
      <c r="X188" s="172"/>
      <c r="Y188" s="172"/>
      <c r="Z188" s="172"/>
      <c r="AA188" s="172"/>
    </row>
    <row r="189" spans="1:27" ht="34">
      <c r="A189" s="170" t="str">
        <f t="shared" ca="1" si="0"/>
        <v>Ethical Issues in Computing Applications</v>
      </c>
      <c r="B189" s="171" t="str">
        <f t="shared" ca="1" si="1"/>
        <v>CSCA 5234 - Ethical Issues in Computing Applications</v>
      </c>
      <c r="C189" s="171">
        <f t="shared" ca="1" si="2"/>
        <v>0</v>
      </c>
      <c r="D189" s="172">
        <f t="shared" ca="1" si="3"/>
        <v>1</v>
      </c>
      <c r="E189" s="172" t="s">
        <v>281</v>
      </c>
      <c r="F189" s="172"/>
      <c r="G189" s="174" t="str">
        <f ca="1">IFERROR(__xludf.DUMMYFUNCTION("""COMPUTED_VALUE"""),"CSCA 5702 - Fundamentals of Data Visualization")</f>
        <v>CSCA 5702 - Fundamentals of Data Visualization</v>
      </c>
      <c r="H189" s="174"/>
      <c r="I189" s="172">
        <f ca="1">IFERROR(__xludf.DUMMYFUNCTION("""COMPUTED_VALUE"""),0)</f>
        <v>0</v>
      </c>
      <c r="J189" s="172">
        <f ca="1">IFERROR(__xludf.DUMMYFUNCTION("""COMPUTED_VALUE"""),46)</f>
        <v>46</v>
      </c>
      <c r="K189" s="172"/>
      <c r="L189" s="172"/>
      <c r="M189" s="172"/>
      <c r="N189" s="172"/>
      <c r="O189" s="172"/>
      <c r="P189" s="172"/>
      <c r="Q189" s="172"/>
      <c r="R189" s="172"/>
      <c r="S189" s="172"/>
      <c r="T189" s="172"/>
      <c r="U189" s="172"/>
      <c r="V189" s="172"/>
      <c r="W189" s="172"/>
      <c r="X189" s="172"/>
      <c r="Y189" s="172"/>
      <c r="Z189" s="172"/>
      <c r="AA189" s="172"/>
    </row>
    <row r="190" spans="1:27" ht="36">
      <c r="A190" s="168"/>
      <c r="B190" s="171" t="str">
        <f t="shared" ca="1" si="1"/>
        <v>CSCA 5063 - Network Systems Foundation</v>
      </c>
      <c r="C190" s="171">
        <f t="shared" ca="1" si="2"/>
        <v>0</v>
      </c>
      <c r="D190" s="172"/>
      <c r="E190" s="172"/>
      <c r="F190" s="172"/>
      <c r="G190" s="175" t="str">
        <f ca="1">IFERROR(__xludf.DUMMYFUNCTION("""COMPUTED_VALUE"""),"CSCA 5063 - Network Systems Foundation")</f>
        <v>CSCA 5063 - Network Systems Foundation</v>
      </c>
      <c r="H190" s="175"/>
      <c r="I190" s="172"/>
      <c r="J190" s="172"/>
      <c r="K190" s="172"/>
      <c r="L190" s="172"/>
      <c r="M190" s="172"/>
      <c r="N190" s="172"/>
      <c r="O190" s="172"/>
      <c r="P190" s="172"/>
      <c r="Q190" s="172"/>
      <c r="R190" s="172"/>
      <c r="S190" s="172"/>
      <c r="T190" s="172"/>
      <c r="U190" s="172"/>
      <c r="V190" s="172"/>
      <c r="W190" s="172"/>
      <c r="X190" s="172"/>
      <c r="Y190" s="172"/>
      <c r="Z190" s="172"/>
      <c r="AA190" s="172"/>
    </row>
    <row r="191" spans="1:27" ht="36">
      <c r="A191" s="168"/>
      <c r="B191" s="171" t="str">
        <f t="shared" ca="1" si="1"/>
        <v>CSCA 5073 - Network Principles in Practice: Linux Networking</v>
      </c>
      <c r="C191" s="171">
        <f t="shared" ca="1" si="2"/>
        <v>0</v>
      </c>
      <c r="D191" s="172"/>
      <c r="E191" s="172"/>
      <c r="F191" s="172"/>
      <c r="G191" s="175" t="str">
        <f ca="1">IFERROR(__xludf.DUMMYFUNCTION("""COMPUTED_VALUE"""),"CSCA 5073 - Network Principles in Practice: Linux Networking")</f>
        <v>CSCA 5073 - Network Principles in Practice: Linux Networking</v>
      </c>
      <c r="H191" s="175"/>
      <c r="I191" s="172"/>
      <c r="J191" s="172"/>
      <c r="K191" s="172"/>
      <c r="L191" s="172"/>
      <c r="M191" s="172"/>
      <c r="N191" s="172"/>
      <c r="O191" s="172"/>
      <c r="P191" s="172"/>
      <c r="Q191" s="172"/>
      <c r="R191" s="172"/>
      <c r="S191" s="172"/>
      <c r="T191" s="172"/>
      <c r="U191" s="172"/>
      <c r="V191" s="172"/>
      <c r="W191" s="172"/>
      <c r="X191" s="172"/>
      <c r="Y191" s="172"/>
      <c r="Z191" s="172"/>
      <c r="AA191" s="172"/>
    </row>
    <row r="192" spans="1:27" ht="36">
      <c r="A192" s="168"/>
      <c r="B192" s="171" t="str">
        <f t="shared" ca="1" si="1"/>
        <v>CSCA 5083 - Network Principles in Practice: Cloud Networking</v>
      </c>
      <c r="C192" s="171">
        <f t="shared" ca="1" si="2"/>
        <v>0</v>
      </c>
      <c r="D192" s="172"/>
      <c r="E192" s="172"/>
      <c r="F192" s="172"/>
      <c r="G192" s="175" t="str">
        <f ca="1">IFERROR(__xludf.DUMMYFUNCTION("""COMPUTED_VALUE"""),"CSCA 5083 - Network Principles in Practice: Cloud Networking")</f>
        <v>CSCA 5083 - Network Principles in Practice: Cloud Networking</v>
      </c>
      <c r="H192" s="175"/>
      <c r="I192" s="172"/>
      <c r="J192" s="172"/>
      <c r="K192" s="172"/>
      <c r="L192" s="172"/>
      <c r="M192" s="172"/>
      <c r="N192" s="172"/>
      <c r="O192" s="172"/>
      <c r="P192" s="172"/>
      <c r="Q192" s="172"/>
      <c r="R192" s="172"/>
      <c r="S192" s="172"/>
      <c r="T192" s="172"/>
      <c r="U192" s="172"/>
      <c r="V192" s="172"/>
      <c r="W192" s="172"/>
      <c r="X192" s="172"/>
      <c r="Y192" s="172"/>
      <c r="Z192" s="172"/>
      <c r="AA192" s="172"/>
    </row>
    <row r="193" spans="1:27" ht="36">
      <c r="A193" s="168"/>
      <c r="B193" s="171" t="str">
        <f t="shared" ca="1" si="1"/>
        <v>CSCA 5214 - Computing, Ethics, and Society Foundations</v>
      </c>
      <c r="C193" s="171" t="str">
        <f t="shared" ca="1" si="2"/>
        <v>While it might not be a difficult course, the essays can be very time consuming, especially for someone who isn't that good at writing. Despite this, I found the content very interesting &amp; valuable.</v>
      </c>
      <c r="D193" s="172"/>
      <c r="E193" s="172"/>
      <c r="F193" s="172"/>
      <c r="G193" s="175" t="str">
        <f ca="1">IFERROR(__xludf.DUMMYFUNCTION("""COMPUTED_VALUE"""),"CSCA 5214 - Computing, Ethics, and Society Foundations")</f>
        <v>CSCA 5214 - Computing, Ethics, and Society Foundations</v>
      </c>
      <c r="H193" s="175" t="str">
        <f ca="1">IFERROR(__xludf.DUMMYFUNCTION("""COMPUTED_VALUE"""),"While it might not be a difficult course, the essays can be very time consuming, especially for someone who isn't that good at writing. Despite this, I found the content very interesting &amp; valuable.")</f>
        <v>While it might not be a difficult course, the essays can be very time consuming, especially for someone who isn't that good at writing. Despite this, I found the content very interesting &amp; valuable.</v>
      </c>
      <c r="I193" s="172"/>
      <c r="J193" s="172"/>
      <c r="K193" s="172"/>
      <c r="L193" s="172"/>
      <c r="M193" s="172"/>
      <c r="N193" s="172"/>
      <c r="O193" s="172"/>
      <c r="P193" s="172"/>
      <c r="Q193" s="172"/>
      <c r="R193" s="172"/>
      <c r="S193" s="172"/>
      <c r="T193" s="172"/>
      <c r="U193" s="172"/>
      <c r="V193" s="172"/>
      <c r="W193" s="172"/>
      <c r="X193" s="172"/>
      <c r="Y193" s="172"/>
      <c r="Z193" s="172"/>
      <c r="AA193" s="172"/>
    </row>
    <row r="194" spans="1:27" ht="36">
      <c r="A194" s="168"/>
      <c r="B194" s="171" t="str">
        <f t="shared" ca="1" si="1"/>
        <v>CSCA 5063 - Network Systems Foundation</v>
      </c>
      <c r="C194" s="171">
        <f t="shared" ca="1" si="2"/>
        <v>0</v>
      </c>
      <c r="D194" s="172"/>
      <c r="E194" s="172"/>
      <c r="F194" s="172"/>
      <c r="G194" s="175" t="str">
        <f ca="1">IFERROR(__xludf.DUMMYFUNCTION("""COMPUTED_VALUE"""),"CSCA 5063 - Network Systems Foundation")</f>
        <v>CSCA 5063 - Network Systems Foundation</v>
      </c>
      <c r="H194" s="175"/>
      <c r="I194" s="172"/>
      <c r="J194" s="172"/>
      <c r="K194" s="172"/>
      <c r="L194" s="172"/>
      <c r="M194" s="172"/>
      <c r="N194" s="172"/>
      <c r="O194" s="172"/>
      <c r="P194" s="172"/>
      <c r="Q194" s="172"/>
      <c r="R194" s="172"/>
      <c r="S194" s="172"/>
      <c r="T194" s="172"/>
      <c r="U194" s="172"/>
      <c r="V194" s="172"/>
      <c r="W194" s="172"/>
      <c r="X194" s="172"/>
      <c r="Y194" s="172"/>
      <c r="Z194" s="172"/>
      <c r="AA194" s="172"/>
    </row>
    <row r="195" spans="1:27" ht="36">
      <c r="A195" s="168"/>
      <c r="B195" s="171" t="str">
        <f t="shared" ca="1" si="1"/>
        <v>CSCA 5414 - Dynamic Programming, Greedy Algorithms</v>
      </c>
      <c r="C195" s="171">
        <f t="shared" ca="1" si="2"/>
        <v>0</v>
      </c>
      <c r="D195" s="172"/>
      <c r="E195" s="172"/>
      <c r="F195" s="172"/>
      <c r="G195" s="175" t="str">
        <f ca="1">IFERROR(__xludf.DUMMYFUNCTION("""COMPUTED_VALUE"""),"CSCA 5414 - Dynamic Programming, Greedy Algorithms")</f>
        <v>CSCA 5414 - Dynamic Programming, Greedy Algorithms</v>
      </c>
      <c r="H195" s="175"/>
      <c r="I195" s="172"/>
      <c r="J195" s="172"/>
      <c r="K195" s="172"/>
      <c r="L195" s="172"/>
      <c r="M195" s="172"/>
      <c r="N195" s="172"/>
      <c r="O195" s="172"/>
      <c r="P195" s="172"/>
      <c r="Q195" s="172"/>
      <c r="R195" s="172"/>
      <c r="S195" s="172"/>
      <c r="T195" s="172"/>
      <c r="U195" s="172"/>
      <c r="V195" s="172"/>
      <c r="W195" s="172"/>
      <c r="X195" s="172"/>
      <c r="Y195" s="172"/>
      <c r="Z195" s="172"/>
      <c r="AA195" s="172"/>
    </row>
    <row r="196" spans="1:27" ht="72">
      <c r="A196" s="168"/>
      <c r="B196" s="171" t="str">
        <f t="shared" ca="1" si="1"/>
        <v>CSCA 5834 - Modeling of Autonomous Systems</v>
      </c>
      <c r="C196" s="171" t="str">
        <f t="shared" ca="1" si="2"/>
        <v>Being familiar with automata or control systems would definitely help. The content is quite hard, but the assignments, quizzes &amp; final were quite "easy" in this first course. I fear the other 2 courses in the specialization won't be as forgiving in that regard.
The final was 10 questions where some of them required multiple inputs for completing a state diagram.
You need set theory and should be at least be somewhat familiar with calculus &amp; linear algebra. No programming language required.</v>
      </c>
      <c r="D196" s="172"/>
      <c r="E196" s="172"/>
      <c r="F196" s="172"/>
      <c r="G196" s="175" t="str">
        <f ca="1">IFERROR(__xludf.DUMMYFUNCTION("""COMPUTED_VALUE"""),"CSCA 5834 - Modeling of Autonomous Systems")</f>
        <v>CSCA 5834 - Modeling of Autonomous Systems</v>
      </c>
      <c r="H196" s="175" t="str">
        <f ca="1">IFERROR(__xludf.DUMMYFUNCTION("""COMPUTED_VALUE"""),"Being familiar with automata or control systems would definitely help. The content is quite hard, but the assignments, quizzes &amp; final were quite ""easy"" in this first course. I fear the other 2 courses in the specialization won't be as forgiving in that"&amp;" regard.
The final was 10 questions where some of them required multiple inputs for completing a state diagram.
You need set theory and should be at least be somewhat familiar with calculus &amp; linear algebra. No programming language required.")</f>
        <v>Being familiar with automata or control systems would definitely help. The content is quite hard, but the assignments, quizzes &amp; final were quite "easy" in this first course. I fear the other 2 courses in the specialization won't be as forgiving in that regard.
The final was 10 questions where some of them required multiple inputs for completing a state diagram.
You need set theory and should be at least be somewhat familiar with calculus &amp; linear algebra. No programming language required.</v>
      </c>
      <c r="I196" s="172"/>
      <c r="J196" s="172"/>
      <c r="K196" s="172"/>
      <c r="L196" s="172"/>
      <c r="M196" s="172"/>
      <c r="N196" s="172"/>
      <c r="O196" s="172"/>
      <c r="P196" s="172"/>
      <c r="Q196" s="172"/>
      <c r="R196" s="172"/>
      <c r="S196" s="172"/>
      <c r="T196" s="172"/>
      <c r="U196" s="172"/>
      <c r="V196" s="172"/>
      <c r="W196" s="172"/>
      <c r="X196" s="172"/>
      <c r="Y196" s="172"/>
      <c r="Z196" s="172"/>
      <c r="AA196" s="172"/>
    </row>
    <row r="197" spans="1:27" ht="36">
      <c r="A197" s="168"/>
      <c r="B197" s="171" t="str">
        <f t="shared" ca="1" si="1"/>
        <v>CSCA 5222 - Introduction to Computer Vision</v>
      </c>
      <c r="C197" s="171">
        <f t="shared" ca="1" si="2"/>
        <v>0</v>
      </c>
      <c r="D197" s="172"/>
      <c r="E197" s="172"/>
      <c r="F197" s="172"/>
      <c r="G197" s="175" t="str">
        <f ca="1">IFERROR(__xludf.DUMMYFUNCTION("""COMPUTED_VALUE"""),"CSCA 5222 - Introduction to Computer Vision")</f>
        <v>CSCA 5222 - Introduction to Computer Vision</v>
      </c>
      <c r="H197" s="175"/>
      <c r="I197" s="172"/>
      <c r="J197" s="172"/>
      <c r="K197" s="172"/>
      <c r="L197" s="172"/>
      <c r="M197" s="172"/>
      <c r="N197" s="172"/>
      <c r="O197" s="172"/>
      <c r="P197" s="172"/>
      <c r="Q197" s="172"/>
      <c r="R197" s="172"/>
      <c r="S197" s="172"/>
      <c r="T197" s="172"/>
      <c r="U197" s="172"/>
      <c r="V197" s="172"/>
      <c r="W197" s="172"/>
      <c r="X197" s="172"/>
      <c r="Y197" s="172"/>
      <c r="Z197" s="172"/>
      <c r="AA197" s="172"/>
    </row>
    <row r="198" spans="1:27" ht="36">
      <c r="A198" s="168"/>
      <c r="B198" s="171" t="str">
        <f t="shared" ca="1" si="1"/>
        <v>CSCA 5214 - Computing, Ethics, and Society Foundations</v>
      </c>
      <c r="C198" s="171">
        <f t="shared" ca="1" si="2"/>
        <v>0</v>
      </c>
      <c r="D198" s="172"/>
      <c r="E198" s="172"/>
      <c r="F198" s="172"/>
      <c r="G198" s="175" t="str">
        <f ca="1">IFERROR(__xludf.DUMMYFUNCTION("""COMPUTED_VALUE"""),"CSCA 5214 - Computing, Ethics, and Society Foundations")</f>
        <v>CSCA 5214 - Computing, Ethics, and Society Foundations</v>
      </c>
      <c r="H198" s="175"/>
      <c r="I198" s="172"/>
      <c r="J198" s="172"/>
      <c r="K198" s="172"/>
      <c r="L198" s="172"/>
      <c r="M198" s="172"/>
      <c r="N198" s="172"/>
      <c r="O198" s="172"/>
      <c r="P198" s="172"/>
      <c r="Q198" s="172"/>
      <c r="R198" s="172"/>
      <c r="S198" s="172"/>
      <c r="T198" s="172"/>
      <c r="U198" s="172"/>
      <c r="V198" s="172"/>
      <c r="W198" s="172"/>
      <c r="X198" s="172"/>
      <c r="Y198" s="172"/>
      <c r="Z198" s="172"/>
      <c r="AA198" s="172"/>
    </row>
    <row r="199" spans="1:27" ht="36">
      <c r="A199" s="168"/>
      <c r="B199" s="171" t="str">
        <f t="shared" ca="1" si="1"/>
        <v>CSCA 5224 - Ethical Issues in AI and Professional Ethics</v>
      </c>
      <c r="C199" s="171">
        <f t="shared" ca="1" si="2"/>
        <v>0</v>
      </c>
      <c r="D199" s="172"/>
      <c r="E199" s="172"/>
      <c r="F199" s="172"/>
      <c r="G199" s="175" t="str">
        <f ca="1">IFERROR(__xludf.DUMMYFUNCTION("""COMPUTED_VALUE"""),"CSCA 5224 - Ethical Issues in AI and Professional Ethics")</f>
        <v>CSCA 5224 - Ethical Issues in AI and Professional Ethics</v>
      </c>
      <c r="H199" s="175"/>
      <c r="I199" s="172"/>
      <c r="J199" s="172"/>
      <c r="K199" s="172"/>
      <c r="L199" s="172"/>
      <c r="M199" s="172"/>
      <c r="N199" s="172"/>
      <c r="O199" s="172"/>
      <c r="P199" s="172"/>
      <c r="Q199" s="172"/>
      <c r="R199" s="172"/>
      <c r="S199" s="172"/>
      <c r="T199" s="172"/>
      <c r="U199" s="172"/>
      <c r="V199" s="172"/>
      <c r="W199" s="172"/>
      <c r="X199" s="172"/>
      <c r="Y199" s="172"/>
      <c r="Z199" s="172"/>
      <c r="AA199" s="172"/>
    </row>
    <row r="200" spans="1:27" ht="36">
      <c r="A200" s="168"/>
      <c r="B200" s="171" t="str">
        <f t="shared" ca="1" si="1"/>
        <v>CSCA 5073 - Network Principles in Practice: Linux Networking</v>
      </c>
      <c r="C200" s="171" t="str">
        <f t="shared" ca="1" si="2"/>
        <v xml:space="preserve">The course provides a good dive into linux networking as well as an overview of docker and kubernetes. The quizzes are sufficient preparation for the final. </v>
      </c>
      <c r="D200" s="172"/>
      <c r="E200" s="172"/>
      <c r="F200" s="172"/>
      <c r="G200" s="175" t="str">
        <f ca="1">IFERROR(__xludf.DUMMYFUNCTION("""COMPUTED_VALUE"""),"CSCA 5073 - Network Principles in Practice: Linux Networking")</f>
        <v>CSCA 5073 - Network Principles in Practice: Linux Networking</v>
      </c>
      <c r="H200" s="175" t="str">
        <f ca="1">IFERROR(__xludf.DUMMYFUNCTION("""COMPUTED_VALUE"""),"The course provides a good dive into linux networking as well as an overview of docker and kubernetes. The quizzes are sufficient preparation for the final. ")</f>
        <v xml:space="preserve">The course provides a good dive into linux networking as well as an overview of docker and kubernetes. The quizzes are sufficient preparation for the final. </v>
      </c>
      <c r="I200" s="172"/>
      <c r="J200" s="172"/>
      <c r="K200" s="172"/>
      <c r="L200" s="172"/>
      <c r="M200" s="172"/>
      <c r="N200" s="172"/>
      <c r="O200" s="172"/>
      <c r="P200" s="172"/>
      <c r="Q200" s="172"/>
      <c r="R200" s="172"/>
      <c r="S200" s="172"/>
      <c r="T200" s="172"/>
      <c r="U200" s="172"/>
      <c r="V200" s="172"/>
      <c r="W200" s="172"/>
      <c r="X200" s="172"/>
      <c r="Y200" s="172"/>
      <c r="Z200" s="172"/>
      <c r="AA200" s="172"/>
    </row>
    <row r="201" spans="1:27" ht="36">
      <c r="A201" s="168"/>
      <c r="B201" s="171" t="str">
        <f t="shared" ca="1" si="1"/>
        <v>CSCA 5063 - Network Systems Foundation</v>
      </c>
      <c r="C201" s="171" t="str">
        <f t="shared" ca="1" si="2"/>
        <v>This class is great because it focuses on the big picture. The assignments were mostly a missed opportunity to challenge us with the nitty gritty and exploit the powerful scapy lib. The 1 attempt MCQ exam forces you to study but I'm glad it only weighs 10% or it could hurt your GPA.</v>
      </c>
      <c r="D201" s="172"/>
      <c r="E201" s="172"/>
      <c r="F201" s="172"/>
      <c r="G201" s="175" t="str">
        <f ca="1">IFERROR(__xludf.DUMMYFUNCTION("""COMPUTED_VALUE"""),"CSCA 5063 - Network Systems Foundation")</f>
        <v>CSCA 5063 - Network Systems Foundation</v>
      </c>
      <c r="H201" s="175" t="str">
        <f ca="1">IFERROR(__xludf.DUMMYFUNCTION("""COMPUTED_VALUE"""),"This class is great because it focuses on the big picture. The assignments were mostly a missed opportunity to challenge us with the nitty gritty and exploit the powerful scapy lib. The 1 attempt MCQ exam forces you to study but I'm glad it only weighs 10"&amp;"% or it could hurt your GPA.")</f>
        <v>This class is great because it focuses on the big picture. The assignments were mostly a missed opportunity to challenge us with the nitty gritty and exploit the powerful scapy lib. The 1 attempt MCQ exam forces you to study but I'm glad it only weighs 10% or it could hurt your GPA.</v>
      </c>
      <c r="I201" s="172"/>
      <c r="J201" s="172"/>
      <c r="K201" s="172"/>
      <c r="L201" s="172"/>
      <c r="M201" s="172"/>
      <c r="N201" s="172"/>
      <c r="O201" s="172"/>
      <c r="P201" s="172"/>
      <c r="Q201" s="172"/>
      <c r="R201" s="172"/>
      <c r="S201" s="172"/>
      <c r="T201" s="172"/>
      <c r="U201" s="172"/>
      <c r="V201" s="172"/>
      <c r="W201" s="172"/>
      <c r="X201" s="172"/>
      <c r="Y201" s="172"/>
      <c r="Z201" s="172"/>
      <c r="AA201" s="172"/>
    </row>
    <row r="202" spans="1:27" ht="36">
      <c r="A202" s="168"/>
      <c r="B202" s="171" t="str">
        <f t="shared" ca="1" si="1"/>
        <v>CSCA 5414 - Dynamic Programming, Greedy Algorithms</v>
      </c>
      <c r="C202" s="171" t="str">
        <f t="shared" ca="1" si="2"/>
        <v xml:space="preserve">the readings are substantial and the problem sets can be tough if you haven't really learned the material. looking back, i would probably spend more time doing the textbook's exercises instead of taking notes. </v>
      </c>
      <c r="D202" s="172"/>
      <c r="E202" s="172"/>
      <c r="F202" s="172"/>
      <c r="G202" s="175" t="str">
        <f ca="1">IFERROR(__xludf.DUMMYFUNCTION("""COMPUTED_VALUE"""),"CSCA 5414 - Dynamic Programming, Greedy Algorithms")</f>
        <v>CSCA 5414 - Dynamic Programming, Greedy Algorithms</v>
      </c>
      <c r="H202" s="175" t="str">
        <f ca="1">IFERROR(__xludf.DUMMYFUNCTION("""COMPUTED_VALUE"""),"the readings are substantial and the problem sets can be tough if you haven't really learned the material. looking back, i would probably spend more time doing the textbook's exercises instead of taking notes. ")</f>
        <v xml:space="preserve">the readings are substantial and the problem sets can be tough if you haven't really learned the material. looking back, i would probably spend more time doing the textbook's exercises instead of taking notes. </v>
      </c>
      <c r="I202" s="172"/>
      <c r="J202" s="172"/>
      <c r="K202" s="172"/>
      <c r="L202" s="172"/>
      <c r="M202" s="172"/>
      <c r="N202" s="172"/>
      <c r="O202" s="172"/>
      <c r="P202" s="172"/>
      <c r="Q202" s="172"/>
      <c r="R202" s="172"/>
      <c r="S202" s="172"/>
      <c r="T202" s="172"/>
      <c r="U202" s="172"/>
      <c r="V202" s="172"/>
      <c r="W202" s="172"/>
      <c r="X202" s="172"/>
      <c r="Y202" s="172"/>
      <c r="Z202" s="172"/>
      <c r="AA202" s="172"/>
    </row>
    <row r="203" spans="1:27" ht="36">
      <c r="A203" s="168"/>
      <c r="B203" s="171" t="str">
        <f t="shared" ca="1" si="1"/>
        <v>CSCA 5008 - Fundamentals of Software Architecture for Big Data</v>
      </c>
      <c r="C203" s="171">
        <f t="shared" ca="1" si="2"/>
        <v>0</v>
      </c>
      <c r="D203" s="172"/>
      <c r="E203" s="172"/>
      <c r="F203" s="172"/>
      <c r="G203" s="175" t="str">
        <f ca="1">IFERROR(__xludf.DUMMYFUNCTION("""COMPUTED_VALUE"""),"CSCA 5008 - Fundamentals of Software Architecture for Big Data")</f>
        <v>CSCA 5008 - Fundamentals of Software Architecture for Big Data</v>
      </c>
      <c r="H203" s="175"/>
      <c r="I203" s="172"/>
      <c r="J203" s="172"/>
      <c r="K203" s="172"/>
      <c r="L203" s="172"/>
      <c r="M203" s="172"/>
      <c r="N203" s="172"/>
      <c r="O203" s="172"/>
      <c r="P203" s="172"/>
      <c r="Q203" s="172"/>
      <c r="R203" s="172"/>
      <c r="S203" s="172"/>
      <c r="T203" s="172"/>
      <c r="U203" s="172"/>
      <c r="V203" s="172"/>
      <c r="W203" s="172"/>
      <c r="X203" s="172"/>
      <c r="Y203" s="172"/>
      <c r="Z203" s="172"/>
      <c r="AA203" s="172"/>
    </row>
    <row r="204" spans="1:27" ht="54">
      <c r="A204" s="168"/>
      <c r="B204" s="171" t="str">
        <f t="shared" ca="1" si="1"/>
        <v>CSCA 5454 - Advanced Data Structures, RSA and Quantum Algorithms</v>
      </c>
      <c r="C204" s="171">
        <f t="shared" ca="1" si="2"/>
        <v>0</v>
      </c>
      <c r="D204" s="172"/>
      <c r="E204" s="172"/>
      <c r="F204" s="172"/>
      <c r="G204" s="175" t="str">
        <f ca="1">IFERROR(__xludf.DUMMYFUNCTION("""COMPUTED_VALUE"""),"CSCA 5454 - Advanced Data Structures, RSA and Quantum Algorithms")</f>
        <v>CSCA 5454 - Advanced Data Structures, RSA and Quantum Algorithms</v>
      </c>
      <c r="H204" s="175"/>
      <c r="I204" s="172"/>
      <c r="J204" s="172"/>
      <c r="K204" s="172"/>
      <c r="L204" s="172"/>
      <c r="M204" s="172"/>
      <c r="N204" s="172"/>
      <c r="O204" s="172"/>
      <c r="P204" s="172"/>
      <c r="Q204" s="172"/>
      <c r="R204" s="172"/>
      <c r="S204" s="172"/>
      <c r="T204" s="172"/>
      <c r="U204" s="172"/>
      <c r="V204" s="172"/>
      <c r="W204" s="172"/>
      <c r="X204" s="172"/>
      <c r="Y204" s="172"/>
      <c r="Z204" s="172"/>
      <c r="AA204" s="172"/>
    </row>
    <row r="205" spans="1:27" ht="36">
      <c r="A205" s="168"/>
      <c r="B205" s="171" t="str">
        <f t="shared" ca="1" si="1"/>
        <v>CSCA 5083 - Network Principles in Practice: Cloud Networking</v>
      </c>
      <c r="C205" s="171" t="str">
        <f t="shared" ca="1" si="2"/>
        <v xml:space="preserve">The labs have some ambiguity, but the 'lab quiz' questions will give you clues. The final covers material from the readings that were not covered in lectures. </v>
      </c>
      <c r="D205" s="172"/>
      <c r="E205" s="172"/>
      <c r="F205" s="172"/>
      <c r="G205" s="175" t="str">
        <f ca="1">IFERROR(__xludf.DUMMYFUNCTION("""COMPUTED_VALUE"""),"CSCA 5083 - Network Principles in Practice: Cloud Networking")</f>
        <v>CSCA 5083 - Network Principles in Practice: Cloud Networking</v>
      </c>
      <c r="H205" s="175" t="str">
        <f ca="1">IFERROR(__xludf.DUMMYFUNCTION("""COMPUTED_VALUE"""),"The labs have some ambiguity, but the 'lab quiz' questions will give you clues. The final covers material from the readings that were not covered in lectures. ")</f>
        <v xml:space="preserve">The labs have some ambiguity, but the 'lab quiz' questions will give you clues. The final covers material from the readings that were not covered in lectures. </v>
      </c>
      <c r="I205" s="172"/>
      <c r="J205" s="172"/>
      <c r="K205" s="172"/>
      <c r="L205" s="172"/>
      <c r="M205" s="172"/>
      <c r="N205" s="172"/>
      <c r="O205" s="172"/>
      <c r="P205" s="172"/>
      <c r="Q205" s="172"/>
      <c r="R205" s="172"/>
      <c r="S205" s="172"/>
      <c r="T205" s="172"/>
      <c r="U205" s="172"/>
      <c r="V205" s="172"/>
      <c r="W205" s="172"/>
      <c r="X205" s="172"/>
      <c r="Y205" s="172"/>
      <c r="Z205" s="172"/>
      <c r="AA205" s="172"/>
    </row>
    <row r="206" spans="1:27" ht="54">
      <c r="A206" s="168"/>
      <c r="B206" s="171" t="str">
        <f t="shared" ca="1" si="1"/>
        <v>CSCA 5414 - Dynamic Programming, Greedy Algorithms</v>
      </c>
      <c r="C206" s="171" t="str">
        <f t="shared" ca="1" si="2"/>
        <v>Prior knowledge in python, linear algebra, and basic algorithms will be very helpful, but not mandatory, for this course. Would recommend taking a little extra time to review any unfamiliar math or programming concepts that come up as they get mentioned in class. The prof will provide helpful links for this material along the way. Overall great experience; challenging yet fair and rewarding</v>
      </c>
      <c r="D206" s="172"/>
      <c r="E206" s="172"/>
      <c r="F206" s="172"/>
      <c r="G206" s="175" t="str">
        <f ca="1">IFERROR(__xludf.DUMMYFUNCTION("""COMPUTED_VALUE"""),"CSCA 5414 - Dynamic Programming, Greedy Algorithms")</f>
        <v>CSCA 5414 - Dynamic Programming, Greedy Algorithms</v>
      </c>
      <c r="H206" s="175" t="str">
        <f ca="1">IFERROR(__xludf.DUMMYFUNCTION("""COMPUTED_VALUE"""),"Prior knowledge in python, linear algebra, and basic algorithms will be very helpful, but not mandatory, for this course. Would recommend taking a little extra time to review any unfamiliar math or programming concepts that come up as they get mentioned i"&amp;"n class. The prof will provide helpful links for this material along the way. Overall great experience; challenging yet fair and rewarding")</f>
        <v>Prior knowledge in python, linear algebra, and basic algorithms will be very helpful, but not mandatory, for this course. Would recommend taking a little extra time to review any unfamiliar math or programming concepts that come up as they get mentioned in class. The prof will provide helpful links for this material along the way. Overall great experience; challenging yet fair and rewarding</v>
      </c>
      <c r="I206" s="172"/>
      <c r="J206" s="172"/>
      <c r="K206" s="172"/>
      <c r="L206" s="172"/>
      <c r="M206" s="172"/>
      <c r="N206" s="172"/>
      <c r="O206" s="172"/>
      <c r="P206" s="172"/>
      <c r="Q206" s="172"/>
      <c r="R206" s="172"/>
      <c r="S206" s="172"/>
      <c r="T206" s="172"/>
      <c r="U206" s="172"/>
      <c r="V206" s="172"/>
      <c r="W206" s="172"/>
      <c r="X206" s="172"/>
      <c r="Y206" s="172"/>
      <c r="Z206" s="172"/>
      <c r="AA206" s="172"/>
    </row>
    <row r="207" spans="1:27" ht="36">
      <c r="A207" s="168"/>
      <c r="B207" s="171" t="str">
        <f t="shared" ca="1" si="1"/>
        <v>CSCA 5424 - Approximation Algorithms and Linear Programming</v>
      </c>
      <c r="C207" s="171" t="str">
        <f t="shared" ca="1" si="2"/>
        <v xml:space="preserve">Found this a lot easier to wrap my head around than the prior course on Dynamic Programming/ Greedy Algos. The labs in this class are a big improvement from the previous course. Less focus on proofs and more hands on real world learning in this class as well. </v>
      </c>
      <c r="D207" s="172"/>
      <c r="E207" s="172"/>
      <c r="F207" s="172"/>
      <c r="G207" s="175" t="str">
        <f ca="1">IFERROR(__xludf.DUMMYFUNCTION("""COMPUTED_VALUE"""),"CSCA 5424 - Approximation Algorithms and Linear Programming")</f>
        <v>CSCA 5424 - Approximation Algorithms and Linear Programming</v>
      </c>
      <c r="H207" s="175" t="str">
        <f ca="1">IFERROR(__xludf.DUMMYFUNCTION("""COMPUTED_VALUE"""),"Found this a lot easier to wrap my head around than the prior course on Dynamic Programming/ Greedy Algos. The labs in this class are a big improvement from the previous course. Less focus on proofs and more hands on real world learning in this class as w"&amp;"ell. ")</f>
        <v xml:space="preserve">Found this a lot easier to wrap my head around than the prior course on Dynamic Programming/ Greedy Algos. The labs in this class are a big improvement from the previous course. Less focus on proofs and more hands on real world learning in this class as well. </v>
      </c>
      <c r="I207" s="172"/>
      <c r="J207" s="172"/>
      <c r="K207" s="172"/>
      <c r="L207" s="172"/>
      <c r="M207" s="172"/>
      <c r="N207" s="172"/>
      <c r="O207" s="172"/>
      <c r="P207" s="172"/>
      <c r="Q207" s="172"/>
      <c r="R207" s="172"/>
      <c r="S207" s="172"/>
      <c r="T207" s="172"/>
      <c r="U207" s="172"/>
      <c r="V207" s="172"/>
      <c r="W207" s="172"/>
      <c r="X207" s="172"/>
      <c r="Y207" s="172"/>
      <c r="Z207" s="172"/>
      <c r="AA207" s="172"/>
    </row>
    <row r="208" spans="1:27" ht="54">
      <c r="A208" s="168"/>
      <c r="B208" s="171" t="str">
        <f t="shared" ca="1" si="1"/>
        <v>CSCA 5454 - Advanced Data Structures, RSA and Quantum Algorithms</v>
      </c>
      <c r="C208" s="171" t="str">
        <f t="shared" ca="1" si="2"/>
        <v xml:space="preserve">Felt this was a step up in difficulty from the first 2 courses of this specialization. Not that the homework is necessarily more difficult; it really isn't, once you understand exactly what's being asked. However, the concepts presented here definitely take some time to wrap your head around. I thought the material was very interesting to learn about. I'd recommend taking a step back to review concepts and let them sink in if you are feeling overwhelmed. </v>
      </c>
      <c r="D208" s="172"/>
      <c r="E208" s="172"/>
      <c r="F208" s="172"/>
      <c r="G208" s="175" t="str">
        <f ca="1">IFERROR(__xludf.DUMMYFUNCTION("""COMPUTED_VALUE"""),"CSCA 5454 - Advanced Data Structures, RSA and Quantum Algorithms")</f>
        <v>CSCA 5454 - Advanced Data Structures, RSA and Quantum Algorithms</v>
      </c>
      <c r="H208" s="175" t="str">
        <f ca="1">IFERROR(__xludf.DUMMYFUNCTION("""COMPUTED_VALUE"""),"Felt this was a step up in difficulty from the first 2 courses of this specialization. Not that the homework is necessarily more difficult; it really isn't, once you understand exactly what's being asked. However, the concepts presented here definitely ta"&amp;"ke some time to wrap your head around. I thought the material was very interesting to learn about. I'd recommend taking a step back to review concepts and let them sink in if you are feeling overwhelmed. ")</f>
        <v xml:space="preserve">Felt this was a step up in difficulty from the first 2 courses of this specialization. Not that the homework is necessarily more difficult; it really isn't, once you understand exactly what's being asked. However, the concepts presented here definitely take some time to wrap your head around. I thought the material was very interesting to learn about. I'd recommend taking a step back to review concepts and let them sink in if you are feeling overwhelmed. </v>
      </c>
      <c r="I208" s="172"/>
      <c r="J208" s="172"/>
      <c r="K208" s="172"/>
      <c r="L208" s="172"/>
      <c r="M208" s="172"/>
      <c r="N208" s="172"/>
      <c r="O208" s="172"/>
      <c r="P208" s="172"/>
      <c r="Q208" s="172"/>
      <c r="R208" s="172"/>
      <c r="S208" s="172"/>
      <c r="T208" s="172"/>
      <c r="U208" s="172"/>
      <c r="V208" s="172"/>
      <c r="W208" s="172"/>
      <c r="X208" s="172"/>
      <c r="Y208" s="172"/>
      <c r="Z208" s="172"/>
      <c r="AA208" s="172"/>
    </row>
    <row r="209" spans="1:27" ht="72">
      <c r="A209" s="168"/>
      <c r="B209" s="171" t="str">
        <f t="shared" ca="1" si="1"/>
        <v>CSCA 5112 - Introduction to Generative AI</v>
      </c>
      <c r="C209" s="171" t="str">
        <f t="shared" ca="1" si="2"/>
        <v>Definitely an easy course imo. Was a little disappointed overall, as this was one of the classes I was most looking forward to when I came across this program. The professor takes too much time to hammer home points that are trivial, and too little to explain the more advanced concepts. Ironically, I found chat GPT to be a great aid in understanding some of the topics that are somewhat glossed over. This course would be improved with some form of hands on assignments/ labs. All you need to do to pass the final is review the weekly quizzes, although reviewing notes from lectures will provide additional benefit.</v>
      </c>
      <c r="D209" s="172"/>
      <c r="E209" s="172"/>
      <c r="F209" s="172"/>
      <c r="G209" s="175" t="str">
        <f ca="1">IFERROR(__xludf.DUMMYFUNCTION("""COMPUTED_VALUE"""),"CSCA 5112 - Introduction to Generative AI")</f>
        <v>CSCA 5112 - Introduction to Generative AI</v>
      </c>
      <c r="H209" s="175" t="str">
        <f ca="1">IFERROR(__xludf.DUMMYFUNCTION("""COMPUTED_VALUE"""),"Definitely an easy course imo. Was a little disappointed overall, as this was one of the classes I was most looking forward to when I came across this program. The professor takes too much time to hammer home points that are trivial, and too little to exp"&amp;"lain the more advanced concepts. Ironically, I found chat GPT to be a great aid in understanding some of the topics that are somewhat glossed over. This course would be improved with some form of hands on assignments/ labs. All you need to do to pass the "&amp;"final is review the weekly quizzes, although reviewing notes from lectures will provide additional benefit.")</f>
        <v>Definitely an easy course imo. Was a little disappointed overall, as this was one of the classes I was most looking forward to when I came across this program. The professor takes too much time to hammer home points that are trivial, and too little to explain the more advanced concepts. Ironically, I found chat GPT to be a great aid in understanding some of the topics that are somewhat glossed over. This course would be improved with some form of hands on assignments/ labs. All you need to do to pass the final is review the weekly quizzes, although reviewing notes from lectures will provide additional benefit.</v>
      </c>
      <c r="I209" s="172"/>
      <c r="J209" s="172"/>
      <c r="K209" s="172"/>
      <c r="L209" s="172"/>
      <c r="M209" s="172"/>
      <c r="N209" s="172"/>
      <c r="O209" s="172"/>
      <c r="P209" s="172"/>
      <c r="Q209" s="172"/>
      <c r="R209" s="172"/>
      <c r="S209" s="172"/>
      <c r="T209" s="172"/>
      <c r="U209" s="172"/>
      <c r="V209" s="172"/>
      <c r="W209" s="172"/>
      <c r="X209" s="172"/>
      <c r="Y209" s="172"/>
      <c r="Z209" s="172"/>
      <c r="AA209" s="172"/>
    </row>
    <row r="210" spans="1:27" ht="36">
      <c r="A210" s="168"/>
      <c r="B210" s="171" t="str">
        <f t="shared" ca="1" si="1"/>
        <v>CSCA 5063 - Network Systems Foundation</v>
      </c>
      <c r="C210" s="171" t="str">
        <f t="shared" ca="1" si="2"/>
        <v>Pretty chill course, but found the material interesting and learned a lot. The weekly assignments were the highlight of the course for me. Hate to say it, but as others have indicated, there really are way too many "You know"s in this course. Highly recommend watching the lectures on 1.25x speed at least. Overall positive experience</v>
      </c>
      <c r="D210" s="172"/>
      <c r="E210" s="172"/>
      <c r="F210" s="172"/>
      <c r="G210" s="175" t="str">
        <f ca="1">IFERROR(__xludf.DUMMYFUNCTION("""COMPUTED_VALUE"""),"CSCA 5063 - Network Systems Foundation")</f>
        <v>CSCA 5063 - Network Systems Foundation</v>
      </c>
      <c r="H210" s="175" t="str">
        <f ca="1">IFERROR(__xludf.DUMMYFUNCTION("""COMPUTED_VALUE"""),"Pretty chill course, but found the material interesting and learned a lot. The weekly assignments were the highlight of the course for me. Hate to say it, but as others have indicated, there really are way too many ""You know""s in this course. Highly rec"&amp;"ommend watching the lectures on 1.25x speed at least. Overall positive experience")</f>
        <v>Pretty chill course, but found the material interesting and learned a lot. The weekly assignments were the highlight of the course for me. Hate to say it, but as others have indicated, there really are way too many "You know"s in this course. Highly recommend watching the lectures on 1.25x speed at least. Overall positive experience</v>
      </c>
      <c r="I210" s="172"/>
      <c r="J210" s="172"/>
      <c r="K210" s="172"/>
      <c r="L210" s="172"/>
      <c r="M210" s="172"/>
      <c r="N210" s="172"/>
      <c r="O210" s="172"/>
      <c r="P210" s="172"/>
      <c r="Q210" s="172"/>
      <c r="R210" s="172"/>
      <c r="S210" s="172"/>
      <c r="T210" s="172"/>
      <c r="U210" s="172"/>
      <c r="V210" s="172"/>
      <c r="W210" s="172"/>
      <c r="X210" s="172"/>
      <c r="Y210" s="172"/>
      <c r="Z210" s="172"/>
      <c r="AA210" s="172"/>
    </row>
    <row r="211" spans="1:27" ht="36">
      <c r="A211" s="168"/>
      <c r="B211" s="171" t="str">
        <f t="shared" ca="1" si="1"/>
        <v>CSCA 5834 - Modeling of Autonomous Systems</v>
      </c>
      <c r="C211" s="171">
        <f t="shared" ca="1" si="2"/>
        <v>0</v>
      </c>
      <c r="D211" s="172"/>
      <c r="E211" s="172"/>
      <c r="F211" s="172"/>
      <c r="G211" s="175" t="str">
        <f ca="1">IFERROR(__xludf.DUMMYFUNCTION("""COMPUTED_VALUE"""),"CSCA 5834 - Modeling of Autonomous Systems")</f>
        <v>CSCA 5834 - Modeling of Autonomous Systems</v>
      </c>
      <c r="H211" s="175"/>
      <c r="I211" s="172"/>
      <c r="J211" s="172"/>
      <c r="K211" s="172"/>
      <c r="L211" s="172"/>
      <c r="M211" s="172"/>
      <c r="N211" s="172"/>
      <c r="O211" s="172"/>
      <c r="P211" s="172"/>
      <c r="Q211" s="172"/>
      <c r="R211" s="172"/>
      <c r="S211" s="172"/>
      <c r="T211" s="172"/>
      <c r="U211" s="172"/>
      <c r="V211" s="172"/>
      <c r="W211" s="172"/>
      <c r="X211" s="172"/>
      <c r="Y211" s="172"/>
      <c r="Z211" s="172"/>
      <c r="AA211" s="172"/>
    </row>
    <row r="212" spans="1:27" ht="36">
      <c r="A212" s="168"/>
      <c r="B212" s="171" t="str">
        <f t="shared" ca="1" si="1"/>
        <v>CSCA 5844 - Requirement Specifications for Autonomous Systems</v>
      </c>
      <c r="C212" s="171">
        <f t="shared" ca="1" si="2"/>
        <v>0</v>
      </c>
      <c r="D212" s="172"/>
      <c r="E212" s="172"/>
      <c r="F212" s="172"/>
      <c r="G212" s="175" t="str">
        <f ca="1">IFERROR(__xludf.DUMMYFUNCTION("""COMPUTED_VALUE"""),"CSCA 5844 - Requirement Specifications for Autonomous Systems")</f>
        <v>CSCA 5844 - Requirement Specifications for Autonomous Systems</v>
      </c>
      <c r="H212" s="175"/>
      <c r="I212" s="172"/>
      <c r="J212" s="172"/>
      <c r="K212" s="172"/>
      <c r="L212" s="172"/>
      <c r="M212" s="172"/>
      <c r="N212" s="172"/>
      <c r="O212" s="172"/>
      <c r="P212" s="172"/>
      <c r="Q212" s="172"/>
      <c r="R212" s="172"/>
      <c r="S212" s="172"/>
      <c r="T212" s="172"/>
      <c r="U212" s="172"/>
      <c r="V212" s="172"/>
      <c r="W212" s="172"/>
      <c r="X212" s="172"/>
      <c r="Y212" s="172"/>
      <c r="Z212" s="172"/>
      <c r="AA212" s="172"/>
    </row>
    <row r="213" spans="1:27" ht="36">
      <c r="A213" s="168"/>
      <c r="B213" s="171" t="str">
        <f t="shared" ca="1" si="1"/>
        <v>CSCA 5854 - Verification and Synthesis of Autonomous Systems</v>
      </c>
      <c r="C213" s="171">
        <f t="shared" ca="1" si="2"/>
        <v>0</v>
      </c>
      <c r="D213" s="172"/>
      <c r="E213" s="172"/>
      <c r="F213" s="172"/>
      <c r="G213" s="175" t="str">
        <f ca="1">IFERROR(__xludf.DUMMYFUNCTION("""COMPUTED_VALUE"""),"CSCA 5854 - Verification and Synthesis of Autonomous Systems")</f>
        <v>CSCA 5854 - Verification and Synthesis of Autonomous Systems</v>
      </c>
      <c r="H213" s="175"/>
      <c r="I213" s="172"/>
      <c r="J213" s="172"/>
      <c r="K213" s="172"/>
      <c r="L213" s="172"/>
      <c r="M213" s="172"/>
      <c r="N213" s="172"/>
      <c r="O213" s="172"/>
      <c r="P213" s="172"/>
      <c r="Q213" s="172"/>
      <c r="R213" s="172"/>
      <c r="S213" s="172"/>
      <c r="T213" s="172"/>
      <c r="U213" s="172"/>
      <c r="V213" s="172"/>
      <c r="W213" s="172"/>
      <c r="X213" s="172"/>
      <c r="Y213" s="172"/>
      <c r="Z213" s="172"/>
      <c r="AA213" s="172"/>
    </row>
    <row r="214" spans="1:27" ht="36">
      <c r="A214" s="168"/>
      <c r="B214" s="171" t="str">
        <f t="shared" ca="1" si="1"/>
        <v>CSCA 5632 - Unsupervised Algorithms in Machine Learning</v>
      </c>
      <c r="C214" s="171">
        <f t="shared" ca="1" si="2"/>
        <v>0</v>
      </c>
      <c r="D214" s="172"/>
      <c r="E214" s="172"/>
      <c r="F214" s="172"/>
      <c r="G214" s="175" t="str">
        <f ca="1">IFERROR(__xludf.DUMMYFUNCTION("""COMPUTED_VALUE"""),"CSCA 5632 - Unsupervised Algorithms in Machine Learning")</f>
        <v>CSCA 5632 - Unsupervised Algorithms in Machine Learning</v>
      </c>
      <c r="H214" s="175"/>
      <c r="I214" s="172"/>
      <c r="J214" s="172"/>
      <c r="K214" s="172"/>
      <c r="L214" s="172"/>
      <c r="M214" s="172"/>
      <c r="N214" s="172"/>
      <c r="O214" s="172"/>
      <c r="P214" s="172"/>
      <c r="Q214" s="172"/>
      <c r="R214" s="172"/>
      <c r="S214" s="172"/>
      <c r="T214" s="172"/>
      <c r="U214" s="172"/>
      <c r="V214" s="172"/>
      <c r="W214" s="172"/>
      <c r="X214" s="172"/>
      <c r="Y214" s="172"/>
      <c r="Z214" s="172"/>
      <c r="AA214" s="172"/>
    </row>
    <row r="215" spans="1:27" ht="18">
      <c r="A215" s="168"/>
      <c r="B215" s="171" t="str">
        <f t="shared" ca="1" si="1"/>
        <v>CSCA 5502 - Data Mining Pipeline</v>
      </c>
      <c r="C215" s="171">
        <f t="shared" ca="1" si="2"/>
        <v>0</v>
      </c>
      <c r="D215" s="172"/>
      <c r="E215" s="172"/>
      <c r="F215" s="172"/>
      <c r="G215" s="175" t="str">
        <f ca="1">IFERROR(__xludf.DUMMYFUNCTION("""COMPUTED_VALUE"""),"CSCA 5502 - Data Mining Pipeline")</f>
        <v>CSCA 5502 - Data Mining Pipeline</v>
      </c>
      <c r="H215" s="175"/>
      <c r="I215" s="172"/>
      <c r="J215" s="172"/>
      <c r="K215" s="172"/>
      <c r="L215" s="172"/>
      <c r="M215" s="172"/>
      <c r="N215" s="172"/>
      <c r="O215" s="172"/>
      <c r="P215" s="172"/>
      <c r="Q215" s="172"/>
      <c r="R215" s="172"/>
      <c r="S215" s="172"/>
      <c r="T215" s="172"/>
      <c r="U215" s="172"/>
      <c r="V215" s="172"/>
      <c r="W215" s="172"/>
      <c r="X215" s="172"/>
      <c r="Y215" s="172"/>
      <c r="Z215" s="172"/>
      <c r="AA215" s="172"/>
    </row>
    <row r="216" spans="1:27" ht="18">
      <c r="A216" s="168"/>
      <c r="B216" s="171" t="str">
        <f t="shared" ca="1" si="1"/>
        <v>CSCA 5522 - Data Mining Project</v>
      </c>
      <c r="C216" s="171">
        <f t="shared" ca="1" si="2"/>
        <v>0</v>
      </c>
      <c r="D216" s="172"/>
      <c r="E216" s="172"/>
      <c r="F216" s="172"/>
      <c r="G216" s="175" t="str">
        <f ca="1">IFERROR(__xludf.DUMMYFUNCTION("""COMPUTED_VALUE"""),"CSCA 5522 - Data Mining Project")</f>
        <v>CSCA 5522 - Data Mining Project</v>
      </c>
      <c r="H216" s="175"/>
      <c r="I216" s="172"/>
      <c r="J216" s="172"/>
      <c r="K216" s="172"/>
      <c r="L216" s="172"/>
      <c r="M216" s="172"/>
      <c r="N216" s="172"/>
      <c r="O216" s="172"/>
      <c r="P216" s="172"/>
      <c r="Q216" s="172"/>
      <c r="R216" s="172"/>
      <c r="S216" s="172"/>
      <c r="T216" s="172"/>
      <c r="U216" s="172"/>
      <c r="V216" s="172"/>
      <c r="W216" s="172"/>
      <c r="X216" s="172"/>
      <c r="Y216" s="172"/>
      <c r="Z216" s="172"/>
      <c r="AA216" s="172"/>
    </row>
    <row r="217" spans="1:27" ht="17">
      <c r="A217" s="168"/>
      <c r="B217" s="171">
        <f t="shared" ca="1" si="1"/>
        <v>0</v>
      </c>
      <c r="C217" s="171">
        <f t="shared" ca="1" si="2"/>
        <v>0</v>
      </c>
      <c r="D217" s="172"/>
      <c r="E217" s="172"/>
      <c r="F217" s="172"/>
      <c r="G217" s="175"/>
      <c r="H217" s="175"/>
      <c r="I217" s="172"/>
      <c r="J217" s="172"/>
      <c r="K217" s="172"/>
      <c r="L217" s="172"/>
      <c r="M217" s="172"/>
      <c r="N217" s="172"/>
      <c r="O217" s="172"/>
      <c r="P217" s="172"/>
      <c r="Q217" s="172"/>
      <c r="R217" s="172"/>
      <c r="S217" s="172"/>
      <c r="T217" s="172"/>
      <c r="U217" s="172"/>
      <c r="V217" s="172"/>
      <c r="W217" s="172"/>
      <c r="X217" s="172"/>
      <c r="Y217" s="172"/>
      <c r="Z217" s="172"/>
      <c r="AA217" s="172"/>
    </row>
    <row r="218" spans="1:27" ht="17">
      <c r="A218" s="168"/>
      <c r="B218" s="171">
        <f t="shared" ca="1" si="1"/>
        <v>0</v>
      </c>
      <c r="C218" s="171">
        <f t="shared" ca="1" si="2"/>
        <v>0</v>
      </c>
      <c r="D218" s="172"/>
      <c r="E218" s="172"/>
      <c r="F218" s="172"/>
      <c r="G218" s="175"/>
      <c r="H218" s="175"/>
      <c r="I218" s="172"/>
      <c r="J218" s="172"/>
      <c r="K218" s="172"/>
      <c r="L218" s="172"/>
      <c r="M218" s="172"/>
      <c r="N218" s="172"/>
      <c r="O218" s="172"/>
      <c r="P218" s="172"/>
      <c r="Q218" s="172"/>
      <c r="R218" s="172"/>
      <c r="S218" s="172"/>
      <c r="T218" s="172"/>
      <c r="U218" s="172"/>
      <c r="V218" s="172"/>
      <c r="W218" s="172"/>
      <c r="X218" s="172"/>
      <c r="Y218" s="172"/>
      <c r="Z218" s="172"/>
      <c r="AA218" s="172"/>
    </row>
    <row r="219" spans="1:27" ht="17">
      <c r="A219" s="168"/>
      <c r="B219" s="168"/>
      <c r="C219" s="171">
        <f t="shared" ca="1" si="2"/>
        <v>0</v>
      </c>
      <c r="G219" s="175"/>
      <c r="H219" s="175"/>
      <c r="I219" s="168"/>
      <c r="J219" s="168"/>
    </row>
    <row r="220" spans="1:27" ht="17">
      <c r="A220" s="168"/>
      <c r="B220" s="168"/>
      <c r="C220" s="171">
        <f t="shared" ca="1" si="2"/>
        <v>0</v>
      </c>
      <c r="G220" s="175"/>
      <c r="H220" s="175"/>
      <c r="I220" s="168"/>
      <c r="J220" s="168"/>
    </row>
    <row r="221" spans="1:27" ht="17">
      <c r="A221" s="168"/>
      <c r="B221" s="168"/>
      <c r="C221" s="171">
        <f t="shared" ca="1" si="2"/>
        <v>0</v>
      </c>
      <c r="G221" s="175"/>
      <c r="H221" s="175"/>
      <c r="I221" s="168"/>
      <c r="J221" s="168"/>
    </row>
    <row r="222" spans="1:27" ht="17">
      <c r="A222" s="168"/>
      <c r="B222" s="168"/>
      <c r="C222" s="171">
        <f t="shared" ca="1" si="2"/>
        <v>0</v>
      </c>
      <c r="G222" s="175"/>
      <c r="H222" s="175"/>
      <c r="I222" s="168"/>
      <c r="J222" s="168"/>
    </row>
    <row r="223" spans="1:27" ht="17">
      <c r="A223" s="168"/>
      <c r="B223" s="168"/>
      <c r="C223" s="171">
        <f t="shared" ca="1" si="2"/>
        <v>0</v>
      </c>
      <c r="G223" s="175"/>
      <c r="H223" s="175"/>
      <c r="I223" s="168"/>
      <c r="J223" s="168"/>
    </row>
    <row r="224" spans="1:27" ht="17">
      <c r="A224" s="168"/>
      <c r="B224" s="168"/>
      <c r="C224" s="171">
        <f t="shared" ca="1" si="2"/>
        <v>0</v>
      </c>
      <c r="G224" s="175"/>
      <c r="H224" s="175"/>
      <c r="I224" s="168"/>
      <c r="J224" s="168"/>
    </row>
    <row r="225" spans="1:10" ht="17">
      <c r="A225" s="168"/>
      <c r="B225" s="168"/>
      <c r="C225" s="171">
        <f t="shared" ca="1" si="2"/>
        <v>0</v>
      </c>
      <c r="G225" s="175"/>
      <c r="H225" s="175"/>
      <c r="I225" s="168"/>
      <c r="J225" s="168"/>
    </row>
    <row r="226" spans="1:10" ht="17">
      <c r="A226" s="168"/>
      <c r="B226" s="168"/>
      <c r="C226" s="171">
        <f t="shared" ca="1" si="2"/>
        <v>0</v>
      </c>
      <c r="G226" s="175"/>
      <c r="H226" s="175"/>
      <c r="I226" s="168"/>
      <c r="J226" s="168"/>
    </row>
    <row r="227" spans="1:10" ht="17">
      <c r="A227" s="168"/>
      <c r="B227" s="168"/>
      <c r="C227" s="171">
        <f t="shared" ca="1" si="2"/>
        <v>0</v>
      </c>
      <c r="G227" s="175"/>
      <c r="H227" s="175"/>
      <c r="I227" s="168"/>
      <c r="J227" s="168"/>
    </row>
    <row r="228" spans="1:10" ht="17">
      <c r="A228" s="168"/>
      <c r="B228" s="168"/>
      <c r="C228" s="171">
        <f t="shared" ca="1" si="2"/>
        <v>0</v>
      </c>
      <c r="G228" s="175"/>
      <c r="H228" s="175"/>
      <c r="I228" s="168"/>
      <c r="J228" s="168"/>
    </row>
    <row r="229" spans="1:10" ht="17">
      <c r="A229" s="168"/>
      <c r="B229" s="168"/>
      <c r="C229" s="171">
        <f t="shared" ca="1" si="2"/>
        <v>0</v>
      </c>
      <c r="G229" s="175"/>
      <c r="H229" s="175"/>
      <c r="I229" s="168"/>
      <c r="J229" s="168"/>
    </row>
    <row r="230" spans="1:10" ht="17">
      <c r="A230" s="168"/>
      <c r="B230" s="168"/>
      <c r="C230" s="171">
        <f t="shared" ca="1" si="2"/>
        <v>0</v>
      </c>
      <c r="G230" s="175"/>
      <c r="H230" s="175"/>
      <c r="I230" s="168"/>
      <c r="J230" s="168"/>
    </row>
    <row r="231" spans="1:10" ht="17">
      <c r="A231" s="168"/>
      <c r="B231" s="168"/>
      <c r="C231" s="171">
        <f t="shared" ca="1" si="2"/>
        <v>0</v>
      </c>
      <c r="G231" s="175"/>
      <c r="H231" s="175"/>
      <c r="I231" s="168"/>
      <c r="J231" s="168"/>
    </row>
    <row r="232" spans="1:10" ht="17">
      <c r="A232" s="168"/>
      <c r="B232" s="168"/>
      <c r="C232" s="171">
        <f t="shared" ca="1" si="2"/>
        <v>0</v>
      </c>
      <c r="G232" s="175"/>
      <c r="H232" s="175"/>
      <c r="I232" s="168"/>
      <c r="J232" s="168"/>
    </row>
    <row r="233" spans="1:10" ht="17">
      <c r="A233" s="168"/>
      <c r="B233" s="168"/>
      <c r="C233" s="171">
        <f t="shared" ca="1" si="2"/>
        <v>0</v>
      </c>
      <c r="G233" s="175"/>
      <c r="H233" s="175"/>
      <c r="I233" s="168"/>
      <c r="J233" s="168"/>
    </row>
    <row r="234" spans="1:10" ht="17">
      <c r="A234" s="168"/>
      <c r="B234" s="168"/>
      <c r="C234" s="171">
        <f t="shared" ca="1" si="2"/>
        <v>0</v>
      </c>
      <c r="G234" s="175"/>
      <c r="H234" s="175"/>
      <c r="I234" s="168"/>
      <c r="J234" s="168"/>
    </row>
    <row r="235" spans="1:10" ht="17">
      <c r="A235" s="168"/>
      <c r="B235" s="168"/>
      <c r="C235" s="171">
        <f t="shared" ca="1" si="2"/>
        <v>0</v>
      </c>
      <c r="G235" s="175"/>
      <c r="H235" s="175"/>
      <c r="I235" s="168"/>
      <c r="J235" s="168"/>
    </row>
    <row r="236" spans="1:10" ht="17">
      <c r="A236" s="168"/>
      <c r="B236" s="168"/>
      <c r="C236" s="171">
        <f t="shared" ca="1" si="2"/>
        <v>0</v>
      </c>
      <c r="G236" s="175"/>
      <c r="H236" s="175"/>
      <c r="I236" s="168"/>
      <c r="J236" s="168"/>
    </row>
    <row r="237" spans="1:10" ht="17">
      <c r="A237" s="168"/>
      <c r="B237" s="168"/>
      <c r="C237" s="171">
        <f t="shared" ca="1" si="2"/>
        <v>0</v>
      </c>
      <c r="G237" s="175"/>
      <c r="H237" s="175"/>
      <c r="I237" s="168"/>
      <c r="J237" s="168"/>
    </row>
    <row r="238" spans="1:10" ht="17">
      <c r="A238" s="168"/>
      <c r="B238" s="168"/>
      <c r="C238" s="171">
        <f t="shared" ca="1" si="2"/>
        <v>0</v>
      </c>
      <c r="G238" s="175"/>
      <c r="H238" s="175"/>
      <c r="I238" s="168"/>
      <c r="J238" s="168"/>
    </row>
    <row r="239" spans="1:10" ht="17">
      <c r="A239" s="168"/>
      <c r="B239" s="168"/>
      <c r="C239" s="171">
        <f t="shared" ca="1" si="2"/>
        <v>0</v>
      </c>
      <c r="G239" s="175"/>
      <c r="H239" s="175"/>
      <c r="I239" s="168"/>
      <c r="J239" s="168"/>
    </row>
    <row r="240" spans="1:10" ht="17">
      <c r="A240" s="168"/>
      <c r="B240" s="168"/>
      <c r="C240" s="171">
        <f t="shared" ca="1" si="2"/>
        <v>0</v>
      </c>
      <c r="G240" s="175"/>
      <c r="H240" s="175"/>
      <c r="I240" s="168"/>
      <c r="J240" s="168"/>
    </row>
    <row r="241" spans="1:10" ht="17">
      <c r="A241" s="168"/>
      <c r="B241" s="168"/>
      <c r="C241" s="171">
        <f t="shared" ca="1" si="2"/>
        <v>0</v>
      </c>
      <c r="G241" s="175"/>
      <c r="H241" s="175"/>
      <c r="I241" s="168"/>
      <c r="J241" s="168"/>
    </row>
    <row r="242" spans="1:10" ht="17">
      <c r="A242" s="168"/>
      <c r="B242" s="168"/>
      <c r="C242" s="171">
        <f t="shared" ca="1" si="2"/>
        <v>0</v>
      </c>
      <c r="G242" s="175"/>
      <c r="H242" s="175"/>
      <c r="I242" s="168"/>
      <c r="J242" s="168"/>
    </row>
    <row r="243" spans="1:10" ht="17">
      <c r="A243" s="168"/>
      <c r="B243" s="168"/>
      <c r="C243" s="171">
        <f t="shared" ca="1" si="2"/>
        <v>0</v>
      </c>
      <c r="G243" s="175"/>
      <c r="H243" s="175"/>
      <c r="I243" s="168"/>
      <c r="J243" s="168"/>
    </row>
    <row r="244" spans="1:10" ht="17">
      <c r="A244" s="168"/>
      <c r="B244" s="168"/>
      <c r="C244" s="171">
        <f t="shared" ca="1" si="2"/>
        <v>0</v>
      </c>
      <c r="G244" s="175"/>
      <c r="H244" s="175"/>
      <c r="I244" s="168"/>
      <c r="J244" s="168"/>
    </row>
    <row r="245" spans="1:10" ht="17">
      <c r="A245" s="168"/>
      <c r="B245" s="168"/>
      <c r="C245" s="171">
        <f t="shared" ca="1" si="2"/>
        <v>0</v>
      </c>
      <c r="G245" s="175"/>
      <c r="H245" s="175"/>
      <c r="I245" s="168"/>
      <c r="J245" s="168"/>
    </row>
    <row r="246" spans="1:10" ht="17">
      <c r="A246" s="168"/>
      <c r="B246" s="168"/>
      <c r="C246" s="171">
        <f t="shared" ca="1" si="2"/>
        <v>0</v>
      </c>
      <c r="G246" s="175"/>
      <c r="H246" s="175"/>
      <c r="I246" s="168"/>
      <c r="J246" s="168"/>
    </row>
    <row r="247" spans="1:10" ht="17">
      <c r="A247" s="168"/>
      <c r="B247" s="168"/>
      <c r="C247" s="171">
        <f t="shared" ca="1" si="2"/>
        <v>0</v>
      </c>
      <c r="G247" s="175"/>
      <c r="H247" s="175"/>
      <c r="I247" s="168"/>
      <c r="J247" s="168"/>
    </row>
    <row r="248" spans="1:10" ht="17">
      <c r="A248" s="168"/>
      <c r="B248" s="168"/>
      <c r="C248" s="171">
        <f t="shared" ca="1" si="2"/>
        <v>0</v>
      </c>
      <c r="G248" s="175"/>
      <c r="H248" s="175"/>
      <c r="I248" s="168"/>
      <c r="J248" s="168"/>
    </row>
    <row r="249" spans="1:10" ht="17">
      <c r="A249" s="168"/>
      <c r="B249" s="168"/>
      <c r="C249" s="171">
        <f t="shared" ca="1" si="2"/>
        <v>0</v>
      </c>
      <c r="G249" s="175"/>
      <c r="H249" s="175"/>
      <c r="I249" s="168"/>
      <c r="J249" s="168"/>
    </row>
    <row r="250" spans="1:10" ht="17">
      <c r="A250" s="168"/>
      <c r="B250" s="168"/>
      <c r="C250" s="171">
        <f t="shared" ca="1" si="2"/>
        <v>0</v>
      </c>
      <c r="G250" s="175"/>
      <c r="H250" s="175"/>
      <c r="I250" s="168"/>
      <c r="J250" s="168"/>
    </row>
    <row r="251" spans="1:10" ht="17">
      <c r="A251" s="168"/>
      <c r="B251" s="168"/>
      <c r="C251" s="171">
        <f t="shared" ca="1" si="2"/>
        <v>0</v>
      </c>
      <c r="G251" s="175"/>
      <c r="H251" s="175"/>
      <c r="I251" s="168"/>
      <c r="J251" s="168"/>
    </row>
    <row r="252" spans="1:10" ht="17">
      <c r="A252" s="168"/>
      <c r="B252" s="168"/>
      <c r="C252" s="171">
        <f t="shared" ca="1" si="2"/>
        <v>0</v>
      </c>
      <c r="G252" s="175"/>
      <c r="H252" s="175"/>
      <c r="I252" s="168"/>
      <c r="J252" s="168"/>
    </row>
    <row r="253" spans="1:10" ht="17">
      <c r="A253" s="168"/>
      <c r="B253" s="168"/>
      <c r="C253" s="168"/>
      <c r="G253" s="175"/>
      <c r="H253" s="175"/>
      <c r="I253" s="168"/>
      <c r="J253" s="168"/>
    </row>
    <row r="254" spans="1:10" ht="17">
      <c r="A254" s="168"/>
      <c r="B254" s="168"/>
      <c r="C254" s="168"/>
      <c r="G254" s="175"/>
      <c r="H254" s="175"/>
      <c r="I254" s="168"/>
      <c r="J254" s="168"/>
    </row>
    <row r="255" spans="1:10" ht="17">
      <c r="A255" s="168"/>
      <c r="B255" s="168"/>
      <c r="C255" s="168"/>
      <c r="G255" s="175"/>
      <c r="H255" s="175"/>
      <c r="I255" s="168"/>
      <c r="J255" s="168"/>
    </row>
    <row r="256" spans="1:10" ht="17">
      <c r="A256" s="168"/>
      <c r="B256" s="168"/>
      <c r="C256" s="168"/>
      <c r="G256" s="175"/>
      <c r="H256" s="175"/>
      <c r="I256" s="168"/>
      <c r="J256" s="168"/>
    </row>
    <row r="257" spans="1:10" ht="17">
      <c r="A257" s="168"/>
      <c r="B257" s="168"/>
      <c r="C257" s="168"/>
      <c r="G257" s="175"/>
      <c r="H257" s="175"/>
      <c r="I257" s="168"/>
      <c r="J257" s="168"/>
    </row>
    <row r="258" spans="1:10" ht="17">
      <c r="A258" s="168"/>
      <c r="B258" s="168"/>
      <c r="C258" s="168"/>
      <c r="G258" s="175"/>
      <c r="H258" s="175"/>
      <c r="I258" s="168"/>
      <c r="J258" s="168"/>
    </row>
    <row r="259" spans="1:10" ht="17">
      <c r="A259" s="168"/>
      <c r="B259" s="168"/>
      <c r="C259" s="168"/>
      <c r="G259" s="175"/>
      <c r="H259" s="175"/>
      <c r="I259" s="168"/>
      <c r="J259" s="168"/>
    </row>
    <row r="260" spans="1:10" ht="17">
      <c r="A260" s="168"/>
      <c r="B260" s="168"/>
      <c r="C260" s="168"/>
      <c r="G260" s="175"/>
      <c r="H260" s="175"/>
      <c r="I260" s="168"/>
      <c r="J260" s="168"/>
    </row>
    <row r="261" spans="1:10" ht="17">
      <c r="A261" s="168"/>
      <c r="B261" s="168"/>
      <c r="C261" s="168"/>
      <c r="G261" s="175"/>
      <c r="H261" s="175"/>
      <c r="I261" s="168"/>
      <c r="J261" s="168"/>
    </row>
    <row r="262" spans="1:10" ht="17">
      <c r="A262" s="168"/>
      <c r="B262" s="168"/>
      <c r="C262" s="168"/>
      <c r="G262" s="175"/>
      <c r="H262" s="175"/>
      <c r="I262" s="168"/>
      <c r="J262" s="168"/>
    </row>
    <row r="263" spans="1:10" ht="17">
      <c r="A263" s="168"/>
      <c r="B263" s="168"/>
      <c r="C263" s="168"/>
      <c r="G263" s="175"/>
      <c r="H263" s="175"/>
      <c r="I263" s="168"/>
      <c r="J263" s="168"/>
    </row>
    <row r="264" spans="1:10" ht="17">
      <c r="A264" s="168"/>
      <c r="B264" s="168"/>
      <c r="C264" s="168"/>
      <c r="G264" s="175"/>
      <c r="H264" s="175"/>
      <c r="I264" s="168"/>
      <c r="J264" s="168"/>
    </row>
    <row r="265" spans="1:10" ht="17">
      <c r="A265" s="168"/>
      <c r="B265" s="168"/>
      <c r="C265" s="168"/>
      <c r="G265" s="175"/>
      <c r="H265" s="175"/>
      <c r="I265" s="168"/>
      <c r="J265" s="168"/>
    </row>
    <row r="266" spans="1:10" ht="17">
      <c r="A266" s="168"/>
      <c r="B266" s="168"/>
      <c r="C266" s="168"/>
      <c r="G266" s="175"/>
      <c r="H266" s="175"/>
      <c r="I266" s="168"/>
      <c r="J266" s="168"/>
    </row>
    <row r="267" spans="1:10" ht="17">
      <c r="A267" s="168"/>
      <c r="B267" s="168"/>
      <c r="C267" s="168"/>
      <c r="G267" s="175"/>
      <c r="H267" s="175"/>
      <c r="I267" s="168"/>
      <c r="J267" s="168"/>
    </row>
    <row r="268" spans="1:10" ht="17">
      <c r="A268" s="168"/>
      <c r="B268" s="168"/>
      <c r="C268" s="168"/>
      <c r="G268" s="175"/>
      <c r="H268" s="175"/>
      <c r="I268" s="168"/>
      <c r="J268" s="168"/>
    </row>
    <row r="269" spans="1:10" ht="17">
      <c r="A269" s="168"/>
      <c r="B269" s="168"/>
      <c r="C269" s="168"/>
      <c r="G269" s="175"/>
      <c r="H269" s="175"/>
      <c r="I269" s="168"/>
      <c r="J269" s="168"/>
    </row>
    <row r="270" spans="1:10" ht="17">
      <c r="A270" s="168"/>
      <c r="B270" s="168"/>
      <c r="C270" s="168"/>
      <c r="G270" s="175"/>
      <c r="H270" s="175"/>
      <c r="I270" s="168"/>
      <c r="J270" s="168"/>
    </row>
    <row r="271" spans="1:10" ht="17">
      <c r="A271" s="168"/>
      <c r="B271" s="168"/>
      <c r="C271" s="168"/>
      <c r="G271" s="175"/>
      <c r="H271" s="175"/>
      <c r="I271" s="168"/>
      <c r="J271" s="168"/>
    </row>
    <row r="272" spans="1:10" ht="17">
      <c r="A272" s="168"/>
      <c r="B272" s="168"/>
      <c r="C272" s="168"/>
      <c r="G272" s="175"/>
      <c r="H272" s="175"/>
      <c r="I272" s="168"/>
      <c r="J272" s="168"/>
    </row>
    <row r="273" spans="1:10" ht="17">
      <c r="A273" s="168"/>
      <c r="B273" s="168"/>
      <c r="C273" s="168"/>
      <c r="G273" s="175"/>
      <c r="H273" s="175"/>
      <c r="I273" s="168"/>
      <c r="J273" s="168"/>
    </row>
    <row r="274" spans="1:10" ht="17">
      <c r="A274" s="168"/>
      <c r="B274" s="168"/>
      <c r="C274" s="168"/>
      <c r="G274" s="175"/>
      <c r="H274" s="175"/>
      <c r="I274" s="168"/>
      <c r="J274" s="168"/>
    </row>
    <row r="275" spans="1:10" ht="17">
      <c r="A275" s="168"/>
      <c r="B275" s="168"/>
      <c r="C275" s="168"/>
      <c r="G275" s="175"/>
      <c r="H275" s="175"/>
      <c r="I275" s="168"/>
      <c r="J275" s="168"/>
    </row>
    <row r="276" spans="1:10" ht="17">
      <c r="A276" s="168"/>
      <c r="B276" s="168"/>
      <c r="C276" s="168"/>
      <c r="G276" s="175"/>
      <c r="H276" s="175"/>
      <c r="I276" s="168"/>
      <c r="J276" s="168"/>
    </row>
    <row r="277" spans="1:10" ht="17">
      <c r="A277" s="168"/>
      <c r="B277" s="168"/>
      <c r="C277" s="168"/>
      <c r="G277" s="175"/>
      <c r="H277" s="175"/>
      <c r="I277" s="168"/>
      <c r="J277" s="168"/>
    </row>
    <row r="278" spans="1:10" ht="17">
      <c r="A278" s="168"/>
      <c r="B278" s="168"/>
      <c r="C278" s="168"/>
      <c r="G278" s="175"/>
      <c r="H278" s="175"/>
      <c r="I278" s="168"/>
      <c r="J278" s="168"/>
    </row>
    <row r="279" spans="1:10" ht="17">
      <c r="A279" s="168"/>
      <c r="B279" s="168"/>
      <c r="C279" s="168"/>
      <c r="G279" s="175"/>
      <c r="H279" s="175"/>
      <c r="I279" s="168"/>
      <c r="J279" s="168"/>
    </row>
    <row r="280" spans="1:10" ht="17">
      <c r="A280" s="168"/>
      <c r="B280" s="168"/>
      <c r="C280" s="168"/>
      <c r="G280" s="175"/>
      <c r="H280" s="175"/>
      <c r="I280" s="168"/>
      <c r="J280" s="168"/>
    </row>
    <row r="281" spans="1:10" ht="17">
      <c r="A281" s="168"/>
      <c r="B281" s="168"/>
      <c r="C281" s="168"/>
      <c r="G281" s="175"/>
      <c r="H281" s="175"/>
      <c r="I281" s="168"/>
      <c r="J281" s="168"/>
    </row>
    <row r="282" spans="1:10" ht="17">
      <c r="A282" s="168"/>
      <c r="B282" s="168"/>
      <c r="C282" s="168"/>
      <c r="G282" s="175"/>
      <c r="H282" s="175"/>
      <c r="I282" s="168"/>
      <c r="J282" s="168"/>
    </row>
    <row r="283" spans="1:10" ht="17">
      <c r="A283" s="168"/>
      <c r="B283" s="168"/>
      <c r="C283" s="168"/>
      <c r="G283" s="175"/>
      <c r="H283" s="175"/>
      <c r="I283" s="168"/>
      <c r="J283" s="168"/>
    </row>
    <row r="284" spans="1:10" ht="17">
      <c r="A284" s="168"/>
      <c r="B284" s="168"/>
      <c r="C284" s="168"/>
      <c r="G284" s="175"/>
      <c r="H284" s="175"/>
      <c r="I284" s="168"/>
      <c r="J284" s="168"/>
    </row>
    <row r="285" spans="1:10" ht="17">
      <c r="A285" s="168"/>
      <c r="B285" s="168"/>
      <c r="C285" s="168"/>
      <c r="G285" s="175"/>
      <c r="H285" s="175"/>
      <c r="I285" s="168"/>
      <c r="J285" s="168"/>
    </row>
    <row r="286" spans="1:10" ht="17">
      <c r="A286" s="168"/>
      <c r="B286" s="168"/>
      <c r="C286" s="168"/>
      <c r="G286" s="175"/>
      <c r="H286" s="175"/>
      <c r="I286" s="168"/>
      <c r="J286" s="168"/>
    </row>
    <row r="287" spans="1:10" ht="17">
      <c r="A287" s="168"/>
      <c r="B287" s="168"/>
      <c r="C287" s="168"/>
      <c r="G287" s="175"/>
      <c r="H287" s="175"/>
      <c r="I287" s="168"/>
      <c r="J287" s="168"/>
    </row>
    <row r="288" spans="1:10" ht="17">
      <c r="A288" s="168"/>
      <c r="B288" s="168"/>
      <c r="C288" s="168"/>
      <c r="G288" s="175"/>
      <c r="H288" s="175"/>
      <c r="I288" s="168"/>
      <c r="J288" s="168"/>
    </row>
    <row r="289" spans="1:10" ht="17">
      <c r="A289" s="168"/>
      <c r="B289" s="168"/>
      <c r="C289" s="168"/>
      <c r="G289" s="175"/>
      <c r="H289" s="175"/>
      <c r="I289" s="168"/>
      <c r="J289" s="168"/>
    </row>
    <row r="290" spans="1:10" ht="17">
      <c r="A290" s="168"/>
      <c r="B290" s="168"/>
      <c r="C290" s="168"/>
      <c r="G290" s="175"/>
      <c r="H290" s="175"/>
      <c r="I290" s="168"/>
      <c r="J290" s="168"/>
    </row>
    <row r="291" spans="1:10" ht="17">
      <c r="A291" s="168"/>
      <c r="B291" s="168"/>
      <c r="C291" s="168"/>
      <c r="G291" s="175"/>
      <c r="H291" s="175"/>
      <c r="I291" s="168"/>
      <c r="J291" s="168"/>
    </row>
    <row r="292" spans="1:10" ht="17">
      <c r="A292" s="168"/>
      <c r="B292" s="168"/>
      <c r="C292" s="168"/>
      <c r="G292" s="175"/>
      <c r="H292" s="175"/>
      <c r="I292" s="168"/>
      <c r="J292" s="168"/>
    </row>
    <row r="293" spans="1:10" ht="17">
      <c r="A293" s="168"/>
      <c r="B293" s="168"/>
      <c r="C293" s="168"/>
      <c r="G293" s="175"/>
      <c r="H293" s="175"/>
      <c r="I293" s="168"/>
      <c r="J293" s="168"/>
    </row>
    <row r="294" spans="1:10" ht="17">
      <c r="A294" s="168"/>
      <c r="B294" s="168"/>
      <c r="C294" s="168"/>
      <c r="G294" s="175"/>
      <c r="H294" s="175"/>
      <c r="I294" s="168"/>
      <c r="J294" s="168"/>
    </row>
    <row r="295" spans="1:10" ht="17">
      <c r="A295" s="168"/>
      <c r="B295" s="168"/>
      <c r="C295" s="168"/>
      <c r="G295" s="175"/>
      <c r="H295" s="175"/>
      <c r="I295" s="168"/>
      <c r="J295" s="168"/>
    </row>
    <row r="296" spans="1:10" ht="17">
      <c r="A296" s="168"/>
      <c r="B296" s="168"/>
      <c r="C296" s="168"/>
      <c r="G296" s="175"/>
      <c r="H296" s="175"/>
      <c r="I296" s="168"/>
      <c r="J296" s="168"/>
    </row>
    <row r="297" spans="1:10" ht="17">
      <c r="A297" s="168"/>
      <c r="B297" s="168"/>
      <c r="C297" s="168"/>
      <c r="G297" s="175"/>
      <c r="H297" s="175"/>
      <c r="I297" s="168"/>
      <c r="J297" s="168"/>
    </row>
    <row r="298" spans="1:10" ht="17">
      <c r="A298" s="168"/>
      <c r="B298" s="168"/>
      <c r="C298" s="168"/>
      <c r="G298" s="175"/>
      <c r="H298" s="175"/>
      <c r="I298" s="168"/>
      <c r="J298" s="168"/>
    </row>
    <row r="299" spans="1:10" ht="17">
      <c r="A299" s="168"/>
      <c r="B299" s="168"/>
      <c r="C299" s="168"/>
      <c r="G299" s="175"/>
      <c r="H299" s="175"/>
      <c r="I299" s="168"/>
      <c r="J299" s="168"/>
    </row>
    <row r="300" spans="1:10" ht="17">
      <c r="A300" s="168"/>
      <c r="B300" s="168"/>
      <c r="C300" s="168"/>
      <c r="G300" s="175"/>
      <c r="H300" s="175"/>
      <c r="I300" s="168"/>
      <c r="J300" s="168"/>
    </row>
    <row r="301" spans="1:10" ht="17">
      <c r="A301" s="168"/>
      <c r="B301" s="168"/>
      <c r="C301" s="168"/>
      <c r="G301" s="175"/>
      <c r="H301" s="175"/>
      <c r="I301" s="168"/>
      <c r="J301" s="168"/>
    </row>
    <row r="302" spans="1:10" ht="17">
      <c r="A302" s="168"/>
      <c r="B302" s="168"/>
      <c r="C302" s="168"/>
      <c r="G302" s="175"/>
      <c r="H302" s="175"/>
      <c r="I302" s="168"/>
      <c r="J302" s="168"/>
    </row>
    <row r="303" spans="1:10" ht="17">
      <c r="A303" s="168"/>
      <c r="B303" s="168"/>
      <c r="C303" s="168"/>
      <c r="G303" s="175"/>
      <c r="H303" s="175"/>
      <c r="I303" s="168"/>
      <c r="J303" s="168"/>
    </row>
    <row r="304" spans="1:10" ht="17">
      <c r="A304" s="168"/>
      <c r="B304" s="168"/>
      <c r="C304" s="168"/>
      <c r="G304" s="175"/>
      <c r="H304" s="175"/>
      <c r="I304" s="168"/>
      <c r="J304" s="168"/>
    </row>
    <row r="305" spans="1:10" ht="17">
      <c r="A305" s="168"/>
      <c r="B305" s="168"/>
      <c r="C305" s="168"/>
      <c r="G305" s="175"/>
      <c r="H305" s="175"/>
      <c r="I305" s="168"/>
      <c r="J305" s="168"/>
    </row>
    <row r="306" spans="1:10" ht="17">
      <c r="A306" s="168"/>
      <c r="B306" s="168"/>
      <c r="C306" s="168"/>
      <c r="G306" s="175"/>
      <c r="H306" s="175"/>
      <c r="I306" s="168"/>
      <c r="J306" s="168"/>
    </row>
    <row r="307" spans="1:10" ht="17">
      <c r="A307" s="168"/>
      <c r="B307" s="168"/>
      <c r="C307" s="168"/>
      <c r="G307" s="175"/>
      <c r="H307" s="175"/>
      <c r="I307" s="168"/>
      <c r="J307" s="168"/>
    </row>
    <row r="308" spans="1:10" ht="17">
      <c r="A308" s="168"/>
      <c r="B308" s="168"/>
      <c r="C308" s="168"/>
      <c r="G308" s="175"/>
      <c r="H308" s="175"/>
      <c r="I308" s="168"/>
      <c r="J308" s="168"/>
    </row>
    <row r="309" spans="1:10" ht="17">
      <c r="A309" s="168"/>
      <c r="B309" s="168"/>
      <c r="C309" s="168"/>
      <c r="G309" s="175"/>
      <c r="H309" s="175"/>
      <c r="I309" s="168"/>
      <c r="J309" s="168"/>
    </row>
    <row r="310" spans="1:10" ht="17">
      <c r="A310" s="168"/>
      <c r="B310" s="168"/>
      <c r="C310" s="168"/>
      <c r="G310" s="175"/>
      <c r="H310" s="175"/>
      <c r="I310" s="168"/>
      <c r="J310" s="168"/>
    </row>
    <row r="311" spans="1:10" ht="17">
      <c r="A311" s="168"/>
      <c r="B311" s="168"/>
      <c r="C311" s="168"/>
      <c r="G311" s="175"/>
      <c r="H311" s="175"/>
      <c r="I311" s="168"/>
      <c r="J311" s="168"/>
    </row>
    <row r="312" spans="1:10" ht="17">
      <c r="A312" s="168"/>
      <c r="B312" s="168"/>
      <c r="C312" s="168"/>
      <c r="G312" s="175"/>
      <c r="H312" s="175"/>
      <c r="I312" s="168"/>
      <c r="J312" s="168"/>
    </row>
    <row r="313" spans="1:10" ht="17">
      <c r="A313" s="168"/>
      <c r="B313" s="168"/>
      <c r="C313" s="168"/>
      <c r="G313" s="175"/>
      <c r="H313" s="175"/>
      <c r="I313" s="168"/>
      <c r="J313" s="168"/>
    </row>
    <row r="314" spans="1:10" ht="17">
      <c r="A314" s="168"/>
      <c r="B314" s="168"/>
      <c r="C314" s="168"/>
      <c r="G314" s="175"/>
      <c r="H314" s="175"/>
      <c r="I314" s="168"/>
      <c r="J314" s="168"/>
    </row>
    <row r="315" spans="1:10" ht="17">
      <c r="A315" s="168"/>
      <c r="B315" s="168"/>
      <c r="C315" s="168"/>
      <c r="G315" s="175"/>
      <c r="H315" s="175"/>
      <c r="I315" s="168"/>
      <c r="J315" s="168"/>
    </row>
    <row r="316" spans="1:10" ht="17">
      <c r="A316" s="168"/>
      <c r="B316" s="168"/>
      <c r="C316" s="168"/>
      <c r="G316" s="175"/>
      <c r="H316" s="175"/>
      <c r="I316" s="168"/>
      <c r="J316" s="168"/>
    </row>
    <row r="317" spans="1:10" ht="17">
      <c r="A317" s="168"/>
      <c r="B317" s="168"/>
      <c r="C317" s="168"/>
      <c r="G317" s="175"/>
      <c r="H317" s="175"/>
      <c r="I317" s="168"/>
      <c r="J317" s="168"/>
    </row>
    <row r="318" spans="1:10" ht="17">
      <c r="A318" s="168"/>
      <c r="B318" s="168"/>
      <c r="C318" s="168"/>
      <c r="G318" s="175"/>
      <c r="H318" s="175"/>
      <c r="I318" s="168"/>
      <c r="J318" s="168"/>
    </row>
    <row r="319" spans="1:10" ht="17">
      <c r="A319" s="168"/>
      <c r="B319" s="168"/>
      <c r="C319" s="168"/>
      <c r="G319" s="175"/>
      <c r="H319" s="175"/>
      <c r="I319" s="168"/>
      <c r="J319" s="168"/>
    </row>
    <row r="320" spans="1:10" ht="17">
      <c r="A320" s="168"/>
      <c r="B320" s="168"/>
      <c r="C320" s="168"/>
      <c r="G320" s="175"/>
      <c r="H320" s="175"/>
      <c r="I320" s="168"/>
      <c r="J320" s="168"/>
    </row>
    <row r="321" spans="1:10" ht="17">
      <c r="A321" s="168"/>
      <c r="B321" s="168"/>
      <c r="C321" s="168"/>
      <c r="G321" s="175"/>
      <c r="H321" s="175"/>
      <c r="I321" s="168"/>
      <c r="J321" s="168"/>
    </row>
    <row r="322" spans="1:10" ht="17">
      <c r="A322" s="168"/>
      <c r="B322" s="168"/>
      <c r="C322" s="168"/>
      <c r="G322" s="175"/>
      <c r="H322" s="175"/>
      <c r="I322" s="168"/>
      <c r="J322" s="168"/>
    </row>
    <row r="323" spans="1:10" ht="17">
      <c r="A323" s="168"/>
      <c r="B323" s="168"/>
      <c r="C323" s="168"/>
      <c r="G323" s="175"/>
      <c r="H323" s="175"/>
      <c r="I323" s="168"/>
      <c r="J323" s="168"/>
    </row>
    <row r="324" spans="1:10" ht="17">
      <c r="A324" s="168"/>
      <c r="B324" s="168"/>
      <c r="C324" s="168"/>
      <c r="G324" s="175"/>
      <c r="H324" s="175"/>
      <c r="I324" s="168"/>
      <c r="J324" s="168"/>
    </row>
    <row r="325" spans="1:10" ht="17">
      <c r="A325" s="168"/>
      <c r="B325" s="168"/>
      <c r="C325" s="168"/>
      <c r="G325" s="175"/>
      <c r="H325" s="175"/>
      <c r="I325" s="168"/>
      <c r="J325" s="168"/>
    </row>
    <row r="326" spans="1:10" ht="17">
      <c r="A326" s="168"/>
      <c r="B326" s="168"/>
      <c r="C326" s="168"/>
      <c r="G326" s="175"/>
      <c r="H326" s="175"/>
      <c r="I326" s="168"/>
      <c r="J326" s="168"/>
    </row>
    <row r="327" spans="1:10" ht="17">
      <c r="A327" s="168"/>
      <c r="B327" s="168"/>
      <c r="C327" s="168"/>
      <c r="G327" s="175"/>
      <c r="H327" s="175"/>
      <c r="I327" s="168"/>
      <c r="J327" s="168"/>
    </row>
    <row r="328" spans="1:10" ht="17">
      <c r="A328" s="168"/>
      <c r="B328" s="168"/>
      <c r="C328" s="168"/>
      <c r="G328" s="175"/>
      <c r="H328" s="175"/>
      <c r="I328" s="168"/>
      <c r="J328" s="168"/>
    </row>
    <row r="329" spans="1:10" ht="17">
      <c r="A329" s="168"/>
      <c r="B329" s="168"/>
      <c r="C329" s="168"/>
      <c r="G329" s="175"/>
      <c r="H329" s="175"/>
      <c r="I329" s="168"/>
      <c r="J329" s="168"/>
    </row>
    <row r="330" spans="1:10" ht="17">
      <c r="A330" s="168"/>
      <c r="B330" s="168"/>
      <c r="C330" s="168"/>
      <c r="G330" s="175"/>
      <c r="H330" s="175"/>
      <c r="I330" s="168"/>
      <c r="J330" s="168"/>
    </row>
    <row r="331" spans="1:10" ht="17">
      <c r="A331" s="168"/>
      <c r="B331" s="168"/>
      <c r="C331" s="168"/>
      <c r="G331" s="175"/>
      <c r="H331" s="175"/>
      <c r="I331" s="168"/>
      <c r="J331" s="168"/>
    </row>
    <row r="332" spans="1:10" ht="17">
      <c r="A332" s="168"/>
      <c r="B332" s="168"/>
      <c r="C332" s="168"/>
      <c r="G332" s="175"/>
      <c r="H332" s="175"/>
      <c r="I332" s="168"/>
      <c r="J332" s="168"/>
    </row>
    <row r="333" spans="1:10" ht="17">
      <c r="A333" s="168"/>
      <c r="B333" s="168"/>
      <c r="C333" s="168"/>
      <c r="G333" s="175"/>
      <c r="H333" s="175"/>
      <c r="I333" s="168"/>
      <c r="J333" s="168"/>
    </row>
    <row r="334" spans="1:10" ht="17">
      <c r="A334" s="168"/>
      <c r="B334" s="168"/>
      <c r="C334" s="168"/>
      <c r="G334" s="175"/>
      <c r="H334" s="175"/>
      <c r="I334" s="168"/>
      <c r="J334" s="168"/>
    </row>
    <row r="335" spans="1:10" ht="17">
      <c r="A335" s="168"/>
      <c r="B335" s="168"/>
      <c r="C335" s="168"/>
      <c r="G335" s="175"/>
      <c r="H335" s="175"/>
      <c r="I335" s="168"/>
      <c r="J335" s="168"/>
    </row>
    <row r="336" spans="1:10" ht="17">
      <c r="A336" s="168"/>
      <c r="B336" s="168"/>
      <c r="C336" s="168"/>
      <c r="G336" s="175"/>
      <c r="H336" s="175"/>
      <c r="I336" s="168"/>
      <c r="J336" s="168"/>
    </row>
    <row r="337" spans="1:10" ht="17">
      <c r="A337" s="168"/>
      <c r="B337" s="168"/>
      <c r="C337" s="168"/>
      <c r="G337" s="175"/>
      <c r="H337" s="175"/>
      <c r="I337" s="168"/>
      <c r="J337" s="168"/>
    </row>
    <row r="338" spans="1:10" ht="17">
      <c r="A338" s="168"/>
      <c r="B338" s="168"/>
      <c r="C338" s="168"/>
      <c r="G338" s="175"/>
      <c r="H338" s="175"/>
      <c r="I338" s="168"/>
      <c r="J338" s="168"/>
    </row>
    <row r="339" spans="1:10" ht="17">
      <c r="A339" s="168"/>
      <c r="B339" s="168"/>
      <c r="C339" s="168"/>
      <c r="G339" s="175"/>
      <c r="H339" s="175"/>
      <c r="I339" s="168"/>
      <c r="J339" s="168"/>
    </row>
    <row r="340" spans="1:10" ht="17">
      <c r="A340" s="168"/>
      <c r="B340" s="168"/>
      <c r="C340" s="168"/>
      <c r="G340" s="175"/>
      <c r="H340" s="175"/>
      <c r="I340" s="168"/>
      <c r="J340" s="168"/>
    </row>
    <row r="341" spans="1:10" ht="17">
      <c r="A341" s="168"/>
      <c r="B341" s="168"/>
      <c r="C341" s="168"/>
      <c r="G341" s="175"/>
      <c r="H341" s="175"/>
      <c r="I341" s="168"/>
      <c r="J341" s="168"/>
    </row>
    <row r="342" spans="1:10" ht="17">
      <c r="A342" s="168"/>
      <c r="B342" s="168"/>
      <c r="C342" s="168"/>
      <c r="G342" s="175"/>
      <c r="H342" s="175"/>
      <c r="I342" s="168"/>
      <c r="J342" s="168"/>
    </row>
    <row r="343" spans="1:10" ht="17">
      <c r="A343" s="168"/>
      <c r="B343" s="168"/>
      <c r="C343" s="168"/>
      <c r="G343" s="175"/>
      <c r="H343" s="175"/>
      <c r="I343" s="168"/>
      <c r="J343" s="168"/>
    </row>
    <row r="344" spans="1:10" ht="17">
      <c r="A344" s="168"/>
      <c r="B344" s="168"/>
      <c r="C344" s="168"/>
      <c r="G344" s="175"/>
      <c r="H344" s="175"/>
      <c r="I344" s="168"/>
      <c r="J344" s="168"/>
    </row>
    <row r="345" spans="1:10" ht="17">
      <c r="A345" s="168"/>
      <c r="B345" s="168"/>
      <c r="C345" s="168"/>
      <c r="G345" s="175"/>
      <c r="H345" s="175"/>
      <c r="I345" s="168"/>
      <c r="J345" s="168"/>
    </row>
    <row r="346" spans="1:10" ht="17">
      <c r="A346" s="168"/>
      <c r="B346" s="168"/>
      <c r="C346" s="168"/>
      <c r="G346" s="175"/>
      <c r="H346" s="175"/>
      <c r="I346" s="168"/>
      <c r="J346" s="168"/>
    </row>
    <row r="347" spans="1:10" ht="17">
      <c r="A347" s="168"/>
      <c r="B347" s="168"/>
      <c r="C347" s="168"/>
      <c r="G347" s="175"/>
      <c r="H347" s="175"/>
      <c r="I347" s="168"/>
      <c r="J347" s="168"/>
    </row>
    <row r="348" spans="1:10" ht="17">
      <c r="A348" s="168"/>
      <c r="B348" s="168"/>
      <c r="C348" s="168"/>
      <c r="G348" s="175"/>
      <c r="H348" s="175"/>
      <c r="I348" s="168"/>
      <c r="J348" s="168"/>
    </row>
    <row r="349" spans="1:10" ht="17">
      <c r="A349" s="168"/>
      <c r="B349" s="168"/>
      <c r="C349" s="168"/>
      <c r="G349" s="175"/>
      <c r="H349" s="175"/>
      <c r="I349" s="168"/>
      <c r="J349" s="168"/>
    </row>
    <row r="350" spans="1:10" ht="17">
      <c r="A350" s="168"/>
      <c r="B350" s="168"/>
      <c r="C350" s="168"/>
      <c r="G350" s="175"/>
      <c r="H350" s="175"/>
      <c r="I350" s="168"/>
      <c r="J350" s="168"/>
    </row>
    <row r="351" spans="1:10" ht="17">
      <c r="A351" s="168"/>
      <c r="B351" s="168"/>
      <c r="C351" s="168"/>
      <c r="G351" s="175"/>
      <c r="H351" s="175"/>
      <c r="I351" s="168"/>
      <c r="J351" s="168"/>
    </row>
    <row r="352" spans="1:10" ht="17">
      <c r="A352" s="168"/>
      <c r="B352" s="168"/>
      <c r="C352" s="168"/>
      <c r="G352" s="175"/>
      <c r="H352" s="175"/>
      <c r="I352" s="168"/>
      <c r="J352" s="168"/>
    </row>
    <row r="353" spans="1:10" ht="17">
      <c r="A353" s="168"/>
      <c r="B353" s="168"/>
      <c r="C353" s="168"/>
      <c r="G353" s="175"/>
      <c r="H353" s="175"/>
      <c r="I353" s="168"/>
      <c r="J353" s="168"/>
    </row>
    <row r="354" spans="1:10" ht="17">
      <c r="A354" s="168"/>
      <c r="B354" s="168"/>
      <c r="C354" s="168"/>
      <c r="G354" s="175"/>
      <c r="H354" s="175"/>
      <c r="I354" s="168"/>
      <c r="J354" s="168"/>
    </row>
    <row r="355" spans="1:10" ht="17">
      <c r="A355" s="168"/>
      <c r="B355" s="168"/>
      <c r="C355" s="168"/>
      <c r="G355" s="175"/>
      <c r="H355" s="175"/>
      <c r="I355" s="168"/>
      <c r="J355" s="168"/>
    </row>
    <row r="356" spans="1:10" ht="17">
      <c r="A356" s="168"/>
      <c r="B356" s="168"/>
      <c r="C356" s="168"/>
      <c r="G356" s="175"/>
      <c r="H356" s="175"/>
      <c r="I356" s="168"/>
      <c r="J356" s="168"/>
    </row>
    <row r="357" spans="1:10" ht="17">
      <c r="A357" s="168"/>
      <c r="B357" s="168"/>
      <c r="C357" s="168"/>
      <c r="G357" s="175"/>
      <c r="H357" s="175"/>
      <c r="I357" s="168"/>
      <c r="J357" s="168"/>
    </row>
    <row r="358" spans="1:10" ht="17">
      <c r="A358" s="168"/>
      <c r="B358" s="168"/>
      <c r="C358" s="168"/>
      <c r="G358" s="175"/>
      <c r="H358" s="175"/>
      <c r="I358" s="168"/>
      <c r="J358" s="168"/>
    </row>
    <row r="359" spans="1:10" ht="17">
      <c r="A359" s="168"/>
      <c r="B359" s="168"/>
      <c r="C359" s="168"/>
      <c r="G359" s="175"/>
      <c r="H359" s="175"/>
      <c r="I359" s="168"/>
      <c r="J359" s="168"/>
    </row>
    <row r="360" spans="1:10" ht="17">
      <c r="A360" s="168"/>
      <c r="B360" s="168"/>
      <c r="C360" s="168"/>
      <c r="G360" s="175"/>
      <c r="H360" s="175"/>
      <c r="I360" s="168"/>
      <c r="J360" s="168"/>
    </row>
    <row r="361" spans="1:10" ht="17">
      <c r="A361" s="168"/>
      <c r="B361" s="168"/>
      <c r="C361" s="168"/>
      <c r="G361" s="175"/>
      <c r="H361" s="175"/>
      <c r="I361" s="168"/>
      <c r="J361" s="168"/>
    </row>
    <row r="362" spans="1:10" ht="17">
      <c r="A362" s="168"/>
      <c r="B362" s="168"/>
      <c r="C362" s="168"/>
      <c r="G362" s="175"/>
      <c r="H362" s="175"/>
      <c r="I362" s="168"/>
      <c r="J362" s="168"/>
    </row>
    <row r="363" spans="1:10" ht="17">
      <c r="A363" s="168"/>
      <c r="B363" s="168"/>
      <c r="C363" s="168"/>
      <c r="G363" s="175"/>
      <c r="H363" s="175"/>
      <c r="I363" s="168"/>
      <c r="J363" s="168"/>
    </row>
    <row r="364" spans="1:10" ht="17">
      <c r="A364" s="168"/>
      <c r="B364" s="168"/>
      <c r="C364" s="168"/>
      <c r="G364" s="175"/>
      <c r="H364" s="175"/>
      <c r="I364" s="168"/>
      <c r="J364" s="168"/>
    </row>
    <row r="365" spans="1:10" ht="17">
      <c r="A365" s="168"/>
      <c r="B365" s="168"/>
      <c r="C365" s="168"/>
      <c r="G365" s="175"/>
      <c r="H365" s="175"/>
      <c r="I365" s="168"/>
      <c r="J365" s="168"/>
    </row>
    <row r="366" spans="1:10" ht="17">
      <c r="A366" s="168"/>
      <c r="B366" s="168"/>
      <c r="C366" s="168"/>
      <c r="G366" s="175"/>
      <c r="H366" s="175"/>
      <c r="I366" s="168"/>
      <c r="J366" s="168"/>
    </row>
    <row r="367" spans="1:10" ht="17">
      <c r="A367" s="168"/>
      <c r="B367" s="168"/>
      <c r="C367" s="168"/>
      <c r="G367" s="175"/>
      <c r="H367" s="175"/>
      <c r="I367" s="168"/>
      <c r="J367" s="168"/>
    </row>
    <row r="368" spans="1:10" ht="17">
      <c r="A368" s="168"/>
      <c r="B368" s="168"/>
      <c r="C368" s="168"/>
      <c r="G368" s="175"/>
      <c r="H368" s="175"/>
      <c r="I368" s="168"/>
      <c r="J368" s="168"/>
    </row>
    <row r="369" spans="1:10" ht="17">
      <c r="A369" s="168"/>
      <c r="B369" s="168"/>
      <c r="C369" s="168"/>
      <c r="G369" s="175"/>
      <c r="H369" s="175"/>
      <c r="I369" s="168"/>
      <c r="J369" s="168"/>
    </row>
    <row r="370" spans="1:10" ht="17">
      <c r="A370" s="168"/>
      <c r="B370" s="168"/>
      <c r="C370" s="168"/>
      <c r="G370" s="175"/>
      <c r="H370" s="175"/>
      <c r="I370" s="168"/>
      <c r="J370" s="168"/>
    </row>
    <row r="371" spans="1:10" ht="17">
      <c r="A371" s="168"/>
      <c r="B371" s="168"/>
      <c r="C371" s="168"/>
      <c r="G371" s="175"/>
      <c r="H371" s="175"/>
      <c r="I371" s="168"/>
      <c r="J371" s="168"/>
    </row>
    <row r="372" spans="1:10" ht="17">
      <c r="A372" s="168"/>
      <c r="B372" s="168"/>
      <c r="C372" s="168"/>
      <c r="G372" s="175"/>
      <c r="H372" s="175"/>
      <c r="I372" s="168"/>
      <c r="J372" s="168"/>
    </row>
    <row r="373" spans="1:10" ht="17">
      <c r="A373" s="168"/>
      <c r="B373" s="168"/>
      <c r="C373" s="168"/>
      <c r="G373" s="175"/>
      <c r="H373" s="175"/>
      <c r="I373" s="168"/>
      <c r="J373" s="168"/>
    </row>
    <row r="374" spans="1:10" ht="17">
      <c r="A374" s="168"/>
      <c r="B374" s="168"/>
      <c r="C374" s="168"/>
      <c r="G374" s="175"/>
      <c r="H374" s="175"/>
      <c r="I374" s="168"/>
      <c r="J374" s="168"/>
    </row>
    <row r="375" spans="1:10" ht="17">
      <c r="A375" s="168"/>
      <c r="B375" s="168"/>
      <c r="C375" s="168"/>
      <c r="G375" s="175"/>
      <c r="H375" s="175"/>
      <c r="I375" s="168"/>
      <c r="J375" s="168"/>
    </row>
    <row r="376" spans="1:10" ht="17">
      <c r="A376" s="168"/>
      <c r="B376" s="168"/>
      <c r="C376" s="168"/>
      <c r="G376" s="175"/>
      <c r="H376" s="175"/>
      <c r="I376" s="168"/>
      <c r="J376" s="168"/>
    </row>
    <row r="377" spans="1:10" ht="17">
      <c r="A377" s="168"/>
      <c r="B377" s="168"/>
      <c r="C377" s="168"/>
      <c r="G377" s="175"/>
      <c r="H377" s="175"/>
      <c r="I377" s="168"/>
      <c r="J377" s="168"/>
    </row>
    <row r="378" spans="1:10" ht="17">
      <c r="A378" s="168"/>
      <c r="B378" s="168"/>
      <c r="C378" s="168"/>
      <c r="G378" s="175"/>
      <c r="H378" s="175"/>
      <c r="I378" s="168"/>
      <c r="J378" s="168"/>
    </row>
    <row r="379" spans="1:10" ht="17">
      <c r="A379" s="168"/>
      <c r="B379" s="168"/>
      <c r="C379" s="168"/>
      <c r="G379" s="175"/>
      <c r="H379" s="175"/>
      <c r="I379" s="168"/>
      <c r="J379" s="168"/>
    </row>
    <row r="380" spans="1:10" ht="17">
      <c r="A380" s="168"/>
      <c r="B380" s="168"/>
      <c r="C380" s="168"/>
      <c r="G380" s="175"/>
      <c r="H380" s="175"/>
      <c r="I380" s="168"/>
      <c r="J380" s="168"/>
    </row>
    <row r="381" spans="1:10" ht="17">
      <c r="A381" s="168"/>
      <c r="B381" s="168"/>
      <c r="C381" s="168"/>
      <c r="G381" s="175"/>
      <c r="H381" s="175"/>
      <c r="I381" s="168"/>
      <c r="J381" s="168"/>
    </row>
    <row r="382" spans="1:10" ht="17">
      <c r="A382" s="168"/>
      <c r="B382" s="168"/>
      <c r="C382" s="168"/>
      <c r="G382" s="175"/>
      <c r="H382" s="175"/>
      <c r="I382" s="168"/>
      <c r="J382" s="168"/>
    </row>
    <row r="383" spans="1:10" ht="17">
      <c r="A383" s="168"/>
      <c r="B383" s="168"/>
      <c r="C383" s="168"/>
      <c r="G383" s="175"/>
      <c r="H383" s="175"/>
      <c r="I383" s="168"/>
      <c r="J383" s="168"/>
    </row>
    <row r="384" spans="1:10" ht="17">
      <c r="A384" s="168"/>
      <c r="B384" s="168"/>
      <c r="C384" s="168"/>
      <c r="G384" s="175"/>
      <c r="H384" s="175"/>
      <c r="I384" s="168"/>
      <c r="J384" s="168"/>
    </row>
    <row r="385" spans="1:10" ht="17">
      <c r="A385" s="168"/>
      <c r="B385" s="168"/>
      <c r="C385" s="168"/>
      <c r="G385" s="175"/>
      <c r="H385" s="175"/>
      <c r="I385" s="168"/>
      <c r="J385" s="168"/>
    </row>
    <row r="386" spans="1:10" ht="17">
      <c r="A386" s="168"/>
      <c r="B386" s="168"/>
      <c r="C386" s="168"/>
      <c r="G386" s="175"/>
      <c r="H386" s="175"/>
      <c r="I386" s="168"/>
      <c r="J386" s="168"/>
    </row>
    <row r="387" spans="1:10" ht="17">
      <c r="A387" s="168"/>
      <c r="B387" s="168"/>
      <c r="C387" s="168"/>
      <c r="G387" s="175"/>
      <c r="H387" s="175"/>
      <c r="I387" s="168"/>
      <c r="J387" s="168"/>
    </row>
    <row r="388" spans="1:10" ht="17">
      <c r="A388" s="168"/>
      <c r="B388" s="168"/>
      <c r="C388" s="168"/>
      <c r="G388" s="175"/>
      <c r="H388" s="175"/>
      <c r="I388" s="168"/>
      <c r="J388" s="168"/>
    </row>
    <row r="389" spans="1:10" ht="17">
      <c r="A389" s="168"/>
      <c r="B389" s="168"/>
      <c r="C389" s="168"/>
      <c r="G389" s="175"/>
      <c r="H389" s="175"/>
      <c r="I389" s="168"/>
      <c r="J389" s="168"/>
    </row>
    <row r="390" spans="1:10" ht="17">
      <c r="A390" s="168"/>
      <c r="B390" s="168"/>
      <c r="C390" s="168"/>
      <c r="G390" s="175"/>
      <c r="H390" s="175"/>
      <c r="I390" s="168"/>
      <c r="J390" s="168"/>
    </row>
    <row r="391" spans="1:10" ht="17">
      <c r="A391" s="168"/>
      <c r="B391" s="168"/>
      <c r="C391" s="168"/>
      <c r="G391" s="175"/>
      <c r="H391" s="175"/>
      <c r="I391" s="168"/>
      <c r="J391" s="168"/>
    </row>
    <row r="392" spans="1:10" ht="17">
      <c r="A392" s="168"/>
      <c r="B392" s="168"/>
      <c r="C392" s="168"/>
      <c r="G392" s="175"/>
      <c r="H392" s="175"/>
      <c r="I392" s="168"/>
      <c r="J392" s="168"/>
    </row>
    <row r="393" spans="1:10" ht="17">
      <c r="A393" s="168"/>
      <c r="B393" s="168"/>
      <c r="C393" s="168"/>
      <c r="G393" s="175"/>
      <c r="H393" s="175"/>
      <c r="I393" s="168"/>
      <c r="J393" s="168"/>
    </row>
    <row r="394" spans="1:10" ht="17">
      <c r="A394" s="168"/>
      <c r="B394" s="168"/>
      <c r="C394" s="168"/>
      <c r="G394" s="175"/>
      <c r="H394" s="175"/>
      <c r="I394" s="168"/>
      <c r="J394" s="168"/>
    </row>
    <row r="395" spans="1:10" ht="17">
      <c r="A395" s="168"/>
      <c r="B395" s="168"/>
      <c r="C395" s="168"/>
      <c r="G395" s="175"/>
      <c r="H395" s="175"/>
      <c r="I395" s="168"/>
      <c r="J395" s="168"/>
    </row>
    <row r="396" spans="1:10" ht="17">
      <c r="A396" s="168"/>
      <c r="B396" s="168"/>
      <c r="C396" s="168"/>
      <c r="G396" s="175"/>
      <c r="H396" s="175"/>
      <c r="I396" s="168"/>
      <c r="J396" s="168"/>
    </row>
    <row r="397" spans="1:10" ht="17">
      <c r="A397" s="168"/>
      <c r="B397" s="168"/>
      <c r="C397" s="168"/>
      <c r="G397" s="175"/>
      <c r="H397" s="175"/>
      <c r="I397" s="168"/>
      <c r="J397" s="168"/>
    </row>
    <row r="398" spans="1:10" ht="17">
      <c r="A398" s="168"/>
      <c r="B398" s="168"/>
      <c r="C398" s="168"/>
      <c r="G398" s="175"/>
      <c r="H398" s="175"/>
      <c r="I398" s="168"/>
      <c r="J398" s="168"/>
    </row>
    <row r="399" spans="1:10" ht="17">
      <c r="A399" s="168"/>
      <c r="B399" s="168"/>
      <c r="C399" s="168"/>
      <c r="G399" s="175"/>
      <c r="H399" s="175"/>
      <c r="I399" s="168"/>
      <c r="J399" s="168"/>
    </row>
    <row r="400" spans="1:10" ht="17">
      <c r="A400" s="168"/>
      <c r="B400" s="168"/>
      <c r="C400" s="168"/>
      <c r="G400" s="175"/>
      <c r="H400" s="175"/>
      <c r="I400" s="168"/>
      <c r="J400" s="168"/>
    </row>
    <row r="401" spans="1:10" ht="17">
      <c r="A401" s="168"/>
      <c r="B401" s="168"/>
      <c r="C401" s="168"/>
      <c r="G401" s="175"/>
      <c r="H401" s="175"/>
      <c r="I401" s="168"/>
      <c r="J401" s="168"/>
    </row>
    <row r="402" spans="1:10" ht="17">
      <c r="A402" s="168"/>
      <c r="B402" s="168"/>
      <c r="C402" s="168"/>
      <c r="G402" s="175"/>
      <c r="H402" s="175"/>
      <c r="I402" s="168"/>
      <c r="J402" s="168"/>
    </row>
    <row r="403" spans="1:10" ht="17">
      <c r="A403" s="168"/>
      <c r="B403" s="168"/>
      <c r="C403" s="168"/>
      <c r="G403" s="175"/>
      <c r="H403" s="175"/>
      <c r="I403" s="168"/>
      <c r="J403" s="168"/>
    </row>
    <row r="404" spans="1:10" ht="17">
      <c r="A404" s="168"/>
      <c r="B404" s="168"/>
      <c r="C404" s="168"/>
      <c r="G404" s="175"/>
      <c r="H404" s="175"/>
      <c r="I404" s="168"/>
      <c r="J404" s="168"/>
    </row>
    <row r="405" spans="1:10" ht="17">
      <c r="A405" s="168"/>
      <c r="B405" s="168"/>
      <c r="C405" s="168"/>
      <c r="G405" s="175"/>
      <c r="H405" s="175"/>
      <c r="I405" s="168"/>
      <c r="J405" s="168"/>
    </row>
    <row r="406" spans="1:10" ht="17">
      <c r="A406" s="168"/>
      <c r="B406" s="168"/>
      <c r="C406" s="168"/>
      <c r="G406" s="175"/>
      <c r="H406" s="175"/>
      <c r="I406" s="168"/>
      <c r="J406" s="168"/>
    </row>
    <row r="407" spans="1:10" ht="17">
      <c r="A407" s="168"/>
      <c r="B407" s="168"/>
      <c r="C407" s="168"/>
      <c r="G407" s="175"/>
      <c r="H407" s="175"/>
      <c r="I407" s="168"/>
      <c r="J407" s="168"/>
    </row>
    <row r="408" spans="1:10" ht="17">
      <c r="A408" s="168"/>
      <c r="B408" s="168"/>
      <c r="C408" s="168"/>
      <c r="G408" s="175"/>
      <c r="H408" s="175"/>
      <c r="I408" s="168"/>
      <c r="J408" s="168"/>
    </row>
    <row r="409" spans="1:10" ht="17">
      <c r="A409" s="168"/>
      <c r="B409" s="168"/>
      <c r="C409" s="168"/>
      <c r="G409" s="175"/>
      <c r="H409" s="175"/>
      <c r="I409" s="168"/>
      <c r="J409" s="168"/>
    </row>
    <row r="410" spans="1:10" ht="17">
      <c r="A410" s="168"/>
      <c r="B410" s="168"/>
      <c r="C410" s="168"/>
      <c r="G410" s="175"/>
      <c r="H410" s="175"/>
      <c r="I410" s="168"/>
      <c r="J410" s="168"/>
    </row>
    <row r="411" spans="1:10" ht="17">
      <c r="A411" s="168"/>
      <c r="B411" s="168"/>
      <c r="C411" s="168"/>
      <c r="G411" s="175"/>
      <c r="H411" s="175"/>
      <c r="I411" s="168"/>
      <c r="J411" s="168"/>
    </row>
    <row r="412" spans="1:10" ht="17">
      <c r="A412" s="168"/>
      <c r="B412" s="168"/>
      <c r="C412" s="168"/>
      <c r="G412" s="175"/>
      <c r="H412" s="175"/>
      <c r="I412" s="168"/>
      <c r="J412" s="168"/>
    </row>
    <row r="413" spans="1:10" ht="17">
      <c r="A413" s="168"/>
      <c r="B413" s="168"/>
      <c r="C413" s="168"/>
      <c r="G413" s="175"/>
      <c r="H413" s="175"/>
      <c r="I413" s="168"/>
      <c r="J413" s="168"/>
    </row>
    <row r="414" spans="1:10" ht="17">
      <c r="A414" s="168"/>
      <c r="B414" s="168"/>
      <c r="C414" s="168"/>
      <c r="G414" s="175"/>
      <c r="H414" s="175"/>
      <c r="I414" s="168"/>
      <c r="J414" s="168"/>
    </row>
    <row r="415" spans="1:10" ht="17">
      <c r="A415" s="168"/>
      <c r="B415" s="168"/>
      <c r="C415" s="168"/>
      <c r="G415" s="175"/>
      <c r="H415" s="175"/>
      <c r="I415" s="168"/>
      <c r="J415" s="168"/>
    </row>
    <row r="416" spans="1:10" ht="17">
      <c r="A416" s="168"/>
      <c r="B416" s="168"/>
      <c r="C416" s="168"/>
      <c r="G416" s="175"/>
      <c r="H416" s="175"/>
      <c r="I416" s="168"/>
      <c r="J416" s="168"/>
    </row>
    <row r="417" spans="1:10" ht="17">
      <c r="A417" s="168"/>
      <c r="B417" s="168"/>
      <c r="C417" s="168"/>
      <c r="G417" s="175"/>
      <c r="H417" s="175"/>
      <c r="I417" s="168"/>
      <c r="J417" s="168"/>
    </row>
    <row r="418" spans="1:10" ht="17">
      <c r="A418" s="168"/>
      <c r="B418" s="168"/>
      <c r="C418" s="168"/>
      <c r="G418" s="175"/>
      <c r="H418" s="175"/>
      <c r="I418" s="168"/>
      <c r="J418" s="168"/>
    </row>
    <row r="419" spans="1:10" ht="17">
      <c r="A419" s="168"/>
      <c r="B419" s="168"/>
      <c r="C419" s="168"/>
      <c r="G419" s="175"/>
      <c r="H419" s="175"/>
      <c r="I419" s="168"/>
      <c r="J419" s="168"/>
    </row>
    <row r="420" spans="1:10" ht="17">
      <c r="A420" s="168"/>
      <c r="B420" s="168"/>
      <c r="C420" s="168"/>
      <c r="G420" s="175"/>
      <c r="H420" s="175"/>
      <c r="I420" s="168"/>
      <c r="J420" s="168"/>
    </row>
    <row r="421" spans="1:10" ht="17">
      <c r="A421" s="168"/>
      <c r="B421" s="168"/>
      <c r="C421" s="168"/>
      <c r="G421" s="175"/>
      <c r="H421" s="175"/>
      <c r="I421" s="168"/>
      <c r="J421" s="168"/>
    </row>
    <row r="422" spans="1:10" ht="17">
      <c r="A422" s="168"/>
      <c r="B422" s="168"/>
      <c r="C422" s="168"/>
      <c r="G422" s="175"/>
      <c r="H422" s="175"/>
      <c r="I422" s="168"/>
      <c r="J422" s="168"/>
    </row>
    <row r="423" spans="1:10" ht="17">
      <c r="A423" s="168"/>
      <c r="B423" s="168"/>
      <c r="C423" s="168"/>
      <c r="G423" s="175"/>
      <c r="H423" s="175"/>
      <c r="I423" s="168"/>
      <c r="J423" s="168"/>
    </row>
    <row r="424" spans="1:10" ht="17">
      <c r="A424" s="168"/>
      <c r="B424" s="168"/>
      <c r="C424" s="168"/>
      <c r="G424" s="175"/>
      <c r="H424" s="175"/>
      <c r="I424" s="168"/>
      <c r="J424" s="168"/>
    </row>
    <row r="425" spans="1:10" ht="17">
      <c r="A425" s="168"/>
      <c r="B425" s="168"/>
      <c r="C425" s="168"/>
      <c r="G425" s="175"/>
      <c r="H425" s="175"/>
      <c r="I425" s="168"/>
      <c r="J425" s="168"/>
    </row>
    <row r="426" spans="1:10" ht="17">
      <c r="A426" s="168"/>
      <c r="B426" s="168"/>
      <c r="C426" s="168"/>
      <c r="G426" s="175"/>
      <c r="H426" s="175"/>
      <c r="I426" s="168"/>
      <c r="J426" s="168"/>
    </row>
    <row r="427" spans="1:10" ht="17">
      <c r="A427" s="168"/>
      <c r="B427" s="168"/>
      <c r="C427" s="168"/>
      <c r="G427" s="175"/>
      <c r="H427" s="175"/>
      <c r="I427" s="168"/>
      <c r="J427" s="168"/>
    </row>
    <row r="428" spans="1:10" ht="17">
      <c r="A428" s="168"/>
      <c r="B428" s="168"/>
      <c r="C428" s="168"/>
      <c r="G428" s="175"/>
      <c r="H428" s="175"/>
      <c r="I428" s="168"/>
      <c r="J428" s="168"/>
    </row>
    <row r="429" spans="1:10" ht="17">
      <c r="A429" s="168"/>
      <c r="B429" s="168"/>
      <c r="C429" s="168"/>
      <c r="G429" s="175"/>
      <c r="H429" s="175"/>
      <c r="I429" s="168"/>
      <c r="J429" s="168"/>
    </row>
    <row r="430" spans="1:10" ht="17">
      <c r="A430" s="168"/>
      <c r="B430" s="168"/>
      <c r="C430" s="168"/>
      <c r="G430" s="175"/>
      <c r="H430" s="175"/>
      <c r="I430" s="168"/>
      <c r="J430" s="168"/>
    </row>
    <row r="431" spans="1:10" ht="17">
      <c r="A431" s="168"/>
      <c r="B431" s="168"/>
      <c r="C431" s="168"/>
      <c r="G431" s="175"/>
      <c r="H431" s="175"/>
      <c r="I431" s="168"/>
      <c r="J431" s="168"/>
    </row>
    <row r="432" spans="1:10" ht="17">
      <c r="A432" s="168"/>
      <c r="B432" s="168"/>
      <c r="C432" s="168"/>
      <c r="G432" s="175"/>
      <c r="H432" s="175"/>
      <c r="I432" s="168"/>
      <c r="J432" s="168"/>
    </row>
    <row r="433" spans="1:10" ht="17">
      <c r="A433" s="168"/>
      <c r="B433" s="168"/>
      <c r="C433" s="168"/>
      <c r="G433" s="175"/>
      <c r="H433" s="175"/>
      <c r="I433" s="168"/>
      <c r="J433" s="168"/>
    </row>
    <row r="434" spans="1:10" ht="17">
      <c r="A434" s="168"/>
      <c r="B434" s="168"/>
      <c r="C434" s="168"/>
      <c r="G434" s="175"/>
      <c r="H434" s="175"/>
      <c r="I434" s="168"/>
      <c r="J434" s="168"/>
    </row>
    <row r="435" spans="1:10" ht="17">
      <c r="A435" s="168"/>
      <c r="B435" s="168"/>
      <c r="C435" s="168"/>
      <c r="G435" s="175"/>
      <c r="H435" s="175"/>
      <c r="I435" s="168"/>
      <c r="J435" s="168"/>
    </row>
    <row r="436" spans="1:10" ht="17">
      <c r="A436" s="168"/>
      <c r="B436" s="168"/>
      <c r="C436" s="168"/>
      <c r="G436" s="175"/>
      <c r="H436" s="175"/>
      <c r="I436" s="168"/>
      <c r="J436" s="168"/>
    </row>
    <row r="437" spans="1:10" ht="17">
      <c r="A437" s="168"/>
      <c r="B437" s="168"/>
      <c r="C437" s="168"/>
      <c r="G437" s="175"/>
      <c r="H437" s="175"/>
      <c r="I437" s="168"/>
      <c r="J437" s="168"/>
    </row>
    <row r="438" spans="1:10" ht="17">
      <c r="A438" s="168"/>
      <c r="B438" s="168"/>
      <c r="C438" s="168"/>
      <c r="G438" s="175"/>
      <c r="H438" s="175"/>
      <c r="I438" s="168"/>
      <c r="J438" s="168"/>
    </row>
    <row r="439" spans="1:10" ht="17">
      <c r="A439" s="168"/>
      <c r="B439" s="168"/>
      <c r="C439" s="168"/>
      <c r="G439" s="175"/>
      <c r="H439" s="175"/>
      <c r="I439" s="168"/>
      <c r="J439" s="168"/>
    </row>
    <row r="440" spans="1:10" ht="17">
      <c r="A440" s="168"/>
      <c r="B440" s="168"/>
      <c r="C440" s="168"/>
      <c r="G440" s="175"/>
      <c r="H440" s="175"/>
      <c r="I440" s="168"/>
      <c r="J440" s="168"/>
    </row>
    <row r="441" spans="1:10" ht="17">
      <c r="A441" s="168"/>
      <c r="B441" s="168"/>
      <c r="C441" s="168"/>
      <c r="G441" s="175"/>
      <c r="H441" s="175"/>
      <c r="I441" s="168"/>
      <c r="J441" s="168"/>
    </row>
    <row r="442" spans="1:10" ht="17">
      <c r="A442" s="168"/>
      <c r="B442" s="168"/>
      <c r="C442" s="168"/>
      <c r="G442" s="175"/>
      <c r="H442" s="175"/>
      <c r="I442" s="168"/>
      <c r="J442" s="168"/>
    </row>
    <row r="443" spans="1:10" ht="17">
      <c r="A443" s="168"/>
      <c r="B443" s="168"/>
      <c r="C443" s="168"/>
      <c r="G443" s="175"/>
      <c r="H443" s="175"/>
      <c r="I443" s="168"/>
      <c r="J443" s="168"/>
    </row>
    <row r="444" spans="1:10" ht="17">
      <c r="A444" s="168"/>
      <c r="B444" s="168"/>
      <c r="C444" s="168"/>
      <c r="G444" s="175"/>
      <c r="H444" s="175"/>
      <c r="I444" s="168"/>
      <c r="J444" s="168"/>
    </row>
    <row r="445" spans="1:10" ht="17">
      <c r="A445" s="168"/>
      <c r="B445" s="168"/>
      <c r="C445" s="168"/>
      <c r="G445" s="175"/>
      <c r="H445" s="175"/>
      <c r="I445" s="168"/>
      <c r="J445" s="168"/>
    </row>
    <row r="446" spans="1:10" ht="17">
      <c r="A446" s="168"/>
      <c r="B446" s="168"/>
      <c r="C446" s="168"/>
      <c r="G446" s="175"/>
      <c r="H446" s="175"/>
      <c r="I446" s="168"/>
      <c r="J446" s="168"/>
    </row>
    <row r="447" spans="1:10" ht="17">
      <c r="A447" s="168"/>
      <c r="B447" s="168"/>
      <c r="C447" s="168"/>
      <c r="G447" s="175"/>
      <c r="H447" s="175"/>
      <c r="I447" s="168"/>
      <c r="J447" s="168"/>
    </row>
    <row r="448" spans="1:10" ht="17">
      <c r="A448" s="168"/>
      <c r="B448" s="168"/>
      <c r="C448" s="168"/>
      <c r="G448" s="175"/>
      <c r="H448" s="175"/>
      <c r="I448" s="168"/>
      <c r="J448" s="168"/>
    </row>
    <row r="449" spans="1:10" ht="17">
      <c r="A449" s="168"/>
      <c r="B449" s="168"/>
      <c r="C449" s="168"/>
      <c r="G449" s="175"/>
      <c r="H449" s="175"/>
      <c r="I449" s="168"/>
      <c r="J449" s="168"/>
    </row>
    <row r="450" spans="1:10" ht="17">
      <c r="A450" s="168"/>
      <c r="B450" s="168"/>
      <c r="C450" s="168"/>
      <c r="G450" s="175"/>
      <c r="H450" s="175"/>
      <c r="I450" s="168"/>
      <c r="J450" s="168"/>
    </row>
    <row r="451" spans="1:10" ht="17">
      <c r="A451" s="168"/>
      <c r="B451" s="168"/>
      <c r="C451" s="168"/>
      <c r="G451" s="175"/>
      <c r="H451" s="175"/>
      <c r="I451" s="168"/>
      <c r="J451" s="168"/>
    </row>
    <row r="452" spans="1:10" ht="17">
      <c r="A452" s="168"/>
      <c r="B452" s="168"/>
      <c r="C452" s="168"/>
      <c r="G452" s="175"/>
      <c r="H452" s="175"/>
      <c r="I452" s="168"/>
      <c r="J452" s="168"/>
    </row>
    <row r="453" spans="1:10" ht="17">
      <c r="A453" s="168"/>
      <c r="B453" s="168"/>
      <c r="C453" s="168"/>
      <c r="G453" s="175"/>
      <c r="H453" s="175"/>
      <c r="I453" s="168"/>
      <c r="J453" s="168"/>
    </row>
    <row r="454" spans="1:10" ht="17">
      <c r="A454" s="168"/>
      <c r="B454" s="168"/>
      <c r="C454" s="168"/>
      <c r="G454" s="175"/>
      <c r="H454" s="175"/>
      <c r="I454" s="168"/>
      <c r="J454" s="168"/>
    </row>
    <row r="455" spans="1:10" ht="17">
      <c r="A455" s="168"/>
      <c r="B455" s="168"/>
      <c r="C455" s="168"/>
      <c r="G455" s="175"/>
      <c r="H455" s="175"/>
      <c r="I455" s="168"/>
      <c r="J455" s="168"/>
    </row>
    <row r="456" spans="1:10" ht="17">
      <c r="A456" s="168"/>
      <c r="B456" s="168"/>
      <c r="C456" s="168"/>
      <c r="G456" s="175"/>
      <c r="H456" s="175"/>
      <c r="I456" s="168"/>
      <c r="J456" s="168"/>
    </row>
    <row r="457" spans="1:10" ht="17">
      <c r="A457" s="168"/>
      <c r="B457" s="168"/>
      <c r="C457" s="168"/>
      <c r="G457" s="175"/>
      <c r="H457" s="175"/>
      <c r="I457" s="168"/>
      <c r="J457" s="168"/>
    </row>
    <row r="458" spans="1:10" ht="17">
      <c r="A458" s="168"/>
      <c r="B458" s="168"/>
      <c r="C458" s="168"/>
      <c r="G458" s="175"/>
      <c r="H458" s="175"/>
      <c r="I458" s="168"/>
      <c r="J458" s="168"/>
    </row>
    <row r="459" spans="1:10" ht="17">
      <c r="A459" s="168"/>
      <c r="B459" s="168"/>
      <c r="C459" s="168"/>
      <c r="G459" s="175"/>
      <c r="H459" s="175"/>
      <c r="I459" s="168"/>
      <c r="J459" s="168"/>
    </row>
    <row r="460" spans="1:10" ht="17">
      <c r="A460" s="168"/>
      <c r="B460" s="168"/>
      <c r="C460" s="168"/>
      <c r="G460" s="175"/>
      <c r="H460" s="175"/>
      <c r="I460" s="168"/>
      <c r="J460" s="168"/>
    </row>
    <row r="461" spans="1:10" ht="17">
      <c r="A461" s="168"/>
      <c r="B461" s="168"/>
      <c r="C461" s="168"/>
      <c r="G461" s="175"/>
      <c r="H461" s="175"/>
      <c r="I461" s="168"/>
      <c r="J461" s="168"/>
    </row>
    <row r="462" spans="1:10" ht="17">
      <c r="A462" s="168"/>
      <c r="B462" s="168"/>
      <c r="C462" s="168"/>
      <c r="G462" s="175"/>
      <c r="H462" s="175"/>
      <c r="I462" s="168"/>
      <c r="J462" s="168"/>
    </row>
    <row r="463" spans="1:10" ht="17">
      <c r="A463" s="168"/>
      <c r="B463" s="168"/>
      <c r="C463" s="168"/>
      <c r="G463" s="175"/>
      <c r="H463" s="175"/>
      <c r="I463" s="168"/>
      <c r="J463" s="168"/>
    </row>
    <row r="464" spans="1:10" ht="17">
      <c r="A464" s="168"/>
      <c r="B464" s="168"/>
      <c r="C464" s="168"/>
      <c r="G464" s="175"/>
      <c r="H464" s="175"/>
      <c r="I464" s="168"/>
      <c r="J464" s="168"/>
    </row>
    <row r="465" spans="1:10" ht="17">
      <c r="A465" s="168"/>
      <c r="B465" s="168"/>
      <c r="C465" s="168"/>
      <c r="G465" s="175"/>
      <c r="H465" s="175"/>
      <c r="I465" s="168"/>
      <c r="J465" s="168"/>
    </row>
    <row r="466" spans="1:10" ht="17">
      <c r="A466" s="168"/>
      <c r="B466" s="168"/>
      <c r="C466" s="168"/>
      <c r="G466" s="175"/>
      <c r="H466" s="175"/>
      <c r="I466" s="168"/>
      <c r="J466" s="168"/>
    </row>
    <row r="467" spans="1:10" ht="17">
      <c r="A467" s="168"/>
      <c r="B467" s="168"/>
      <c r="C467" s="168"/>
      <c r="G467" s="175"/>
      <c r="H467" s="175"/>
      <c r="I467" s="168"/>
      <c r="J467" s="168"/>
    </row>
    <row r="468" spans="1:10" ht="17">
      <c r="A468" s="168"/>
      <c r="B468" s="168"/>
      <c r="C468" s="168"/>
      <c r="G468" s="175"/>
      <c r="H468" s="175"/>
      <c r="I468" s="168"/>
      <c r="J468" s="168"/>
    </row>
    <row r="469" spans="1:10" ht="17">
      <c r="A469" s="168"/>
      <c r="B469" s="168"/>
      <c r="C469" s="168"/>
      <c r="G469" s="175"/>
      <c r="H469" s="175"/>
      <c r="I469" s="168"/>
      <c r="J469" s="168"/>
    </row>
    <row r="470" spans="1:10" ht="17">
      <c r="A470" s="168"/>
      <c r="B470" s="168"/>
      <c r="C470" s="168"/>
      <c r="G470" s="175"/>
      <c r="H470" s="175"/>
      <c r="I470" s="168"/>
      <c r="J470" s="168"/>
    </row>
    <row r="471" spans="1:10" ht="17">
      <c r="A471" s="168"/>
      <c r="B471" s="168"/>
      <c r="C471" s="168"/>
      <c r="G471" s="175"/>
      <c r="H471" s="175"/>
      <c r="I471" s="168"/>
      <c r="J471" s="168"/>
    </row>
    <row r="472" spans="1:10" ht="17">
      <c r="A472" s="168"/>
      <c r="B472" s="168"/>
      <c r="C472" s="168"/>
      <c r="G472" s="175"/>
      <c r="H472" s="175"/>
      <c r="I472" s="168"/>
      <c r="J472" s="168"/>
    </row>
    <row r="473" spans="1:10" ht="17">
      <c r="A473" s="168"/>
      <c r="B473" s="168"/>
      <c r="C473" s="168"/>
      <c r="G473" s="175"/>
      <c r="H473" s="175"/>
      <c r="I473" s="168"/>
      <c r="J473" s="168"/>
    </row>
    <row r="474" spans="1:10" ht="17">
      <c r="A474" s="168"/>
      <c r="B474" s="168"/>
      <c r="C474" s="168"/>
      <c r="G474" s="175"/>
      <c r="H474" s="175"/>
      <c r="I474" s="168"/>
      <c r="J474" s="168"/>
    </row>
    <row r="475" spans="1:10" ht="17">
      <c r="A475" s="168"/>
      <c r="B475" s="168"/>
      <c r="C475" s="168"/>
      <c r="G475" s="175"/>
      <c r="H475" s="175"/>
      <c r="I475" s="168"/>
      <c r="J475" s="168"/>
    </row>
    <row r="476" spans="1:10" ht="17">
      <c r="A476" s="168"/>
      <c r="B476" s="168"/>
      <c r="C476" s="168"/>
      <c r="G476" s="175"/>
      <c r="H476" s="175"/>
      <c r="I476" s="168"/>
      <c r="J476" s="168"/>
    </row>
    <row r="477" spans="1:10" ht="17">
      <c r="A477" s="168"/>
      <c r="B477" s="168"/>
      <c r="C477" s="168"/>
      <c r="G477" s="175"/>
      <c r="H477" s="175"/>
      <c r="I477" s="168"/>
      <c r="J477" s="168"/>
    </row>
    <row r="478" spans="1:10" ht="17">
      <c r="A478" s="168"/>
      <c r="B478" s="168"/>
      <c r="C478" s="168"/>
      <c r="G478" s="175"/>
      <c r="H478" s="175"/>
      <c r="I478" s="168"/>
      <c r="J478" s="168"/>
    </row>
    <row r="479" spans="1:10" ht="17">
      <c r="A479" s="168"/>
      <c r="B479" s="168"/>
      <c r="C479" s="168"/>
      <c r="G479" s="175"/>
      <c r="H479" s="175"/>
      <c r="I479" s="168"/>
      <c r="J479" s="168"/>
    </row>
    <row r="480" spans="1:10" ht="17">
      <c r="A480" s="168"/>
      <c r="B480" s="168"/>
      <c r="C480" s="168"/>
      <c r="G480" s="175"/>
      <c r="H480" s="175"/>
      <c r="I480" s="168"/>
      <c r="J480" s="168"/>
    </row>
    <row r="481" spans="1:10" ht="17">
      <c r="A481" s="168"/>
      <c r="B481" s="168"/>
      <c r="C481" s="168"/>
      <c r="G481" s="175"/>
      <c r="H481" s="175"/>
      <c r="I481" s="168"/>
      <c r="J481" s="168"/>
    </row>
    <row r="482" spans="1:10" ht="17">
      <c r="A482" s="168"/>
      <c r="B482" s="168"/>
      <c r="C482" s="168"/>
      <c r="G482" s="175"/>
      <c r="H482" s="175"/>
      <c r="I482" s="168"/>
      <c r="J482" s="168"/>
    </row>
    <row r="483" spans="1:10" ht="17">
      <c r="A483" s="168"/>
      <c r="B483" s="168"/>
      <c r="C483" s="168"/>
      <c r="G483" s="175"/>
      <c r="H483" s="175"/>
      <c r="I483" s="168"/>
      <c r="J483" s="168"/>
    </row>
    <row r="484" spans="1:10" ht="17">
      <c r="A484" s="168"/>
      <c r="B484" s="168"/>
      <c r="C484" s="168"/>
      <c r="G484" s="175"/>
      <c r="H484" s="175"/>
      <c r="I484" s="168"/>
      <c r="J484" s="168"/>
    </row>
    <row r="485" spans="1:10" ht="17">
      <c r="A485" s="168"/>
      <c r="B485" s="168"/>
      <c r="C485" s="168"/>
      <c r="G485" s="175"/>
      <c r="H485" s="175"/>
      <c r="I485" s="168"/>
      <c r="J485" s="168"/>
    </row>
    <row r="486" spans="1:10" ht="17">
      <c r="A486" s="168"/>
      <c r="B486" s="168"/>
      <c r="C486" s="168"/>
      <c r="G486" s="175"/>
      <c r="H486" s="175"/>
      <c r="I486" s="168"/>
      <c r="J486" s="168"/>
    </row>
    <row r="487" spans="1:10" ht="17">
      <c r="A487" s="168"/>
      <c r="B487" s="168"/>
      <c r="C487" s="168"/>
      <c r="G487" s="175"/>
      <c r="H487" s="175"/>
      <c r="I487" s="168"/>
      <c r="J487" s="168"/>
    </row>
    <row r="488" spans="1:10" ht="17">
      <c r="A488" s="168"/>
      <c r="B488" s="168"/>
      <c r="C488" s="168"/>
      <c r="G488" s="175"/>
      <c r="H488" s="175"/>
      <c r="I488" s="168"/>
      <c r="J488" s="168"/>
    </row>
    <row r="489" spans="1:10" ht="17">
      <c r="A489" s="168"/>
      <c r="B489" s="168"/>
      <c r="C489" s="168"/>
      <c r="G489" s="175"/>
      <c r="H489" s="175"/>
      <c r="I489" s="168"/>
      <c r="J489" s="168"/>
    </row>
    <row r="490" spans="1:10" ht="17">
      <c r="A490" s="168"/>
      <c r="B490" s="168"/>
      <c r="C490" s="168"/>
      <c r="G490" s="175"/>
      <c r="H490" s="175"/>
      <c r="I490" s="168"/>
      <c r="J490" s="168"/>
    </row>
    <row r="491" spans="1:10" ht="17">
      <c r="A491" s="168"/>
      <c r="B491" s="168"/>
      <c r="C491" s="168"/>
      <c r="G491" s="175"/>
      <c r="H491" s="175"/>
      <c r="I491" s="168"/>
      <c r="J491" s="168"/>
    </row>
    <row r="492" spans="1:10" ht="17">
      <c r="A492" s="168"/>
      <c r="B492" s="168"/>
      <c r="C492" s="168"/>
      <c r="G492" s="175"/>
      <c r="H492" s="175"/>
      <c r="I492" s="168"/>
      <c r="J492" s="168"/>
    </row>
    <row r="493" spans="1:10" ht="17">
      <c r="A493" s="168"/>
      <c r="B493" s="168"/>
      <c r="C493" s="168"/>
      <c r="G493" s="175"/>
      <c r="H493" s="175"/>
      <c r="I493" s="168"/>
      <c r="J493" s="168"/>
    </row>
    <row r="494" spans="1:10" ht="17">
      <c r="A494" s="168"/>
      <c r="B494" s="168"/>
      <c r="C494" s="168"/>
      <c r="G494" s="175"/>
      <c r="H494" s="175"/>
      <c r="I494" s="168"/>
      <c r="J494" s="168"/>
    </row>
    <row r="495" spans="1:10" ht="17">
      <c r="A495" s="168"/>
      <c r="B495" s="168"/>
      <c r="C495" s="168"/>
      <c r="G495" s="175"/>
      <c r="H495" s="175"/>
      <c r="I495" s="168"/>
      <c r="J495" s="168"/>
    </row>
    <row r="496" spans="1:10" ht="17">
      <c r="A496" s="168"/>
      <c r="B496" s="168"/>
      <c r="C496" s="168"/>
      <c r="G496" s="175"/>
      <c r="H496" s="175"/>
      <c r="I496" s="168"/>
      <c r="J496" s="168"/>
    </row>
    <row r="497" spans="1:10" ht="17">
      <c r="A497" s="168"/>
      <c r="B497" s="168"/>
      <c r="C497" s="168"/>
      <c r="G497" s="175"/>
      <c r="H497" s="175"/>
      <c r="I497" s="168"/>
      <c r="J497" s="168"/>
    </row>
    <row r="498" spans="1:10" ht="17">
      <c r="A498" s="168"/>
      <c r="B498" s="168"/>
      <c r="C498" s="168"/>
      <c r="G498" s="175"/>
      <c r="H498" s="175"/>
      <c r="I498" s="168"/>
      <c r="J498" s="168"/>
    </row>
    <row r="499" spans="1:10" ht="17">
      <c r="A499" s="168"/>
      <c r="B499" s="168"/>
      <c r="C499" s="168"/>
      <c r="G499" s="175"/>
      <c r="H499" s="175"/>
      <c r="I499" s="168"/>
      <c r="J499" s="168"/>
    </row>
    <row r="500" spans="1:10" ht="17">
      <c r="A500" s="168"/>
      <c r="B500" s="168"/>
      <c r="C500" s="168"/>
      <c r="G500" s="175"/>
      <c r="H500" s="175"/>
      <c r="I500" s="168"/>
      <c r="J500" s="168"/>
    </row>
    <row r="501" spans="1:10" ht="17">
      <c r="A501" s="168"/>
      <c r="B501" s="168"/>
      <c r="C501" s="168"/>
      <c r="G501" s="175"/>
      <c r="H501" s="175"/>
      <c r="I501" s="168"/>
      <c r="J501" s="168"/>
    </row>
    <row r="502" spans="1:10" ht="17">
      <c r="A502" s="168"/>
      <c r="B502" s="168"/>
      <c r="C502" s="168"/>
      <c r="G502" s="175"/>
      <c r="H502" s="175"/>
      <c r="I502" s="168"/>
      <c r="J502" s="168"/>
    </row>
    <row r="503" spans="1:10" ht="17">
      <c r="A503" s="168"/>
      <c r="B503" s="168"/>
      <c r="C503" s="168"/>
      <c r="G503" s="175"/>
      <c r="H503" s="175"/>
      <c r="I503" s="168"/>
      <c r="J503" s="168"/>
    </row>
    <row r="504" spans="1:10" ht="17">
      <c r="A504" s="168"/>
      <c r="B504" s="168"/>
      <c r="C504" s="168"/>
      <c r="G504" s="175"/>
      <c r="H504" s="175"/>
      <c r="I504" s="168"/>
      <c r="J504" s="168"/>
    </row>
    <row r="505" spans="1:10" ht="17">
      <c r="A505" s="168"/>
      <c r="B505" s="168"/>
      <c r="C505" s="168"/>
      <c r="G505" s="175"/>
      <c r="H505" s="175"/>
      <c r="I505" s="168"/>
      <c r="J505" s="168"/>
    </row>
    <row r="506" spans="1:10" ht="17">
      <c r="A506" s="168"/>
      <c r="B506" s="168"/>
      <c r="C506" s="168"/>
      <c r="G506" s="175"/>
      <c r="H506" s="175"/>
      <c r="I506" s="168"/>
      <c r="J506" s="168"/>
    </row>
    <row r="507" spans="1:10" ht="17">
      <c r="A507" s="168"/>
      <c r="B507" s="168"/>
      <c r="C507" s="168"/>
      <c r="G507" s="175"/>
      <c r="H507" s="175"/>
      <c r="I507" s="168"/>
      <c r="J507" s="168"/>
    </row>
    <row r="508" spans="1:10" ht="17">
      <c r="A508" s="168"/>
      <c r="B508" s="168"/>
      <c r="C508" s="168"/>
      <c r="G508" s="175"/>
      <c r="H508" s="175"/>
      <c r="I508" s="168"/>
      <c r="J508" s="168"/>
    </row>
    <row r="509" spans="1:10" ht="17">
      <c r="A509" s="168"/>
      <c r="B509" s="168"/>
      <c r="C509" s="168"/>
      <c r="G509" s="175"/>
      <c r="H509" s="175"/>
      <c r="I509" s="168"/>
      <c r="J509" s="168"/>
    </row>
    <row r="510" spans="1:10" ht="17">
      <c r="A510" s="168"/>
      <c r="B510" s="168"/>
      <c r="C510" s="168"/>
      <c r="G510" s="175"/>
      <c r="H510" s="175"/>
      <c r="I510" s="168"/>
      <c r="J510" s="168"/>
    </row>
    <row r="511" spans="1:10" ht="17">
      <c r="A511" s="168"/>
      <c r="B511" s="168"/>
      <c r="C511" s="168"/>
      <c r="G511" s="175"/>
      <c r="H511" s="175"/>
      <c r="I511" s="168"/>
      <c r="J511" s="168"/>
    </row>
    <row r="512" spans="1:10" ht="17">
      <c r="A512" s="168"/>
      <c r="B512" s="168"/>
      <c r="C512" s="168"/>
      <c r="G512" s="175"/>
      <c r="H512" s="175"/>
      <c r="I512" s="168"/>
      <c r="J512" s="168"/>
    </row>
    <row r="513" spans="1:10" ht="17">
      <c r="A513" s="168"/>
      <c r="B513" s="168"/>
      <c r="C513" s="168"/>
      <c r="G513" s="175"/>
      <c r="H513" s="175"/>
      <c r="I513" s="168"/>
      <c r="J513" s="168"/>
    </row>
    <row r="514" spans="1:10" ht="17">
      <c r="A514" s="168"/>
      <c r="B514" s="168"/>
      <c r="C514" s="168"/>
      <c r="G514" s="175"/>
      <c r="H514" s="175"/>
      <c r="I514" s="168"/>
      <c r="J514" s="168"/>
    </row>
    <row r="515" spans="1:10" ht="17">
      <c r="A515" s="168"/>
      <c r="B515" s="168"/>
      <c r="C515" s="168"/>
      <c r="G515" s="175"/>
      <c r="H515" s="175"/>
      <c r="I515" s="168"/>
      <c r="J515" s="168"/>
    </row>
    <row r="516" spans="1:10" ht="17">
      <c r="A516" s="168"/>
      <c r="B516" s="168"/>
      <c r="C516" s="168"/>
      <c r="G516" s="175"/>
      <c r="H516" s="175"/>
      <c r="I516" s="168"/>
      <c r="J516" s="168"/>
    </row>
    <row r="517" spans="1:10" ht="17">
      <c r="A517" s="168"/>
      <c r="B517" s="168"/>
      <c r="C517" s="168"/>
      <c r="G517" s="175"/>
      <c r="H517" s="175"/>
      <c r="I517" s="168"/>
      <c r="J517" s="168"/>
    </row>
    <row r="518" spans="1:10" ht="17">
      <c r="A518" s="168"/>
      <c r="B518" s="168"/>
      <c r="C518" s="168"/>
      <c r="G518" s="175"/>
      <c r="H518" s="175"/>
      <c r="I518" s="168"/>
      <c r="J518" s="168"/>
    </row>
    <row r="519" spans="1:10" ht="17">
      <c r="A519" s="168"/>
      <c r="B519" s="168"/>
      <c r="C519" s="168"/>
      <c r="G519" s="175"/>
      <c r="H519" s="175"/>
      <c r="I519" s="168"/>
      <c r="J519" s="168"/>
    </row>
    <row r="520" spans="1:10" ht="17">
      <c r="A520" s="168"/>
      <c r="B520" s="168"/>
      <c r="C520" s="168"/>
      <c r="G520" s="175"/>
      <c r="H520" s="175"/>
      <c r="I520" s="168"/>
      <c r="J520" s="168"/>
    </row>
    <row r="521" spans="1:10" ht="17">
      <c r="A521" s="168"/>
      <c r="B521" s="168"/>
      <c r="C521" s="168"/>
      <c r="G521" s="175"/>
      <c r="H521" s="175"/>
      <c r="I521" s="168"/>
      <c r="J521" s="168"/>
    </row>
    <row r="522" spans="1:10" ht="17">
      <c r="A522" s="168"/>
      <c r="B522" s="168"/>
      <c r="C522" s="168"/>
      <c r="G522" s="175"/>
      <c r="H522" s="175"/>
      <c r="I522" s="168"/>
      <c r="J522" s="168"/>
    </row>
    <row r="523" spans="1:10" ht="17">
      <c r="A523" s="168"/>
      <c r="B523" s="168"/>
      <c r="C523" s="168"/>
      <c r="G523" s="175"/>
      <c r="H523" s="175"/>
      <c r="I523" s="168"/>
      <c r="J523" s="168"/>
    </row>
    <row r="524" spans="1:10" ht="17">
      <c r="A524" s="168"/>
      <c r="B524" s="168"/>
      <c r="C524" s="168"/>
      <c r="G524" s="175"/>
      <c r="H524" s="175"/>
      <c r="I524" s="168"/>
      <c r="J524" s="168"/>
    </row>
    <row r="525" spans="1:10" ht="17">
      <c r="A525" s="168"/>
      <c r="B525" s="168"/>
      <c r="C525" s="168"/>
      <c r="G525" s="175"/>
      <c r="H525" s="175"/>
      <c r="I525" s="168"/>
      <c r="J525" s="168"/>
    </row>
    <row r="526" spans="1:10" ht="17">
      <c r="A526" s="168"/>
      <c r="B526" s="168"/>
      <c r="C526" s="168"/>
      <c r="G526" s="175"/>
      <c r="H526" s="175"/>
      <c r="I526" s="168"/>
      <c r="J526" s="168"/>
    </row>
    <row r="527" spans="1:10" ht="17">
      <c r="A527" s="168"/>
      <c r="B527" s="168"/>
      <c r="C527" s="168"/>
      <c r="G527" s="175"/>
      <c r="H527" s="175"/>
      <c r="I527" s="168"/>
      <c r="J527" s="168"/>
    </row>
    <row r="528" spans="1:10" ht="17">
      <c r="A528" s="168"/>
      <c r="B528" s="168"/>
      <c r="C528" s="168"/>
      <c r="G528" s="175"/>
      <c r="H528" s="175"/>
      <c r="I528" s="168"/>
      <c r="J528" s="168"/>
    </row>
    <row r="529" spans="1:10" ht="17">
      <c r="A529" s="168"/>
      <c r="B529" s="168"/>
      <c r="C529" s="168"/>
      <c r="G529" s="175"/>
      <c r="H529" s="175"/>
      <c r="I529" s="168"/>
      <c r="J529" s="168"/>
    </row>
    <row r="530" spans="1:10" ht="17">
      <c r="A530" s="168"/>
      <c r="B530" s="168"/>
      <c r="C530" s="168"/>
      <c r="G530" s="175"/>
      <c r="H530" s="175"/>
      <c r="I530" s="168"/>
      <c r="J530" s="168"/>
    </row>
    <row r="531" spans="1:10" ht="17">
      <c r="A531" s="168"/>
      <c r="B531" s="168"/>
      <c r="C531" s="168"/>
      <c r="G531" s="175"/>
      <c r="H531" s="175"/>
      <c r="I531" s="168"/>
      <c r="J531" s="168"/>
    </row>
    <row r="532" spans="1:10" ht="17">
      <c r="A532" s="168"/>
      <c r="B532" s="168"/>
      <c r="C532" s="168"/>
      <c r="G532" s="175"/>
      <c r="H532" s="175"/>
      <c r="I532" s="168"/>
      <c r="J532" s="168"/>
    </row>
    <row r="533" spans="1:10" ht="17">
      <c r="A533" s="168"/>
      <c r="B533" s="168"/>
      <c r="C533" s="168"/>
      <c r="G533" s="175"/>
      <c r="H533" s="175"/>
      <c r="I533" s="168"/>
      <c r="J533" s="168"/>
    </row>
    <row r="534" spans="1:10" ht="17">
      <c r="A534" s="168"/>
      <c r="B534" s="168"/>
      <c r="C534" s="168"/>
      <c r="G534" s="175"/>
      <c r="H534" s="175"/>
      <c r="I534" s="168"/>
      <c r="J534" s="168"/>
    </row>
    <row r="535" spans="1:10" ht="17">
      <c r="A535" s="168"/>
      <c r="B535" s="168"/>
      <c r="C535" s="168"/>
      <c r="G535" s="175"/>
      <c r="H535" s="175"/>
      <c r="I535" s="168"/>
      <c r="J535" s="168"/>
    </row>
    <row r="536" spans="1:10" ht="17">
      <c r="A536" s="168"/>
      <c r="B536" s="168"/>
      <c r="C536" s="168"/>
      <c r="G536" s="175"/>
      <c r="H536" s="175"/>
      <c r="I536" s="168"/>
      <c r="J536" s="168"/>
    </row>
    <row r="537" spans="1:10" ht="17">
      <c r="A537" s="168"/>
      <c r="B537" s="168"/>
      <c r="C537" s="168"/>
      <c r="G537" s="175"/>
      <c r="H537" s="175"/>
      <c r="I537" s="168"/>
      <c r="J537" s="168"/>
    </row>
    <row r="538" spans="1:10" ht="17">
      <c r="A538" s="168"/>
      <c r="B538" s="168"/>
      <c r="C538" s="168"/>
      <c r="G538" s="175"/>
      <c r="H538" s="175"/>
      <c r="I538" s="168"/>
      <c r="J538" s="168"/>
    </row>
    <row r="539" spans="1:10" ht="17">
      <c r="A539" s="168"/>
      <c r="B539" s="168"/>
      <c r="C539" s="168"/>
      <c r="G539" s="175"/>
      <c r="H539" s="175"/>
      <c r="I539" s="168"/>
      <c r="J539" s="168"/>
    </row>
    <row r="540" spans="1:10" ht="17">
      <c r="A540" s="168"/>
      <c r="B540" s="168"/>
      <c r="C540" s="168"/>
      <c r="G540" s="175"/>
      <c r="H540" s="175"/>
      <c r="I540" s="168"/>
      <c r="J540" s="168"/>
    </row>
    <row r="541" spans="1:10" ht="17">
      <c r="A541" s="168"/>
      <c r="B541" s="168"/>
      <c r="C541" s="168"/>
      <c r="G541" s="175"/>
      <c r="H541" s="175"/>
      <c r="I541" s="168"/>
      <c r="J541" s="168"/>
    </row>
    <row r="542" spans="1:10" ht="17">
      <c r="A542" s="168"/>
      <c r="B542" s="168"/>
      <c r="C542" s="168"/>
      <c r="G542" s="175"/>
      <c r="H542" s="175"/>
      <c r="I542" s="168"/>
      <c r="J542" s="168"/>
    </row>
    <row r="543" spans="1:10" ht="17">
      <c r="A543" s="168"/>
      <c r="B543" s="168"/>
      <c r="C543" s="168"/>
      <c r="G543" s="175"/>
      <c r="H543" s="175"/>
      <c r="I543" s="168"/>
      <c r="J543" s="168"/>
    </row>
    <row r="544" spans="1:10" ht="17">
      <c r="A544" s="168"/>
      <c r="B544" s="168"/>
      <c r="C544" s="168"/>
      <c r="G544" s="175"/>
      <c r="H544" s="175"/>
      <c r="I544" s="168"/>
      <c r="J544" s="168"/>
    </row>
    <row r="545" spans="1:10" ht="17">
      <c r="A545" s="168"/>
      <c r="B545" s="168"/>
      <c r="C545" s="168"/>
      <c r="G545" s="175"/>
      <c r="H545" s="175"/>
      <c r="I545" s="168"/>
      <c r="J545" s="168"/>
    </row>
    <row r="546" spans="1:10" ht="17">
      <c r="A546" s="168"/>
      <c r="B546" s="168"/>
      <c r="C546" s="168"/>
      <c r="G546" s="175"/>
      <c r="H546" s="175"/>
      <c r="I546" s="168"/>
      <c r="J546" s="168"/>
    </row>
    <row r="547" spans="1:10" ht="17">
      <c r="A547" s="168"/>
      <c r="B547" s="168"/>
      <c r="C547" s="168"/>
      <c r="G547" s="175"/>
      <c r="H547" s="175"/>
      <c r="I547" s="168"/>
      <c r="J547" s="168"/>
    </row>
    <row r="548" spans="1:10" ht="17">
      <c r="A548" s="168"/>
      <c r="B548" s="168"/>
      <c r="C548" s="168"/>
      <c r="G548" s="175"/>
      <c r="H548" s="175"/>
      <c r="I548" s="168"/>
      <c r="J548" s="168"/>
    </row>
    <row r="549" spans="1:10" ht="17">
      <c r="A549" s="168"/>
      <c r="B549" s="168"/>
      <c r="C549" s="168"/>
      <c r="G549" s="175"/>
      <c r="H549" s="175"/>
      <c r="I549" s="168"/>
      <c r="J549" s="168"/>
    </row>
    <row r="550" spans="1:10" ht="17">
      <c r="A550" s="168"/>
      <c r="B550" s="168"/>
      <c r="C550" s="168"/>
      <c r="G550" s="175"/>
      <c r="H550" s="175"/>
      <c r="I550" s="168"/>
      <c r="J550" s="168"/>
    </row>
    <row r="551" spans="1:10" ht="17">
      <c r="A551" s="168"/>
      <c r="B551" s="168"/>
      <c r="C551" s="168"/>
      <c r="G551" s="175"/>
      <c r="H551" s="175"/>
      <c r="I551" s="168"/>
      <c r="J551" s="168"/>
    </row>
    <row r="552" spans="1:10" ht="17">
      <c r="A552" s="168"/>
      <c r="B552" s="168"/>
      <c r="C552" s="168"/>
      <c r="G552" s="175"/>
      <c r="H552" s="175"/>
      <c r="I552" s="168"/>
      <c r="J552" s="168"/>
    </row>
    <row r="553" spans="1:10" ht="17">
      <c r="A553" s="168"/>
      <c r="B553" s="168"/>
      <c r="C553" s="168"/>
      <c r="G553" s="175"/>
      <c r="H553" s="175"/>
      <c r="I553" s="168"/>
      <c r="J553" s="168"/>
    </row>
    <row r="554" spans="1:10" ht="17">
      <c r="A554" s="168"/>
      <c r="B554" s="168"/>
      <c r="C554" s="168"/>
      <c r="G554" s="175"/>
      <c r="H554" s="175"/>
      <c r="I554" s="168"/>
      <c r="J554" s="168"/>
    </row>
    <row r="555" spans="1:10" ht="17">
      <c r="A555" s="168"/>
      <c r="B555" s="168"/>
      <c r="C555" s="168"/>
      <c r="G555" s="175"/>
      <c r="H555" s="175"/>
      <c r="I555" s="168"/>
      <c r="J555" s="168"/>
    </row>
    <row r="556" spans="1:10" ht="17">
      <c r="A556" s="168"/>
      <c r="B556" s="168"/>
      <c r="C556" s="168"/>
      <c r="G556" s="175"/>
      <c r="H556" s="175"/>
      <c r="I556" s="168"/>
      <c r="J556" s="168"/>
    </row>
    <row r="557" spans="1:10" ht="17">
      <c r="A557" s="168"/>
      <c r="B557" s="168"/>
      <c r="C557" s="168"/>
      <c r="G557" s="175"/>
      <c r="H557" s="175"/>
      <c r="I557" s="168"/>
      <c r="J557" s="168"/>
    </row>
    <row r="558" spans="1:10" ht="17">
      <c r="A558" s="168"/>
      <c r="B558" s="168"/>
      <c r="C558" s="168"/>
      <c r="G558" s="175"/>
      <c r="H558" s="175"/>
      <c r="I558" s="168"/>
      <c r="J558" s="168"/>
    </row>
    <row r="559" spans="1:10" ht="17">
      <c r="A559" s="168"/>
      <c r="B559" s="168"/>
      <c r="C559" s="168"/>
      <c r="G559" s="175"/>
      <c r="H559" s="175"/>
      <c r="I559" s="168"/>
      <c r="J559" s="168"/>
    </row>
    <row r="560" spans="1:10" ht="17">
      <c r="A560" s="168"/>
      <c r="B560" s="168"/>
      <c r="C560" s="168"/>
      <c r="G560" s="175"/>
      <c r="H560" s="175"/>
      <c r="I560" s="168"/>
      <c r="J560" s="168"/>
    </row>
    <row r="561" spans="1:10" ht="17">
      <c r="A561" s="168"/>
      <c r="B561" s="168"/>
      <c r="C561" s="168"/>
      <c r="G561" s="175"/>
      <c r="H561" s="175"/>
      <c r="I561" s="168"/>
      <c r="J561" s="168"/>
    </row>
    <row r="562" spans="1:10" ht="17">
      <c r="A562" s="168"/>
      <c r="B562" s="168"/>
      <c r="C562" s="168"/>
      <c r="G562" s="175"/>
      <c r="H562" s="175"/>
      <c r="I562" s="168"/>
      <c r="J562" s="168"/>
    </row>
    <row r="563" spans="1:10" ht="17">
      <c r="A563" s="168"/>
      <c r="B563" s="168"/>
      <c r="C563" s="168"/>
      <c r="G563" s="175"/>
      <c r="H563" s="175"/>
      <c r="I563" s="168"/>
      <c r="J563" s="168"/>
    </row>
    <row r="564" spans="1:10" ht="17">
      <c r="A564" s="168"/>
      <c r="B564" s="168"/>
      <c r="C564" s="168"/>
      <c r="G564" s="175"/>
      <c r="H564" s="175"/>
      <c r="I564" s="168"/>
      <c r="J564" s="168"/>
    </row>
    <row r="565" spans="1:10" ht="17">
      <c r="A565" s="168"/>
      <c r="B565" s="168"/>
      <c r="C565" s="168"/>
      <c r="G565" s="175"/>
      <c r="H565" s="175"/>
      <c r="I565" s="168"/>
      <c r="J565" s="168"/>
    </row>
    <row r="566" spans="1:10" ht="17">
      <c r="A566" s="168"/>
      <c r="B566" s="168"/>
      <c r="C566" s="168"/>
      <c r="G566" s="175"/>
      <c r="H566" s="175"/>
      <c r="I566" s="168"/>
      <c r="J566" s="168"/>
    </row>
    <row r="567" spans="1:10" ht="17">
      <c r="A567" s="168"/>
      <c r="B567" s="168"/>
      <c r="C567" s="168"/>
      <c r="G567" s="175"/>
      <c r="H567" s="175"/>
      <c r="I567" s="168"/>
      <c r="J567" s="168"/>
    </row>
    <row r="568" spans="1:10" ht="17">
      <c r="A568" s="168"/>
      <c r="B568" s="168"/>
      <c r="C568" s="168"/>
      <c r="G568" s="175"/>
      <c r="H568" s="175"/>
      <c r="I568" s="168"/>
      <c r="J568" s="168"/>
    </row>
    <row r="569" spans="1:10" ht="17">
      <c r="A569" s="168"/>
      <c r="B569" s="168"/>
      <c r="C569" s="168"/>
      <c r="G569" s="175"/>
      <c r="H569" s="175"/>
      <c r="I569" s="168"/>
      <c r="J569" s="168"/>
    </row>
    <row r="570" spans="1:10" ht="17">
      <c r="A570" s="168"/>
      <c r="B570" s="168"/>
      <c r="C570" s="168"/>
      <c r="G570" s="175"/>
      <c r="H570" s="175"/>
      <c r="I570" s="168"/>
      <c r="J570" s="168"/>
    </row>
    <row r="571" spans="1:10" ht="17">
      <c r="A571" s="168"/>
      <c r="B571" s="168"/>
      <c r="C571" s="168"/>
      <c r="G571" s="175"/>
      <c r="H571" s="175"/>
      <c r="I571" s="168"/>
      <c r="J571" s="168"/>
    </row>
    <row r="572" spans="1:10" ht="17">
      <c r="A572" s="168"/>
      <c r="B572" s="168"/>
      <c r="C572" s="168"/>
      <c r="G572" s="175"/>
      <c r="H572" s="175"/>
      <c r="I572" s="168"/>
      <c r="J572" s="168"/>
    </row>
    <row r="573" spans="1:10" ht="17">
      <c r="A573" s="168"/>
      <c r="B573" s="168"/>
      <c r="C573" s="168"/>
      <c r="G573" s="175"/>
      <c r="H573" s="175"/>
      <c r="I573" s="168"/>
      <c r="J573" s="168"/>
    </row>
    <row r="574" spans="1:10" ht="17">
      <c r="A574" s="168"/>
      <c r="B574" s="168"/>
      <c r="C574" s="168"/>
      <c r="G574" s="175"/>
      <c r="H574" s="175"/>
      <c r="I574" s="168"/>
      <c r="J574" s="168"/>
    </row>
    <row r="575" spans="1:10" ht="17">
      <c r="A575" s="168"/>
      <c r="B575" s="168"/>
      <c r="C575" s="168"/>
      <c r="G575" s="175"/>
      <c r="H575" s="175"/>
      <c r="I575" s="168"/>
      <c r="J575" s="168"/>
    </row>
    <row r="576" spans="1:10" ht="17">
      <c r="A576" s="168"/>
      <c r="B576" s="168"/>
      <c r="C576" s="168"/>
      <c r="G576" s="175"/>
      <c r="H576" s="175"/>
      <c r="I576" s="168"/>
      <c r="J576" s="168"/>
    </row>
    <row r="577" spans="1:10" ht="17">
      <c r="A577" s="168"/>
      <c r="B577" s="168"/>
      <c r="C577" s="168"/>
      <c r="G577" s="175"/>
      <c r="H577" s="175"/>
      <c r="I577" s="168"/>
      <c r="J577" s="168"/>
    </row>
    <row r="578" spans="1:10" ht="17">
      <c r="A578" s="168"/>
      <c r="B578" s="168"/>
      <c r="C578" s="168"/>
      <c r="G578" s="175"/>
      <c r="H578" s="175"/>
      <c r="I578" s="168"/>
      <c r="J578" s="168"/>
    </row>
    <row r="579" spans="1:10" ht="17">
      <c r="A579" s="168"/>
      <c r="B579" s="168"/>
      <c r="C579" s="168"/>
      <c r="G579" s="175"/>
      <c r="H579" s="175"/>
      <c r="I579" s="168"/>
      <c r="J579" s="168"/>
    </row>
    <row r="580" spans="1:10" ht="17">
      <c r="A580" s="168"/>
      <c r="B580" s="168"/>
      <c r="C580" s="168"/>
      <c r="G580" s="175"/>
      <c r="H580" s="175"/>
      <c r="I580" s="168"/>
      <c r="J580" s="168"/>
    </row>
    <row r="581" spans="1:10" ht="17">
      <c r="A581" s="168"/>
      <c r="B581" s="168"/>
      <c r="C581" s="168"/>
      <c r="G581" s="175"/>
      <c r="H581" s="175"/>
      <c r="I581" s="168"/>
      <c r="J581" s="168"/>
    </row>
    <row r="582" spans="1:10" ht="17">
      <c r="A582" s="168"/>
      <c r="B582" s="168"/>
      <c r="C582" s="168"/>
      <c r="G582" s="175"/>
      <c r="H582" s="175"/>
      <c r="I582" s="168"/>
      <c r="J582" s="168"/>
    </row>
    <row r="583" spans="1:10" ht="17">
      <c r="A583" s="168"/>
      <c r="B583" s="168"/>
      <c r="C583" s="168"/>
      <c r="G583" s="175"/>
      <c r="H583" s="175"/>
      <c r="I583" s="168"/>
      <c r="J583" s="168"/>
    </row>
    <row r="584" spans="1:10" ht="17">
      <c r="A584" s="168"/>
      <c r="B584" s="168"/>
      <c r="C584" s="168"/>
      <c r="G584" s="175"/>
      <c r="H584" s="175"/>
      <c r="I584" s="168"/>
      <c r="J584" s="168"/>
    </row>
    <row r="585" spans="1:10" ht="17">
      <c r="A585" s="168"/>
      <c r="B585" s="168"/>
      <c r="C585" s="168"/>
      <c r="G585" s="175"/>
      <c r="H585" s="175"/>
      <c r="I585" s="168"/>
      <c r="J585" s="168"/>
    </row>
    <row r="586" spans="1:10" ht="17">
      <c r="A586" s="168"/>
      <c r="B586" s="168"/>
      <c r="C586" s="168"/>
      <c r="G586" s="175"/>
      <c r="H586" s="175"/>
      <c r="I586" s="168"/>
      <c r="J586" s="168"/>
    </row>
    <row r="587" spans="1:10" ht="17">
      <c r="A587" s="168"/>
      <c r="B587" s="168"/>
      <c r="C587" s="168"/>
      <c r="G587" s="175"/>
      <c r="H587" s="175"/>
      <c r="I587" s="168"/>
      <c r="J587" s="168"/>
    </row>
    <row r="588" spans="1:10" ht="17">
      <c r="A588" s="168"/>
      <c r="B588" s="168"/>
      <c r="C588" s="168"/>
      <c r="G588" s="175"/>
      <c r="H588" s="175"/>
      <c r="I588" s="168"/>
      <c r="J588" s="168"/>
    </row>
    <row r="589" spans="1:10" ht="17">
      <c r="A589" s="168"/>
      <c r="B589" s="168"/>
      <c r="C589" s="168"/>
      <c r="G589" s="175"/>
      <c r="H589" s="175"/>
      <c r="I589" s="168"/>
      <c r="J589" s="168"/>
    </row>
    <row r="590" spans="1:10" ht="17">
      <c r="A590" s="168"/>
      <c r="B590" s="168"/>
      <c r="C590" s="168"/>
      <c r="G590" s="175"/>
      <c r="H590" s="175"/>
      <c r="I590" s="168"/>
      <c r="J590" s="168"/>
    </row>
    <row r="591" spans="1:10" ht="17">
      <c r="A591" s="168"/>
      <c r="B591" s="168"/>
      <c r="C591" s="168"/>
      <c r="G591" s="175"/>
      <c r="H591" s="175"/>
      <c r="I591" s="168"/>
      <c r="J591" s="168"/>
    </row>
    <row r="592" spans="1:10" ht="17">
      <c r="A592" s="168"/>
      <c r="B592" s="168"/>
      <c r="C592" s="168"/>
      <c r="G592" s="175"/>
      <c r="H592" s="175"/>
      <c r="I592" s="168"/>
      <c r="J592" s="168"/>
    </row>
    <row r="593" spans="1:10" ht="17">
      <c r="A593" s="168"/>
      <c r="B593" s="168"/>
      <c r="C593" s="168"/>
      <c r="G593" s="175"/>
      <c r="H593" s="175"/>
      <c r="I593" s="168"/>
      <c r="J593" s="168"/>
    </row>
    <row r="594" spans="1:10" ht="17">
      <c r="A594" s="168"/>
      <c r="B594" s="168"/>
      <c r="C594" s="168"/>
      <c r="G594" s="175"/>
      <c r="H594" s="175"/>
      <c r="I594" s="168"/>
      <c r="J594" s="168"/>
    </row>
    <row r="595" spans="1:10" ht="17">
      <c r="A595" s="168"/>
      <c r="B595" s="168"/>
      <c r="C595" s="168"/>
      <c r="G595" s="175"/>
      <c r="H595" s="175"/>
      <c r="I595" s="168"/>
      <c r="J595" s="168"/>
    </row>
    <row r="596" spans="1:10" ht="17">
      <c r="A596" s="168"/>
      <c r="B596" s="168"/>
      <c r="C596" s="168"/>
      <c r="G596" s="175"/>
      <c r="H596" s="175"/>
      <c r="I596" s="168"/>
      <c r="J596" s="168"/>
    </row>
    <row r="597" spans="1:10" ht="17">
      <c r="A597" s="168"/>
      <c r="B597" s="168"/>
      <c r="C597" s="168"/>
      <c r="G597" s="175"/>
      <c r="H597" s="175"/>
      <c r="I597" s="168"/>
      <c r="J597" s="168"/>
    </row>
    <row r="598" spans="1:10" ht="17">
      <c r="A598" s="168"/>
      <c r="B598" s="168"/>
      <c r="C598" s="168"/>
      <c r="G598" s="175"/>
      <c r="H598" s="175"/>
      <c r="I598" s="168"/>
      <c r="J598" s="168"/>
    </row>
    <row r="599" spans="1:10" ht="17">
      <c r="A599" s="168"/>
      <c r="B599" s="168"/>
      <c r="C599" s="168"/>
      <c r="G599" s="175"/>
      <c r="H599" s="175"/>
      <c r="I599" s="168"/>
      <c r="J599" s="168"/>
    </row>
    <row r="600" spans="1:10" ht="17">
      <c r="A600" s="168"/>
      <c r="B600" s="168"/>
      <c r="C600" s="168"/>
      <c r="G600" s="175"/>
      <c r="H600" s="175"/>
      <c r="I600" s="168"/>
      <c r="J600" s="168"/>
    </row>
    <row r="601" spans="1:10" ht="17">
      <c r="A601" s="168"/>
      <c r="B601" s="168"/>
      <c r="C601" s="168"/>
      <c r="G601" s="175"/>
      <c r="H601" s="175"/>
      <c r="I601" s="168"/>
      <c r="J601" s="168"/>
    </row>
    <row r="602" spans="1:10" ht="17">
      <c r="A602" s="168"/>
      <c r="B602" s="168"/>
      <c r="C602" s="168"/>
      <c r="G602" s="175"/>
      <c r="H602" s="175"/>
      <c r="I602" s="168"/>
      <c r="J602" s="168"/>
    </row>
    <row r="603" spans="1:10" ht="17">
      <c r="A603" s="168"/>
      <c r="B603" s="168"/>
      <c r="C603" s="168"/>
      <c r="G603" s="175"/>
      <c r="H603" s="175"/>
      <c r="I603" s="168"/>
      <c r="J603" s="168"/>
    </row>
    <row r="604" spans="1:10" ht="17">
      <c r="A604" s="168"/>
      <c r="B604" s="168"/>
      <c r="C604" s="168"/>
      <c r="G604" s="175"/>
      <c r="H604" s="175"/>
      <c r="I604" s="168"/>
      <c r="J604" s="168"/>
    </row>
    <row r="605" spans="1:10" ht="17">
      <c r="A605" s="168"/>
      <c r="B605" s="168"/>
      <c r="C605" s="168"/>
      <c r="G605" s="175"/>
      <c r="H605" s="175"/>
      <c r="I605" s="168"/>
      <c r="J605" s="168"/>
    </row>
    <row r="606" spans="1:10" ht="17">
      <c r="A606" s="168"/>
      <c r="B606" s="168"/>
      <c r="C606" s="168"/>
      <c r="G606" s="175"/>
      <c r="H606" s="175"/>
      <c r="I606" s="168"/>
      <c r="J606" s="168"/>
    </row>
    <row r="607" spans="1:10" ht="17">
      <c r="A607" s="168"/>
      <c r="B607" s="168"/>
      <c r="C607" s="168"/>
      <c r="G607" s="175"/>
      <c r="H607" s="175"/>
      <c r="I607" s="168"/>
      <c r="J607" s="168"/>
    </row>
    <row r="608" spans="1:10" ht="17">
      <c r="A608" s="168"/>
      <c r="B608" s="168"/>
      <c r="C608" s="168"/>
      <c r="G608" s="175"/>
      <c r="H608" s="175"/>
      <c r="I608" s="168"/>
      <c r="J608" s="168"/>
    </row>
    <row r="609" spans="1:10" ht="17">
      <c r="A609" s="168"/>
      <c r="B609" s="168"/>
      <c r="C609" s="168"/>
      <c r="G609" s="175"/>
      <c r="H609" s="175"/>
      <c r="I609" s="168"/>
      <c r="J609" s="168"/>
    </row>
    <row r="610" spans="1:10" ht="17">
      <c r="A610" s="168"/>
      <c r="B610" s="168"/>
      <c r="C610" s="168"/>
      <c r="G610" s="175"/>
      <c r="H610" s="175"/>
      <c r="I610" s="168"/>
      <c r="J610" s="168"/>
    </row>
    <row r="611" spans="1:10" ht="17">
      <c r="A611" s="168"/>
      <c r="B611" s="168"/>
      <c r="C611" s="168"/>
      <c r="G611" s="175"/>
      <c r="H611" s="175"/>
      <c r="I611" s="168"/>
      <c r="J611" s="168"/>
    </row>
    <row r="612" spans="1:10" ht="17">
      <c r="A612" s="168"/>
      <c r="B612" s="168"/>
      <c r="C612" s="168"/>
      <c r="G612" s="175"/>
      <c r="H612" s="175"/>
      <c r="I612" s="168"/>
      <c r="J612" s="168"/>
    </row>
    <row r="613" spans="1:10" ht="17">
      <c r="A613" s="168"/>
      <c r="B613" s="168"/>
      <c r="C613" s="168"/>
      <c r="G613" s="175"/>
      <c r="H613" s="175"/>
      <c r="I613" s="168"/>
      <c r="J613" s="168"/>
    </row>
    <row r="614" spans="1:10" ht="17">
      <c r="A614" s="168"/>
      <c r="B614" s="168"/>
      <c r="C614" s="168"/>
      <c r="G614" s="175"/>
      <c r="H614" s="175"/>
      <c r="I614" s="168"/>
      <c r="J614" s="168"/>
    </row>
    <row r="615" spans="1:10" ht="17">
      <c r="A615" s="168"/>
      <c r="B615" s="168"/>
      <c r="C615" s="168"/>
      <c r="G615" s="175"/>
      <c r="H615" s="175"/>
      <c r="I615" s="168"/>
      <c r="J615" s="168"/>
    </row>
    <row r="616" spans="1:10" ht="17">
      <c r="A616" s="168"/>
      <c r="B616" s="168"/>
      <c r="C616" s="168"/>
      <c r="G616" s="175"/>
      <c r="H616" s="175"/>
      <c r="I616" s="168"/>
      <c r="J616" s="168"/>
    </row>
    <row r="617" spans="1:10" ht="17">
      <c r="A617" s="168"/>
      <c r="B617" s="168"/>
      <c r="C617" s="168"/>
      <c r="G617" s="175"/>
      <c r="H617" s="175"/>
      <c r="I617" s="168"/>
      <c r="J617" s="168"/>
    </row>
    <row r="618" spans="1:10" ht="17">
      <c r="A618" s="168"/>
      <c r="B618" s="168"/>
      <c r="C618" s="168"/>
      <c r="G618" s="175"/>
      <c r="H618" s="175"/>
      <c r="I618" s="168"/>
      <c r="J618" s="168"/>
    </row>
    <row r="619" spans="1:10" ht="17">
      <c r="A619" s="168"/>
      <c r="B619" s="168"/>
      <c r="C619" s="168"/>
      <c r="G619" s="175"/>
      <c r="H619" s="175"/>
      <c r="I619" s="168"/>
      <c r="J619" s="168"/>
    </row>
    <row r="620" spans="1:10" ht="17">
      <c r="A620" s="168"/>
      <c r="B620" s="168"/>
      <c r="C620" s="168"/>
      <c r="G620" s="175"/>
      <c r="H620" s="175"/>
      <c r="I620" s="168"/>
      <c r="J620" s="168"/>
    </row>
    <row r="621" spans="1:10" ht="17">
      <c r="A621" s="168"/>
      <c r="B621" s="168"/>
      <c r="C621" s="168"/>
      <c r="G621" s="175"/>
      <c r="H621" s="175"/>
      <c r="I621" s="168"/>
      <c r="J621" s="168"/>
    </row>
    <row r="622" spans="1:10" ht="17">
      <c r="A622" s="168"/>
      <c r="B622" s="168"/>
      <c r="C622" s="168"/>
      <c r="G622" s="175"/>
      <c r="H622" s="175"/>
      <c r="I622" s="168"/>
      <c r="J622" s="168"/>
    </row>
    <row r="623" spans="1:10" ht="17">
      <c r="A623" s="168"/>
      <c r="B623" s="168"/>
      <c r="C623" s="168"/>
      <c r="G623" s="175"/>
      <c r="H623" s="175"/>
      <c r="I623" s="168"/>
      <c r="J623" s="168"/>
    </row>
    <row r="624" spans="1:10" ht="17">
      <c r="A624" s="168"/>
      <c r="B624" s="168"/>
      <c r="C624" s="168"/>
      <c r="G624" s="175"/>
      <c r="H624" s="175"/>
      <c r="I624" s="168"/>
      <c r="J624" s="168"/>
    </row>
    <row r="625" spans="1:10" ht="17">
      <c r="A625" s="168"/>
      <c r="B625" s="168"/>
      <c r="C625" s="168"/>
      <c r="G625" s="175"/>
      <c r="H625" s="175"/>
      <c r="I625" s="168"/>
      <c r="J625" s="168"/>
    </row>
    <row r="626" spans="1:10" ht="17">
      <c r="A626" s="168"/>
      <c r="B626" s="168"/>
      <c r="C626" s="168"/>
      <c r="G626" s="175"/>
      <c r="H626" s="175"/>
      <c r="I626" s="168"/>
      <c r="J626" s="168"/>
    </row>
    <row r="627" spans="1:10" ht="17">
      <c r="A627" s="168"/>
      <c r="B627" s="168"/>
      <c r="C627" s="168"/>
      <c r="G627" s="175"/>
      <c r="H627" s="175"/>
      <c r="I627" s="168"/>
      <c r="J627" s="168"/>
    </row>
    <row r="628" spans="1:10" ht="17">
      <c r="A628" s="168"/>
      <c r="B628" s="168"/>
      <c r="C628" s="168"/>
      <c r="G628" s="175"/>
      <c r="H628" s="175"/>
      <c r="I628" s="168"/>
      <c r="J628" s="168"/>
    </row>
    <row r="629" spans="1:10" ht="17">
      <c r="A629" s="168"/>
      <c r="B629" s="168"/>
      <c r="C629" s="168"/>
      <c r="G629" s="175"/>
      <c r="H629" s="175"/>
      <c r="I629" s="168"/>
      <c r="J629" s="168"/>
    </row>
    <row r="630" spans="1:10" ht="17">
      <c r="A630" s="168"/>
      <c r="B630" s="168"/>
      <c r="C630" s="168"/>
      <c r="G630" s="175"/>
      <c r="H630" s="175"/>
      <c r="I630" s="168"/>
      <c r="J630" s="168"/>
    </row>
    <row r="631" spans="1:10" ht="17">
      <c r="A631" s="168"/>
      <c r="B631" s="168"/>
      <c r="C631" s="168"/>
      <c r="G631" s="175"/>
      <c r="H631" s="175"/>
      <c r="I631" s="168"/>
      <c r="J631" s="168"/>
    </row>
    <row r="632" spans="1:10" ht="17">
      <c r="A632" s="168"/>
      <c r="B632" s="168"/>
      <c r="C632" s="168"/>
      <c r="G632" s="175"/>
      <c r="H632" s="175"/>
      <c r="I632" s="168"/>
      <c r="J632" s="168"/>
    </row>
    <row r="633" spans="1:10" ht="17">
      <c r="A633" s="168"/>
      <c r="B633" s="168"/>
      <c r="C633" s="168"/>
      <c r="G633" s="175"/>
      <c r="H633" s="175"/>
      <c r="I633" s="168"/>
      <c r="J633" s="168"/>
    </row>
    <row r="634" spans="1:10" ht="17">
      <c r="A634" s="168"/>
      <c r="B634" s="168"/>
      <c r="C634" s="168"/>
      <c r="G634" s="175"/>
      <c r="H634" s="175"/>
      <c r="I634" s="168"/>
      <c r="J634" s="168"/>
    </row>
    <row r="635" spans="1:10" ht="17">
      <c r="A635" s="168"/>
      <c r="B635" s="168"/>
      <c r="C635" s="168"/>
      <c r="G635" s="175"/>
      <c r="H635" s="175"/>
      <c r="I635" s="168"/>
      <c r="J635" s="168"/>
    </row>
    <row r="636" spans="1:10" ht="17">
      <c r="A636" s="168"/>
      <c r="B636" s="168"/>
      <c r="C636" s="168"/>
      <c r="G636" s="175"/>
      <c r="H636" s="175"/>
      <c r="I636" s="168"/>
      <c r="J636" s="168"/>
    </row>
    <row r="637" spans="1:10" ht="17">
      <c r="A637" s="168"/>
      <c r="B637" s="168"/>
      <c r="C637" s="168"/>
      <c r="G637" s="175"/>
      <c r="H637" s="175"/>
      <c r="I637" s="168"/>
      <c r="J637" s="168"/>
    </row>
    <row r="638" spans="1:10" ht="17">
      <c r="A638" s="168"/>
      <c r="B638" s="168"/>
      <c r="C638" s="168"/>
      <c r="G638" s="175"/>
      <c r="H638" s="175"/>
      <c r="I638" s="168"/>
      <c r="J638" s="168"/>
    </row>
    <row r="639" spans="1:10" ht="17">
      <c r="A639" s="168"/>
      <c r="B639" s="168"/>
      <c r="C639" s="168"/>
      <c r="G639" s="175"/>
      <c r="H639" s="175"/>
      <c r="I639" s="168"/>
      <c r="J639" s="168"/>
    </row>
    <row r="640" spans="1:10" ht="17">
      <c r="A640" s="168"/>
      <c r="B640" s="168"/>
      <c r="C640" s="168"/>
      <c r="G640" s="175"/>
      <c r="H640" s="175"/>
      <c r="I640" s="168"/>
      <c r="J640" s="168"/>
    </row>
    <row r="641" spans="1:10" ht="17">
      <c r="A641" s="168"/>
      <c r="B641" s="168"/>
      <c r="C641" s="168"/>
      <c r="G641" s="175"/>
      <c r="H641" s="175"/>
      <c r="I641" s="168"/>
      <c r="J641" s="168"/>
    </row>
    <row r="642" spans="1:10" ht="17">
      <c r="A642" s="168"/>
      <c r="B642" s="168"/>
      <c r="C642" s="168"/>
      <c r="G642" s="175"/>
      <c r="H642" s="175"/>
      <c r="I642" s="168"/>
      <c r="J642" s="168"/>
    </row>
    <row r="643" spans="1:10" ht="17">
      <c r="A643" s="168"/>
      <c r="B643" s="168"/>
      <c r="C643" s="168"/>
      <c r="G643" s="175"/>
      <c r="H643" s="175"/>
      <c r="I643" s="168"/>
      <c r="J643" s="168"/>
    </row>
    <row r="644" spans="1:10" ht="17">
      <c r="A644" s="168"/>
      <c r="B644" s="168"/>
      <c r="C644" s="168"/>
      <c r="G644" s="175"/>
      <c r="H644" s="175"/>
      <c r="I644" s="168"/>
      <c r="J644" s="168"/>
    </row>
    <row r="645" spans="1:10" ht="17">
      <c r="A645" s="168"/>
      <c r="B645" s="168"/>
      <c r="C645" s="168"/>
      <c r="G645" s="175"/>
      <c r="H645" s="175"/>
      <c r="I645" s="168"/>
      <c r="J645" s="168"/>
    </row>
    <row r="646" spans="1:10" ht="17">
      <c r="A646" s="168"/>
      <c r="B646" s="168"/>
      <c r="C646" s="168"/>
      <c r="G646" s="175"/>
      <c r="H646" s="175"/>
      <c r="I646" s="168"/>
      <c r="J646" s="168"/>
    </row>
    <row r="647" spans="1:10" ht="17">
      <c r="A647" s="168"/>
      <c r="B647" s="168"/>
      <c r="C647" s="168"/>
      <c r="G647" s="175"/>
      <c r="H647" s="175"/>
      <c r="I647" s="168"/>
      <c r="J647" s="168"/>
    </row>
    <row r="648" spans="1:10" ht="17">
      <c r="A648" s="168"/>
      <c r="B648" s="168"/>
      <c r="C648" s="168"/>
      <c r="G648" s="175"/>
      <c r="H648" s="175"/>
      <c r="I648" s="168"/>
      <c r="J648" s="168"/>
    </row>
    <row r="649" spans="1:10" ht="17">
      <c r="A649" s="168"/>
      <c r="B649" s="168"/>
      <c r="C649" s="168"/>
      <c r="G649" s="175"/>
      <c r="H649" s="175"/>
      <c r="I649" s="168"/>
      <c r="J649" s="168"/>
    </row>
    <row r="650" spans="1:10" ht="17">
      <c r="A650" s="168"/>
      <c r="B650" s="168"/>
      <c r="C650" s="168"/>
      <c r="G650" s="175"/>
      <c r="H650" s="175"/>
      <c r="I650" s="168"/>
      <c r="J650" s="168"/>
    </row>
    <row r="651" spans="1:10" ht="17">
      <c r="A651" s="168"/>
      <c r="B651" s="168"/>
      <c r="C651" s="168"/>
      <c r="G651" s="175"/>
      <c r="H651" s="175"/>
      <c r="I651" s="168"/>
      <c r="J651" s="168"/>
    </row>
    <row r="652" spans="1:10" ht="17">
      <c r="A652" s="168"/>
      <c r="B652" s="168"/>
      <c r="C652" s="168"/>
      <c r="G652" s="175"/>
      <c r="H652" s="175"/>
      <c r="I652" s="168"/>
      <c r="J652" s="168"/>
    </row>
    <row r="653" spans="1:10" ht="17">
      <c r="A653" s="168"/>
      <c r="B653" s="168"/>
      <c r="C653" s="168"/>
      <c r="G653" s="175"/>
      <c r="H653" s="175"/>
      <c r="I653" s="168"/>
      <c r="J653" s="168"/>
    </row>
    <row r="654" spans="1:10" ht="17">
      <c r="A654" s="168"/>
      <c r="B654" s="168"/>
      <c r="C654" s="168"/>
      <c r="G654" s="175"/>
      <c r="H654" s="175"/>
      <c r="I654" s="168"/>
      <c r="J654" s="168"/>
    </row>
    <row r="655" spans="1:10" ht="17">
      <c r="A655" s="168"/>
      <c r="B655" s="168"/>
      <c r="C655" s="168"/>
      <c r="G655" s="175"/>
      <c r="H655" s="175"/>
      <c r="I655" s="168"/>
      <c r="J655" s="168"/>
    </row>
    <row r="656" spans="1:10" ht="17">
      <c r="A656" s="168"/>
      <c r="B656" s="168"/>
      <c r="C656" s="168"/>
      <c r="G656" s="175"/>
      <c r="H656" s="175"/>
      <c r="I656" s="168"/>
      <c r="J656" s="168"/>
    </row>
    <row r="657" spans="1:10" ht="17">
      <c r="A657" s="168"/>
      <c r="B657" s="168"/>
      <c r="C657" s="168"/>
      <c r="G657" s="175"/>
      <c r="H657" s="175"/>
      <c r="I657" s="168"/>
      <c r="J657" s="168"/>
    </row>
    <row r="658" spans="1:10" ht="17">
      <c r="A658" s="168"/>
      <c r="B658" s="168"/>
      <c r="C658" s="168"/>
      <c r="G658" s="175"/>
      <c r="H658" s="175"/>
      <c r="I658" s="168"/>
      <c r="J658" s="168"/>
    </row>
    <row r="659" spans="1:10" ht="17">
      <c r="A659" s="168"/>
      <c r="B659" s="168"/>
      <c r="C659" s="168"/>
      <c r="G659" s="175"/>
      <c r="H659" s="175"/>
      <c r="I659" s="168"/>
      <c r="J659" s="168"/>
    </row>
    <row r="660" spans="1:10" ht="17">
      <c r="A660" s="168"/>
      <c r="B660" s="168"/>
      <c r="C660" s="168"/>
      <c r="G660" s="175"/>
      <c r="H660" s="175"/>
      <c r="I660" s="168"/>
      <c r="J660" s="168"/>
    </row>
    <row r="661" spans="1:10" ht="17">
      <c r="A661" s="168"/>
      <c r="B661" s="168"/>
      <c r="C661" s="168"/>
      <c r="G661" s="175"/>
      <c r="H661" s="175"/>
      <c r="I661" s="168"/>
      <c r="J661" s="168"/>
    </row>
    <row r="662" spans="1:10" ht="17">
      <c r="A662" s="168"/>
      <c r="B662" s="168"/>
      <c r="C662" s="168"/>
      <c r="G662" s="175"/>
      <c r="H662" s="175"/>
      <c r="I662" s="168"/>
      <c r="J662" s="168"/>
    </row>
    <row r="663" spans="1:10" ht="17">
      <c r="A663" s="168"/>
      <c r="B663" s="168"/>
      <c r="C663" s="168"/>
      <c r="G663" s="175"/>
      <c r="H663" s="175"/>
      <c r="I663" s="168"/>
      <c r="J663" s="168"/>
    </row>
    <row r="664" spans="1:10" ht="17">
      <c r="A664" s="168"/>
      <c r="B664" s="168"/>
      <c r="C664" s="168"/>
      <c r="G664" s="175"/>
      <c r="H664" s="175"/>
      <c r="I664" s="168"/>
      <c r="J664" s="168"/>
    </row>
    <row r="665" spans="1:10" ht="17">
      <c r="A665" s="168"/>
      <c r="B665" s="168"/>
      <c r="C665" s="168"/>
      <c r="G665" s="175"/>
      <c r="H665" s="175"/>
      <c r="I665" s="168"/>
      <c r="J665" s="168"/>
    </row>
    <row r="666" spans="1:10" ht="17">
      <c r="A666" s="168"/>
      <c r="B666" s="168"/>
      <c r="C666" s="168"/>
      <c r="G666" s="175"/>
      <c r="H666" s="175"/>
      <c r="I666" s="168"/>
      <c r="J666" s="168"/>
    </row>
    <row r="667" spans="1:10" ht="17">
      <c r="A667" s="168"/>
      <c r="B667" s="168"/>
      <c r="C667" s="168"/>
      <c r="G667" s="175"/>
      <c r="H667" s="175"/>
      <c r="I667" s="168"/>
      <c r="J667" s="168"/>
    </row>
    <row r="668" spans="1:10" ht="17">
      <c r="A668" s="168"/>
      <c r="B668" s="168"/>
      <c r="C668" s="168"/>
      <c r="G668" s="175"/>
      <c r="H668" s="175"/>
      <c r="I668" s="168"/>
      <c r="J668" s="168"/>
    </row>
    <row r="669" spans="1:10" ht="17">
      <c r="A669" s="168"/>
      <c r="B669" s="168"/>
      <c r="C669" s="168"/>
      <c r="G669" s="175"/>
      <c r="H669" s="175"/>
      <c r="I669" s="168"/>
      <c r="J669" s="168"/>
    </row>
    <row r="670" spans="1:10" ht="17">
      <c r="A670" s="168"/>
      <c r="B670" s="168"/>
      <c r="C670" s="168"/>
      <c r="G670" s="175"/>
      <c r="H670" s="175"/>
      <c r="I670" s="168"/>
      <c r="J670" s="168"/>
    </row>
    <row r="671" spans="1:10" ht="17">
      <c r="A671" s="168"/>
      <c r="B671" s="168"/>
      <c r="C671" s="168"/>
      <c r="G671" s="175"/>
      <c r="H671" s="175"/>
      <c r="I671" s="168"/>
      <c r="J671" s="168"/>
    </row>
    <row r="672" spans="1:10" ht="17">
      <c r="A672" s="168"/>
      <c r="B672" s="168"/>
      <c r="C672" s="168"/>
      <c r="G672" s="175"/>
      <c r="H672" s="175"/>
      <c r="I672" s="168"/>
      <c r="J672" s="168"/>
    </row>
    <row r="673" spans="1:10" ht="17">
      <c r="A673" s="168"/>
      <c r="B673" s="168"/>
      <c r="C673" s="168"/>
      <c r="G673" s="175"/>
      <c r="H673" s="175"/>
      <c r="I673" s="168"/>
      <c r="J673" s="168"/>
    </row>
    <row r="674" spans="1:10" ht="17">
      <c r="A674" s="168"/>
      <c r="B674" s="168"/>
      <c r="C674" s="168"/>
      <c r="G674" s="175"/>
      <c r="H674" s="175"/>
      <c r="I674" s="168"/>
      <c r="J674" s="168"/>
    </row>
    <row r="675" spans="1:10" ht="17">
      <c r="A675" s="168"/>
      <c r="B675" s="168"/>
      <c r="C675" s="168"/>
      <c r="G675" s="175"/>
      <c r="H675" s="175"/>
      <c r="I675" s="168"/>
      <c r="J675" s="168"/>
    </row>
    <row r="676" spans="1:10" ht="17">
      <c r="A676" s="168"/>
      <c r="B676" s="168"/>
      <c r="C676" s="168"/>
      <c r="G676" s="175"/>
      <c r="H676" s="175"/>
      <c r="I676" s="168"/>
      <c r="J676" s="168"/>
    </row>
    <row r="677" spans="1:10" ht="17">
      <c r="A677" s="168"/>
      <c r="B677" s="168"/>
      <c r="C677" s="168"/>
      <c r="G677" s="175"/>
      <c r="H677" s="175"/>
      <c r="I677" s="168"/>
      <c r="J677" s="168"/>
    </row>
    <row r="678" spans="1:10" ht="17">
      <c r="A678" s="168"/>
      <c r="B678" s="168"/>
      <c r="C678" s="168"/>
      <c r="G678" s="175"/>
      <c r="H678" s="175"/>
      <c r="I678" s="168"/>
      <c r="J678" s="168"/>
    </row>
    <row r="679" spans="1:10" ht="17">
      <c r="A679" s="168"/>
      <c r="B679" s="168"/>
      <c r="C679" s="168"/>
      <c r="G679" s="175"/>
      <c r="H679" s="175"/>
      <c r="I679" s="168"/>
      <c r="J679" s="168"/>
    </row>
    <row r="680" spans="1:10" ht="17">
      <c r="A680" s="168"/>
      <c r="B680" s="168"/>
      <c r="C680" s="168"/>
      <c r="G680" s="175"/>
      <c r="H680" s="175"/>
      <c r="I680" s="168"/>
      <c r="J680" s="168"/>
    </row>
    <row r="681" spans="1:10" ht="17">
      <c r="A681" s="168"/>
      <c r="B681" s="168"/>
      <c r="C681" s="168"/>
      <c r="G681" s="175"/>
      <c r="H681" s="175"/>
      <c r="I681" s="168"/>
      <c r="J681" s="168"/>
    </row>
    <row r="682" spans="1:10" ht="17">
      <c r="A682" s="168"/>
      <c r="B682" s="168"/>
      <c r="C682" s="168"/>
      <c r="G682" s="175"/>
      <c r="H682" s="175"/>
      <c r="I682" s="168"/>
      <c r="J682" s="168"/>
    </row>
    <row r="683" spans="1:10" ht="17">
      <c r="A683" s="168"/>
      <c r="B683" s="168"/>
      <c r="C683" s="168"/>
      <c r="G683" s="175"/>
      <c r="H683" s="175"/>
      <c r="I683" s="168"/>
      <c r="J683" s="168"/>
    </row>
    <row r="684" spans="1:10" ht="17">
      <c r="A684" s="168"/>
      <c r="B684" s="168"/>
      <c r="C684" s="168"/>
      <c r="G684" s="175"/>
      <c r="H684" s="175"/>
      <c r="I684" s="168"/>
      <c r="J684" s="168"/>
    </row>
    <row r="685" spans="1:10" ht="17">
      <c r="A685" s="168"/>
      <c r="B685" s="168"/>
      <c r="C685" s="168"/>
      <c r="G685" s="175"/>
      <c r="H685" s="175"/>
      <c r="I685" s="168"/>
      <c r="J685" s="168"/>
    </row>
    <row r="686" spans="1:10" ht="17">
      <c r="A686" s="168"/>
      <c r="B686" s="168"/>
      <c r="C686" s="168"/>
      <c r="G686" s="175"/>
      <c r="H686" s="175"/>
      <c r="I686" s="168"/>
      <c r="J686" s="168"/>
    </row>
    <row r="687" spans="1:10" ht="17">
      <c r="A687" s="168"/>
      <c r="B687" s="168"/>
      <c r="C687" s="168"/>
      <c r="G687" s="175"/>
      <c r="H687" s="175"/>
      <c r="I687" s="168"/>
      <c r="J687" s="168"/>
    </row>
    <row r="688" spans="1:10" ht="17">
      <c r="A688" s="168"/>
      <c r="B688" s="168"/>
      <c r="C688" s="168"/>
      <c r="G688" s="175"/>
      <c r="H688" s="175"/>
      <c r="I688" s="168"/>
      <c r="J688" s="168"/>
    </row>
    <row r="689" spans="1:10" ht="17">
      <c r="A689" s="168"/>
      <c r="B689" s="168"/>
      <c r="C689" s="168"/>
      <c r="G689" s="175"/>
      <c r="H689" s="175"/>
      <c r="I689" s="168"/>
      <c r="J689" s="168"/>
    </row>
    <row r="690" spans="1:10" ht="17">
      <c r="A690" s="168"/>
      <c r="B690" s="168"/>
      <c r="C690" s="168"/>
      <c r="G690" s="175"/>
      <c r="H690" s="175"/>
      <c r="I690" s="168"/>
      <c r="J690" s="168"/>
    </row>
    <row r="691" spans="1:10" ht="17">
      <c r="A691" s="168"/>
      <c r="B691" s="168"/>
      <c r="C691" s="168"/>
      <c r="G691" s="175"/>
      <c r="H691" s="175"/>
      <c r="I691" s="168"/>
      <c r="J691" s="168"/>
    </row>
    <row r="692" spans="1:10" ht="17">
      <c r="A692" s="168"/>
      <c r="B692" s="168"/>
      <c r="C692" s="168"/>
      <c r="G692" s="175"/>
      <c r="H692" s="175"/>
      <c r="I692" s="168"/>
      <c r="J692" s="168"/>
    </row>
    <row r="693" spans="1:10" ht="17">
      <c r="A693" s="168"/>
      <c r="B693" s="168"/>
      <c r="C693" s="168"/>
      <c r="G693" s="175"/>
      <c r="H693" s="175"/>
      <c r="I693" s="168"/>
      <c r="J693" s="168"/>
    </row>
    <row r="694" spans="1:10" ht="17">
      <c r="A694" s="168"/>
      <c r="B694" s="168"/>
      <c r="C694" s="168"/>
      <c r="G694" s="175"/>
      <c r="H694" s="175"/>
      <c r="I694" s="168"/>
      <c r="J694" s="168"/>
    </row>
    <row r="695" spans="1:10" ht="17">
      <c r="A695" s="168"/>
      <c r="B695" s="168"/>
      <c r="C695" s="168"/>
      <c r="G695" s="175"/>
      <c r="H695" s="175"/>
      <c r="I695" s="168"/>
      <c r="J695" s="168"/>
    </row>
    <row r="696" spans="1:10" ht="17">
      <c r="A696" s="168"/>
      <c r="B696" s="168"/>
      <c r="C696" s="168"/>
      <c r="G696" s="175"/>
      <c r="H696" s="175"/>
      <c r="I696" s="168"/>
      <c r="J696" s="168"/>
    </row>
    <row r="697" spans="1:10" ht="17">
      <c r="A697" s="168"/>
      <c r="B697" s="168"/>
      <c r="C697" s="168"/>
      <c r="G697" s="175"/>
      <c r="H697" s="175"/>
      <c r="I697" s="168"/>
      <c r="J697" s="168"/>
    </row>
    <row r="698" spans="1:10" ht="17">
      <c r="A698" s="168"/>
      <c r="B698" s="168"/>
      <c r="C698" s="168"/>
      <c r="G698" s="175"/>
      <c r="H698" s="175"/>
      <c r="I698" s="168"/>
      <c r="J698" s="168"/>
    </row>
    <row r="699" spans="1:10" ht="17">
      <c r="A699" s="168"/>
      <c r="B699" s="168"/>
      <c r="C699" s="168"/>
      <c r="G699" s="175"/>
      <c r="H699" s="175"/>
      <c r="I699" s="168"/>
      <c r="J699" s="168"/>
    </row>
    <row r="700" spans="1:10" ht="17">
      <c r="A700" s="168"/>
      <c r="B700" s="168"/>
      <c r="C700" s="168"/>
      <c r="G700" s="175"/>
      <c r="H700" s="175"/>
      <c r="I700" s="168"/>
      <c r="J700" s="168"/>
    </row>
    <row r="701" spans="1:10" ht="17">
      <c r="A701" s="168"/>
      <c r="B701" s="168"/>
      <c r="C701" s="168"/>
      <c r="G701" s="175"/>
      <c r="H701" s="175"/>
      <c r="I701" s="168"/>
      <c r="J701" s="168"/>
    </row>
    <row r="702" spans="1:10" ht="17">
      <c r="A702" s="168"/>
      <c r="B702" s="168"/>
      <c r="C702" s="168"/>
      <c r="G702" s="175"/>
      <c r="H702" s="175"/>
      <c r="I702" s="168"/>
      <c r="J702" s="168"/>
    </row>
    <row r="703" spans="1:10" ht="17">
      <c r="A703" s="168"/>
      <c r="B703" s="168"/>
      <c r="C703" s="168"/>
      <c r="G703" s="175"/>
      <c r="H703" s="175"/>
      <c r="I703" s="168"/>
      <c r="J703" s="168"/>
    </row>
    <row r="704" spans="1:10" ht="17">
      <c r="A704" s="168"/>
      <c r="B704" s="168"/>
      <c r="C704" s="168"/>
      <c r="G704" s="175"/>
      <c r="H704" s="175"/>
      <c r="I704" s="168"/>
      <c r="J704" s="168"/>
    </row>
    <row r="705" spans="1:10" ht="17">
      <c r="A705" s="168"/>
      <c r="B705" s="168"/>
      <c r="C705" s="168"/>
      <c r="G705" s="175"/>
      <c r="H705" s="175"/>
      <c r="I705" s="168"/>
      <c r="J705" s="168"/>
    </row>
    <row r="706" spans="1:10" ht="17">
      <c r="A706" s="168"/>
      <c r="B706" s="168"/>
      <c r="C706" s="168"/>
      <c r="G706" s="175"/>
      <c r="H706" s="175"/>
      <c r="I706" s="168"/>
      <c r="J706" s="168"/>
    </row>
    <row r="707" spans="1:10" ht="17">
      <c r="A707" s="168"/>
      <c r="B707" s="168"/>
      <c r="C707" s="168"/>
      <c r="G707" s="175"/>
      <c r="H707" s="175"/>
      <c r="I707" s="168"/>
      <c r="J707" s="168"/>
    </row>
    <row r="708" spans="1:10" ht="17">
      <c r="A708" s="168"/>
      <c r="B708" s="168"/>
      <c r="C708" s="168"/>
      <c r="G708" s="175"/>
      <c r="H708" s="175"/>
      <c r="I708" s="168"/>
      <c r="J708" s="168"/>
    </row>
    <row r="709" spans="1:10" ht="17">
      <c r="A709" s="168"/>
      <c r="B709" s="168"/>
      <c r="C709" s="168"/>
      <c r="G709" s="175"/>
      <c r="H709" s="175"/>
      <c r="I709" s="168"/>
      <c r="J709" s="168"/>
    </row>
    <row r="710" spans="1:10" ht="17">
      <c r="A710" s="168"/>
      <c r="B710" s="168"/>
      <c r="C710" s="168"/>
      <c r="G710" s="175"/>
      <c r="H710" s="175"/>
      <c r="I710" s="168"/>
      <c r="J710" s="168"/>
    </row>
    <row r="711" spans="1:10" ht="17">
      <c r="A711" s="168"/>
      <c r="B711" s="168"/>
      <c r="C711" s="168"/>
      <c r="G711" s="175"/>
      <c r="H711" s="175"/>
      <c r="I711" s="168"/>
      <c r="J711" s="168"/>
    </row>
    <row r="712" spans="1:10" ht="17">
      <c r="A712" s="168"/>
      <c r="B712" s="168"/>
      <c r="C712" s="168"/>
      <c r="G712" s="175"/>
      <c r="H712" s="175"/>
      <c r="I712" s="168"/>
      <c r="J712" s="168"/>
    </row>
    <row r="713" spans="1:10" ht="17">
      <c r="A713" s="168"/>
      <c r="B713" s="168"/>
      <c r="C713" s="168"/>
      <c r="G713" s="175"/>
      <c r="H713" s="175"/>
      <c r="I713" s="168"/>
      <c r="J713" s="168"/>
    </row>
    <row r="714" spans="1:10" ht="17">
      <c r="A714" s="168"/>
      <c r="B714" s="168"/>
      <c r="C714" s="168"/>
      <c r="G714" s="175"/>
      <c r="H714" s="175"/>
      <c r="I714" s="168"/>
      <c r="J714" s="168"/>
    </row>
    <row r="715" spans="1:10" ht="17">
      <c r="A715" s="168"/>
      <c r="B715" s="168"/>
      <c r="C715" s="168"/>
      <c r="G715" s="175"/>
      <c r="H715" s="175"/>
      <c r="I715" s="168"/>
      <c r="J715" s="168"/>
    </row>
    <row r="716" spans="1:10" ht="17">
      <c r="A716" s="168"/>
      <c r="B716" s="168"/>
      <c r="C716" s="168"/>
      <c r="G716" s="175"/>
      <c r="H716" s="175"/>
      <c r="I716" s="168"/>
      <c r="J716" s="168"/>
    </row>
    <row r="717" spans="1:10" ht="17">
      <c r="A717" s="168"/>
      <c r="B717" s="168"/>
      <c r="C717" s="168"/>
      <c r="G717" s="175"/>
      <c r="H717" s="175"/>
      <c r="I717" s="168"/>
      <c r="J717" s="168"/>
    </row>
    <row r="718" spans="1:10" ht="17">
      <c r="A718" s="168"/>
      <c r="B718" s="168"/>
      <c r="C718" s="168"/>
      <c r="G718" s="175"/>
      <c r="H718" s="175"/>
      <c r="I718" s="168"/>
      <c r="J718" s="168"/>
    </row>
    <row r="719" spans="1:10" ht="17">
      <c r="A719" s="168"/>
      <c r="B719" s="168"/>
      <c r="C719" s="168"/>
      <c r="G719" s="175"/>
      <c r="H719" s="175"/>
      <c r="I719" s="168"/>
      <c r="J719" s="168"/>
    </row>
    <row r="720" spans="1:10" ht="17">
      <c r="A720" s="168"/>
      <c r="B720" s="168"/>
      <c r="C720" s="168"/>
      <c r="G720" s="175"/>
      <c r="H720" s="175"/>
      <c r="I720" s="168"/>
      <c r="J720" s="168"/>
    </row>
    <row r="721" spans="1:10" ht="17">
      <c r="A721" s="168"/>
      <c r="B721" s="168"/>
      <c r="C721" s="168"/>
      <c r="G721" s="175"/>
      <c r="H721" s="175"/>
      <c r="I721" s="168"/>
      <c r="J721" s="168"/>
    </row>
    <row r="722" spans="1:10" ht="17">
      <c r="A722" s="168"/>
      <c r="B722" s="168"/>
      <c r="C722" s="168"/>
      <c r="G722" s="175"/>
      <c r="H722" s="175"/>
      <c r="I722" s="168"/>
      <c r="J722" s="168"/>
    </row>
    <row r="723" spans="1:10" ht="17">
      <c r="A723" s="168"/>
      <c r="B723" s="168"/>
      <c r="C723" s="168"/>
      <c r="G723" s="175"/>
      <c r="H723" s="175"/>
      <c r="I723" s="168"/>
      <c r="J723" s="168"/>
    </row>
    <row r="724" spans="1:10" ht="17">
      <c r="A724" s="168"/>
      <c r="B724" s="168"/>
      <c r="C724" s="168"/>
      <c r="G724" s="175"/>
      <c r="H724" s="175"/>
      <c r="I724" s="168"/>
      <c r="J724" s="168"/>
    </row>
    <row r="725" spans="1:10" ht="17">
      <c r="A725" s="168"/>
      <c r="B725" s="168"/>
      <c r="C725" s="168"/>
      <c r="G725" s="175"/>
      <c r="H725" s="175"/>
      <c r="I725" s="168"/>
      <c r="J725" s="168"/>
    </row>
    <row r="726" spans="1:10" ht="17">
      <c r="A726" s="168"/>
      <c r="B726" s="168"/>
      <c r="C726" s="168"/>
      <c r="G726" s="175"/>
      <c r="H726" s="175"/>
      <c r="I726" s="168"/>
      <c r="J726" s="168"/>
    </row>
    <row r="727" spans="1:10" ht="17">
      <c r="A727" s="168"/>
      <c r="B727" s="168"/>
      <c r="C727" s="168"/>
      <c r="G727" s="175"/>
      <c r="H727" s="175"/>
      <c r="I727" s="168"/>
      <c r="J727" s="168"/>
    </row>
    <row r="728" spans="1:10" ht="17">
      <c r="A728" s="168"/>
      <c r="B728" s="168"/>
      <c r="C728" s="168"/>
      <c r="G728" s="175"/>
      <c r="H728" s="175"/>
      <c r="I728" s="168"/>
      <c r="J728" s="168"/>
    </row>
    <row r="729" spans="1:10" ht="17">
      <c r="A729" s="168"/>
      <c r="B729" s="168"/>
      <c r="C729" s="168"/>
      <c r="G729" s="175"/>
      <c r="H729" s="175"/>
      <c r="I729" s="168"/>
      <c r="J729" s="168"/>
    </row>
    <row r="730" spans="1:10" ht="17">
      <c r="A730" s="168"/>
      <c r="B730" s="168"/>
      <c r="C730" s="168"/>
      <c r="G730" s="175"/>
      <c r="H730" s="175"/>
      <c r="I730" s="168"/>
      <c r="J730" s="168"/>
    </row>
    <row r="731" spans="1:10" ht="17">
      <c r="A731" s="168"/>
      <c r="B731" s="168"/>
      <c r="C731" s="168"/>
      <c r="G731" s="175"/>
      <c r="H731" s="175"/>
      <c r="I731" s="168"/>
      <c r="J731" s="168"/>
    </row>
    <row r="732" spans="1:10" ht="17">
      <c r="A732" s="168"/>
      <c r="B732" s="168"/>
      <c r="C732" s="168"/>
      <c r="G732" s="175"/>
      <c r="H732" s="175"/>
      <c r="I732" s="168"/>
      <c r="J732" s="168"/>
    </row>
    <row r="733" spans="1:10" ht="17">
      <c r="A733" s="168"/>
      <c r="B733" s="168"/>
      <c r="C733" s="168"/>
      <c r="G733" s="175"/>
      <c r="H733" s="175"/>
      <c r="I733" s="168"/>
      <c r="J733" s="168"/>
    </row>
    <row r="734" spans="1:10" ht="17">
      <c r="A734" s="168"/>
      <c r="B734" s="168"/>
      <c r="C734" s="168"/>
      <c r="G734" s="175"/>
      <c r="H734" s="175"/>
      <c r="I734" s="168"/>
      <c r="J734" s="168"/>
    </row>
    <row r="735" spans="1:10" ht="17">
      <c r="A735" s="168"/>
      <c r="B735" s="168"/>
      <c r="C735" s="168"/>
      <c r="G735" s="175"/>
      <c r="H735" s="175"/>
      <c r="I735" s="168"/>
      <c r="J735" s="168"/>
    </row>
    <row r="736" spans="1:10" ht="17">
      <c r="A736" s="168"/>
      <c r="B736" s="168"/>
      <c r="C736" s="168"/>
      <c r="G736" s="175"/>
      <c r="H736" s="175"/>
      <c r="I736" s="168"/>
      <c r="J736" s="168"/>
    </row>
    <row r="737" spans="1:10" ht="17">
      <c r="A737" s="168"/>
      <c r="B737" s="168"/>
      <c r="C737" s="168"/>
      <c r="G737" s="175"/>
      <c r="H737" s="175"/>
      <c r="I737" s="168"/>
      <c r="J737" s="168"/>
    </row>
    <row r="738" spans="1:10" ht="17">
      <c r="A738" s="168"/>
      <c r="B738" s="168"/>
      <c r="C738" s="168"/>
      <c r="G738" s="175"/>
      <c r="H738" s="175"/>
      <c r="I738" s="168"/>
      <c r="J738" s="168"/>
    </row>
    <row r="739" spans="1:10" ht="17">
      <c r="A739" s="168"/>
      <c r="B739" s="168"/>
      <c r="C739" s="168"/>
      <c r="G739" s="175"/>
      <c r="H739" s="175"/>
      <c r="I739" s="168"/>
      <c r="J739" s="168"/>
    </row>
    <row r="740" spans="1:10" ht="17">
      <c r="A740" s="168"/>
      <c r="B740" s="168"/>
      <c r="C740" s="168"/>
      <c r="G740" s="175"/>
      <c r="H740" s="175"/>
      <c r="I740" s="168"/>
      <c r="J740" s="168"/>
    </row>
    <row r="741" spans="1:10" ht="17">
      <c r="A741" s="168"/>
      <c r="B741" s="168"/>
      <c r="C741" s="168"/>
      <c r="G741" s="175"/>
      <c r="H741" s="175"/>
      <c r="I741" s="168"/>
      <c r="J741" s="168"/>
    </row>
    <row r="742" spans="1:10" ht="17">
      <c r="A742" s="168"/>
      <c r="B742" s="168"/>
      <c r="C742" s="168"/>
      <c r="G742" s="175"/>
      <c r="H742" s="175"/>
      <c r="I742" s="168"/>
      <c r="J742" s="168"/>
    </row>
    <row r="743" spans="1:10" ht="17">
      <c r="A743" s="168"/>
      <c r="B743" s="168"/>
      <c r="C743" s="168"/>
      <c r="G743" s="175"/>
      <c r="H743" s="175"/>
      <c r="I743" s="168"/>
      <c r="J743" s="168"/>
    </row>
    <row r="744" spans="1:10" ht="17">
      <c r="A744" s="168"/>
      <c r="B744" s="168"/>
      <c r="C744" s="168"/>
      <c r="G744" s="175"/>
      <c r="H744" s="175"/>
      <c r="I744" s="168"/>
      <c r="J744" s="168"/>
    </row>
    <row r="745" spans="1:10" ht="17">
      <c r="A745" s="168"/>
      <c r="B745" s="168"/>
      <c r="C745" s="168"/>
      <c r="G745" s="175"/>
      <c r="H745" s="175"/>
      <c r="I745" s="168"/>
      <c r="J745" s="168"/>
    </row>
    <row r="746" spans="1:10" ht="17">
      <c r="A746" s="168"/>
      <c r="B746" s="168"/>
      <c r="C746" s="168"/>
      <c r="G746" s="175"/>
      <c r="H746" s="175"/>
      <c r="I746" s="168"/>
      <c r="J746" s="168"/>
    </row>
    <row r="747" spans="1:10" ht="17">
      <c r="A747" s="168"/>
      <c r="B747" s="168"/>
      <c r="C747" s="168"/>
      <c r="G747" s="175"/>
      <c r="H747" s="175"/>
      <c r="I747" s="168"/>
      <c r="J747" s="168"/>
    </row>
    <row r="748" spans="1:10" ht="17">
      <c r="A748" s="168"/>
      <c r="B748" s="168"/>
      <c r="C748" s="168"/>
      <c r="G748" s="175"/>
      <c r="H748" s="175"/>
      <c r="I748" s="168"/>
      <c r="J748" s="168"/>
    </row>
    <row r="749" spans="1:10" ht="17">
      <c r="A749" s="168"/>
      <c r="B749" s="168"/>
      <c r="C749" s="168"/>
      <c r="G749" s="175"/>
      <c r="H749" s="175"/>
      <c r="I749" s="168"/>
      <c r="J749" s="168"/>
    </row>
    <row r="750" spans="1:10" ht="17">
      <c r="A750" s="168"/>
      <c r="B750" s="168"/>
      <c r="C750" s="168"/>
      <c r="G750" s="175"/>
      <c r="H750" s="175"/>
      <c r="I750" s="168"/>
      <c r="J750" s="168"/>
    </row>
    <row r="751" spans="1:10" ht="17">
      <c r="A751" s="168"/>
      <c r="B751" s="168"/>
      <c r="C751" s="168"/>
      <c r="G751" s="175"/>
      <c r="H751" s="175"/>
      <c r="I751" s="168"/>
      <c r="J751" s="168"/>
    </row>
    <row r="752" spans="1:10" ht="17">
      <c r="A752" s="168"/>
      <c r="B752" s="168"/>
      <c r="C752" s="168"/>
      <c r="G752" s="175"/>
      <c r="H752" s="175"/>
      <c r="I752" s="168"/>
      <c r="J752" s="168"/>
    </row>
    <row r="753" spans="1:10" ht="17">
      <c r="A753" s="168"/>
      <c r="B753" s="168"/>
      <c r="C753" s="168"/>
      <c r="G753" s="175"/>
      <c r="H753" s="175"/>
      <c r="I753" s="168"/>
      <c r="J753" s="168"/>
    </row>
    <row r="754" spans="1:10" ht="17">
      <c r="A754" s="168"/>
      <c r="B754" s="168"/>
      <c r="C754" s="168"/>
      <c r="G754" s="175"/>
      <c r="H754" s="175"/>
      <c r="I754" s="168"/>
      <c r="J754" s="168"/>
    </row>
    <row r="755" spans="1:10" ht="17">
      <c r="A755" s="168"/>
      <c r="B755" s="168"/>
      <c r="C755" s="168"/>
      <c r="G755" s="175"/>
      <c r="H755" s="175"/>
      <c r="I755" s="168"/>
      <c r="J755" s="168"/>
    </row>
    <row r="756" spans="1:10" ht="17">
      <c r="A756" s="168"/>
      <c r="B756" s="168"/>
      <c r="C756" s="168"/>
      <c r="G756" s="175"/>
      <c r="H756" s="175"/>
      <c r="I756" s="168"/>
      <c r="J756" s="168"/>
    </row>
    <row r="757" spans="1:10" ht="17">
      <c r="A757" s="168"/>
      <c r="B757" s="168"/>
      <c r="C757" s="168"/>
      <c r="G757" s="175"/>
      <c r="H757" s="175"/>
      <c r="I757" s="168"/>
      <c r="J757" s="168"/>
    </row>
    <row r="758" spans="1:10" ht="17">
      <c r="A758" s="168"/>
      <c r="B758" s="168"/>
      <c r="C758" s="168"/>
      <c r="G758" s="175"/>
      <c r="H758" s="175"/>
      <c r="I758" s="168"/>
      <c r="J758" s="168"/>
    </row>
    <row r="759" spans="1:10" ht="17">
      <c r="A759" s="168"/>
      <c r="B759" s="168"/>
      <c r="C759" s="168"/>
      <c r="G759" s="175"/>
      <c r="H759" s="175"/>
      <c r="I759" s="168"/>
      <c r="J759" s="168"/>
    </row>
    <row r="760" spans="1:10" ht="17">
      <c r="A760" s="168"/>
      <c r="B760" s="168"/>
      <c r="C760" s="168"/>
      <c r="G760" s="175"/>
      <c r="H760" s="175"/>
      <c r="I760" s="168"/>
      <c r="J760" s="168"/>
    </row>
    <row r="761" spans="1:10" ht="17">
      <c r="A761" s="168"/>
      <c r="B761" s="168"/>
      <c r="C761" s="168"/>
      <c r="G761" s="175"/>
      <c r="H761" s="175"/>
      <c r="I761" s="168"/>
      <c r="J761" s="168"/>
    </row>
    <row r="762" spans="1:10" ht="17">
      <c r="A762" s="168"/>
      <c r="B762" s="168"/>
      <c r="C762" s="168"/>
      <c r="G762" s="175"/>
      <c r="H762" s="175"/>
      <c r="I762" s="168"/>
      <c r="J762" s="168"/>
    </row>
    <row r="763" spans="1:10" ht="17">
      <c r="A763" s="168"/>
      <c r="B763" s="168"/>
      <c r="C763" s="168"/>
      <c r="G763" s="175"/>
      <c r="H763" s="175"/>
      <c r="I763" s="168"/>
      <c r="J763" s="168"/>
    </row>
    <row r="764" spans="1:10" ht="17">
      <c r="A764" s="168"/>
      <c r="B764" s="168"/>
      <c r="C764" s="168"/>
      <c r="G764" s="175"/>
      <c r="H764" s="175"/>
      <c r="I764" s="168"/>
      <c r="J764" s="168"/>
    </row>
    <row r="765" spans="1:10" ht="17">
      <c r="A765" s="168"/>
      <c r="B765" s="168"/>
      <c r="C765" s="168"/>
      <c r="G765" s="175"/>
      <c r="H765" s="175"/>
      <c r="I765" s="168"/>
      <c r="J765" s="168"/>
    </row>
    <row r="766" spans="1:10" ht="17">
      <c r="A766" s="168"/>
      <c r="B766" s="168"/>
      <c r="C766" s="168"/>
      <c r="G766" s="175"/>
      <c r="H766" s="175"/>
      <c r="I766" s="168"/>
      <c r="J766" s="168"/>
    </row>
    <row r="767" spans="1:10" ht="17">
      <c r="A767" s="168"/>
      <c r="B767" s="168"/>
      <c r="C767" s="168"/>
      <c r="G767" s="175"/>
      <c r="H767" s="175"/>
      <c r="I767" s="168"/>
      <c r="J767" s="168"/>
    </row>
    <row r="768" spans="1:10" ht="17">
      <c r="A768" s="168"/>
      <c r="B768" s="168"/>
      <c r="C768" s="168"/>
      <c r="G768" s="175"/>
      <c r="H768" s="175"/>
      <c r="I768" s="168"/>
      <c r="J768" s="168"/>
    </row>
    <row r="769" spans="1:10" ht="17">
      <c r="A769" s="168"/>
      <c r="B769" s="168"/>
      <c r="C769" s="168"/>
      <c r="G769" s="175"/>
      <c r="H769" s="175"/>
      <c r="I769" s="168"/>
      <c r="J769" s="168"/>
    </row>
    <row r="770" spans="1:10" ht="17">
      <c r="A770" s="168"/>
      <c r="B770" s="168"/>
      <c r="C770" s="168"/>
      <c r="G770" s="175"/>
      <c r="H770" s="175"/>
      <c r="I770" s="168"/>
      <c r="J770" s="168"/>
    </row>
    <row r="771" spans="1:10" ht="17">
      <c r="A771" s="168"/>
      <c r="B771" s="168"/>
      <c r="C771" s="168"/>
      <c r="G771" s="175"/>
      <c r="H771" s="175"/>
      <c r="I771" s="168"/>
      <c r="J771" s="168"/>
    </row>
    <row r="772" spans="1:10" ht="17">
      <c r="A772" s="168"/>
      <c r="B772" s="168"/>
      <c r="C772" s="168"/>
      <c r="G772" s="175"/>
      <c r="H772" s="175"/>
      <c r="I772" s="168"/>
      <c r="J772" s="168"/>
    </row>
    <row r="773" spans="1:10" ht="17">
      <c r="A773" s="168"/>
      <c r="B773" s="168"/>
      <c r="C773" s="168"/>
      <c r="G773" s="175"/>
      <c r="H773" s="175"/>
      <c r="I773" s="168"/>
      <c r="J773" s="168"/>
    </row>
    <row r="774" spans="1:10" ht="17">
      <c r="A774" s="168"/>
      <c r="B774" s="168"/>
      <c r="C774" s="168"/>
      <c r="G774" s="175"/>
      <c r="H774" s="175"/>
      <c r="I774" s="168"/>
      <c r="J774" s="168"/>
    </row>
    <row r="775" spans="1:10" ht="17">
      <c r="A775" s="168"/>
      <c r="B775" s="168"/>
      <c r="C775" s="168"/>
      <c r="G775" s="175"/>
      <c r="H775" s="175"/>
      <c r="I775" s="168"/>
      <c r="J775" s="168"/>
    </row>
    <row r="776" spans="1:10" ht="17">
      <c r="A776" s="168"/>
      <c r="B776" s="168"/>
      <c r="C776" s="168"/>
      <c r="G776" s="175"/>
      <c r="H776" s="175"/>
      <c r="I776" s="168"/>
      <c r="J776" s="168"/>
    </row>
    <row r="777" spans="1:10" ht="17">
      <c r="A777" s="168"/>
      <c r="B777" s="168"/>
      <c r="C777" s="168"/>
      <c r="G777" s="175"/>
      <c r="H777" s="175"/>
      <c r="I777" s="168"/>
      <c r="J777" s="168"/>
    </row>
    <row r="778" spans="1:10" ht="17">
      <c r="A778" s="168"/>
      <c r="B778" s="168"/>
      <c r="C778" s="168"/>
      <c r="G778" s="175"/>
      <c r="H778" s="175"/>
      <c r="I778" s="168"/>
      <c r="J778" s="168"/>
    </row>
    <row r="779" spans="1:10" ht="17">
      <c r="A779" s="168"/>
      <c r="B779" s="168"/>
      <c r="C779" s="168"/>
      <c r="G779" s="175"/>
      <c r="H779" s="175"/>
      <c r="I779" s="168"/>
      <c r="J779" s="168"/>
    </row>
    <row r="780" spans="1:10" ht="17">
      <c r="A780" s="168"/>
      <c r="B780" s="168"/>
      <c r="C780" s="168"/>
      <c r="G780" s="175"/>
      <c r="H780" s="175"/>
      <c r="I780" s="168"/>
      <c r="J780" s="168"/>
    </row>
    <row r="781" spans="1:10" ht="17">
      <c r="A781" s="168"/>
      <c r="B781" s="168"/>
      <c r="C781" s="168"/>
      <c r="G781" s="175"/>
      <c r="H781" s="175"/>
      <c r="I781" s="168"/>
      <c r="J781" s="168"/>
    </row>
    <row r="782" spans="1:10" ht="17">
      <c r="A782" s="168"/>
      <c r="B782" s="168"/>
      <c r="C782" s="168"/>
      <c r="G782" s="175"/>
      <c r="H782" s="175"/>
      <c r="I782" s="168"/>
      <c r="J782" s="168"/>
    </row>
    <row r="783" spans="1:10" ht="17">
      <c r="A783" s="168"/>
      <c r="B783" s="168"/>
      <c r="C783" s="168"/>
      <c r="G783" s="175"/>
      <c r="H783" s="175"/>
      <c r="I783" s="168"/>
      <c r="J783" s="168"/>
    </row>
    <row r="784" spans="1:10" ht="17">
      <c r="A784" s="168"/>
      <c r="B784" s="168"/>
      <c r="C784" s="168"/>
      <c r="G784" s="175"/>
      <c r="H784" s="175"/>
      <c r="I784" s="168"/>
      <c r="J784" s="168"/>
    </row>
    <row r="785" spans="1:10" ht="17">
      <c r="A785" s="168"/>
      <c r="B785" s="168"/>
      <c r="C785" s="168"/>
      <c r="G785" s="175"/>
      <c r="H785" s="175"/>
      <c r="I785" s="168"/>
      <c r="J785" s="168"/>
    </row>
    <row r="786" spans="1:10" ht="17">
      <c r="A786" s="168"/>
      <c r="B786" s="168"/>
      <c r="C786" s="168"/>
      <c r="G786" s="175"/>
      <c r="H786" s="175"/>
      <c r="I786" s="168"/>
      <c r="J786" s="168"/>
    </row>
    <row r="787" spans="1:10" ht="17">
      <c r="A787" s="168"/>
      <c r="B787" s="168"/>
      <c r="C787" s="168"/>
      <c r="G787" s="175"/>
      <c r="H787" s="175"/>
      <c r="I787" s="168"/>
      <c r="J787" s="168"/>
    </row>
    <row r="788" spans="1:10" ht="17">
      <c r="A788" s="168"/>
      <c r="B788" s="168"/>
      <c r="C788" s="168"/>
      <c r="G788" s="175"/>
      <c r="H788" s="175"/>
      <c r="I788" s="168"/>
      <c r="J788" s="168"/>
    </row>
    <row r="789" spans="1:10" ht="17">
      <c r="A789" s="168"/>
      <c r="B789" s="168"/>
      <c r="C789" s="168"/>
      <c r="G789" s="175"/>
      <c r="H789" s="175"/>
      <c r="I789" s="168"/>
      <c r="J789" s="168"/>
    </row>
    <row r="790" spans="1:10" ht="17">
      <c r="A790" s="168"/>
      <c r="B790" s="168"/>
      <c r="C790" s="168"/>
      <c r="G790" s="175"/>
      <c r="H790" s="175"/>
      <c r="I790" s="168"/>
      <c r="J790" s="168"/>
    </row>
    <row r="791" spans="1:10" ht="17">
      <c r="A791" s="168"/>
      <c r="B791" s="168"/>
      <c r="C791" s="168"/>
      <c r="G791" s="175"/>
      <c r="H791" s="175"/>
      <c r="I791" s="168"/>
      <c r="J791" s="168"/>
    </row>
    <row r="792" spans="1:10" ht="17">
      <c r="A792" s="168"/>
      <c r="B792" s="168"/>
      <c r="C792" s="168"/>
      <c r="G792" s="175"/>
      <c r="H792" s="175"/>
      <c r="I792" s="168"/>
      <c r="J792" s="168"/>
    </row>
    <row r="793" spans="1:10" ht="17">
      <c r="A793" s="168"/>
      <c r="B793" s="168"/>
      <c r="C793" s="168"/>
      <c r="G793" s="175"/>
      <c r="H793" s="175"/>
      <c r="I793" s="168"/>
      <c r="J793" s="168"/>
    </row>
    <row r="794" spans="1:10" ht="17">
      <c r="A794" s="168"/>
      <c r="B794" s="168"/>
      <c r="C794" s="168"/>
      <c r="G794" s="175"/>
      <c r="H794" s="175"/>
      <c r="I794" s="168"/>
      <c r="J794" s="168"/>
    </row>
    <row r="795" spans="1:10" ht="17">
      <c r="A795" s="168"/>
      <c r="B795" s="168"/>
      <c r="C795" s="168"/>
      <c r="G795" s="175"/>
      <c r="H795" s="175"/>
      <c r="I795" s="168"/>
      <c r="J795" s="168"/>
    </row>
    <row r="796" spans="1:10" ht="17">
      <c r="A796" s="168"/>
      <c r="B796" s="168"/>
      <c r="C796" s="168"/>
      <c r="G796" s="175"/>
      <c r="H796" s="175"/>
      <c r="I796" s="168"/>
      <c r="J796" s="168"/>
    </row>
    <row r="797" spans="1:10" ht="17">
      <c r="A797" s="168"/>
      <c r="B797" s="168"/>
      <c r="C797" s="168"/>
      <c r="G797" s="175"/>
      <c r="H797" s="175"/>
      <c r="I797" s="168"/>
      <c r="J797" s="168"/>
    </row>
    <row r="798" spans="1:10" ht="17">
      <c r="A798" s="168"/>
      <c r="B798" s="168"/>
      <c r="C798" s="168"/>
      <c r="G798" s="175"/>
      <c r="H798" s="175"/>
      <c r="I798" s="168"/>
      <c r="J798" s="168"/>
    </row>
    <row r="799" spans="1:10" ht="17">
      <c r="A799" s="168"/>
      <c r="B799" s="168"/>
      <c r="C799" s="168"/>
      <c r="G799" s="175"/>
      <c r="H799" s="175"/>
      <c r="I799" s="168"/>
      <c r="J799" s="168"/>
    </row>
    <row r="800" spans="1:10" ht="17">
      <c r="A800" s="168"/>
      <c r="B800" s="168"/>
      <c r="C800" s="168"/>
      <c r="G800" s="175"/>
      <c r="H800" s="175"/>
      <c r="I800" s="168"/>
      <c r="J800" s="168"/>
    </row>
    <row r="801" spans="1:10" ht="17">
      <c r="A801" s="168"/>
      <c r="B801" s="168"/>
      <c r="C801" s="168"/>
      <c r="G801" s="175"/>
      <c r="H801" s="175"/>
      <c r="I801" s="168"/>
      <c r="J801" s="168"/>
    </row>
    <row r="802" spans="1:10" ht="17">
      <c r="A802" s="168"/>
      <c r="B802" s="168"/>
      <c r="C802" s="168"/>
      <c r="G802" s="175"/>
      <c r="H802" s="175"/>
      <c r="I802" s="168"/>
      <c r="J802" s="168"/>
    </row>
    <row r="803" spans="1:10" ht="17">
      <c r="A803" s="168"/>
      <c r="B803" s="168"/>
      <c r="C803" s="168"/>
      <c r="G803" s="175"/>
      <c r="H803" s="175"/>
      <c r="I803" s="168"/>
      <c r="J803" s="168"/>
    </row>
    <row r="804" spans="1:10" ht="17">
      <c r="A804" s="168"/>
      <c r="B804" s="168"/>
      <c r="C804" s="168"/>
      <c r="G804" s="175"/>
      <c r="H804" s="175"/>
      <c r="I804" s="168"/>
      <c r="J804" s="168"/>
    </row>
    <row r="805" spans="1:10" ht="17">
      <c r="A805" s="168"/>
      <c r="B805" s="168"/>
      <c r="C805" s="168"/>
      <c r="G805" s="175"/>
      <c r="H805" s="175"/>
      <c r="I805" s="168"/>
      <c r="J805" s="168"/>
    </row>
    <row r="806" spans="1:10" ht="17">
      <c r="A806" s="168"/>
      <c r="B806" s="168"/>
      <c r="C806" s="168"/>
      <c r="G806" s="175"/>
      <c r="H806" s="175"/>
      <c r="I806" s="168"/>
      <c r="J806" s="168"/>
    </row>
    <row r="807" spans="1:10" ht="17">
      <c r="A807" s="168"/>
      <c r="B807" s="168"/>
      <c r="C807" s="168"/>
      <c r="G807" s="175"/>
      <c r="H807" s="175"/>
      <c r="I807" s="168"/>
      <c r="J807" s="168"/>
    </row>
    <row r="808" spans="1:10" ht="17">
      <c r="A808" s="168"/>
      <c r="B808" s="168"/>
      <c r="C808" s="168"/>
      <c r="G808" s="175"/>
      <c r="H808" s="175"/>
      <c r="I808" s="168"/>
      <c r="J808" s="168"/>
    </row>
    <row r="809" spans="1:10" ht="17">
      <c r="A809" s="168"/>
      <c r="B809" s="168"/>
      <c r="C809" s="168"/>
      <c r="G809" s="175"/>
      <c r="H809" s="175"/>
      <c r="I809" s="168"/>
      <c r="J809" s="168"/>
    </row>
    <row r="810" spans="1:10" ht="17">
      <c r="A810" s="168"/>
      <c r="B810" s="168"/>
      <c r="C810" s="168"/>
      <c r="G810" s="175"/>
      <c r="H810" s="175"/>
      <c r="I810" s="168"/>
      <c r="J810" s="168"/>
    </row>
    <row r="811" spans="1:10" ht="17">
      <c r="A811" s="168"/>
      <c r="B811" s="168"/>
      <c r="C811" s="168"/>
      <c r="G811" s="175"/>
      <c r="H811" s="175"/>
      <c r="I811" s="168"/>
      <c r="J811" s="168"/>
    </row>
    <row r="812" spans="1:10" ht="17">
      <c r="A812" s="168"/>
      <c r="B812" s="168"/>
      <c r="C812" s="168"/>
      <c r="G812" s="175"/>
      <c r="H812" s="175"/>
      <c r="I812" s="168"/>
      <c r="J812" s="168"/>
    </row>
    <row r="813" spans="1:10" ht="17">
      <c r="A813" s="168"/>
      <c r="B813" s="168"/>
      <c r="C813" s="168"/>
      <c r="G813" s="175"/>
      <c r="H813" s="175"/>
      <c r="I813" s="168"/>
      <c r="J813" s="168"/>
    </row>
    <row r="814" spans="1:10" ht="17">
      <c r="A814" s="168"/>
      <c r="B814" s="168"/>
      <c r="C814" s="168"/>
      <c r="G814" s="175"/>
      <c r="H814" s="175"/>
      <c r="I814" s="168"/>
      <c r="J814" s="168"/>
    </row>
    <row r="815" spans="1:10" ht="17">
      <c r="A815" s="168"/>
      <c r="B815" s="168"/>
      <c r="C815" s="168"/>
      <c r="G815" s="175"/>
      <c r="H815" s="175"/>
      <c r="I815" s="168"/>
      <c r="J815" s="168"/>
    </row>
    <row r="816" spans="1:10" ht="17">
      <c r="A816" s="168"/>
      <c r="B816" s="168"/>
      <c r="C816" s="168"/>
      <c r="G816" s="175"/>
      <c r="H816" s="175"/>
      <c r="I816" s="168"/>
      <c r="J816" s="168"/>
    </row>
    <row r="817" spans="1:10" ht="17">
      <c r="A817" s="168"/>
      <c r="B817" s="168"/>
      <c r="C817" s="168"/>
      <c r="G817" s="175"/>
      <c r="H817" s="175"/>
      <c r="I817" s="168"/>
      <c r="J817" s="168"/>
    </row>
    <row r="818" spans="1:10" ht="17">
      <c r="A818" s="168"/>
      <c r="B818" s="168"/>
      <c r="C818" s="168"/>
      <c r="G818" s="175"/>
      <c r="H818" s="175"/>
      <c r="I818" s="168"/>
      <c r="J818" s="168"/>
    </row>
    <row r="819" spans="1:10" ht="17">
      <c r="A819" s="168"/>
      <c r="B819" s="168"/>
      <c r="C819" s="168"/>
      <c r="G819" s="175"/>
      <c r="H819" s="175"/>
      <c r="I819" s="168"/>
      <c r="J819" s="168"/>
    </row>
    <row r="820" spans="1:10" ht="17">
      <c r="A820" s="168"/>
      <c r="B820" s="168"/>
      <c r="C820" s="168"/>
      <c r="G820" s="175"/>
      <c r="H820" s="175"/>
      <c r="I820" s="168"/>
      <c r="J820" s="168"/>
    </row>
    <row r="821" spans="1:10" ht="17">
      <c r="A821" s="168"/>
      <c r="B821" s="168"/>
      <c r="C821" s="168"/>
      <c r="G821" s="175"/>
      <c r="H821" s="175"/>
      <c r="I821" s="168"/>
      <c r="J821" s="168"/>
    </row>
    <row r="822" spans="1:10" ht="17">
      <c r="A822" s="168"/>
      <c r="B822" s="168"/>
      <c r="C822" s="168"/>
      <c r="G822" s="175"/>
      <c r="H822" s="175"/>
      <c r="I822" s="168"/>
      <c r="J822" s="168"/>
    </row>
    <row r="823" spans="1:10" ht="17">
      <c r="A823" s="168"/>
      <c r="B823" s="168"/>
      <c r="C823" s="168"/>
      <c r="G823" s="175"/>
      <c r="H823" s="175"/>
      <c r="I823" s="168"/>
      <c r="J823" s="168"/>
    </row>
    <row r="824" spans="1:10" ht="17">
      <c r="A824" s="168"/>
      <c r="B824" s="168"/>
      <c r="C824" s="168"/>
      <c r="G824" s="175"/>
      <c r="H824" s="175"/>
      <c r="I824" s="168"/>
      <c r="J824" s="168"/>
    </row>
    <row r="825" spans="1:10" ht="17">
      <c r="A825" s="168"/>
      <c r="B825" s="168"/>
      <c r="C825" s="168"/>
      <c r="G825" s="175"/>
      <c r="H825" s="175"/>
      <c r="I825" s="168"/>
      <c r="J825" s="168"/>
    </row>
    <row r="826" spans="1:10" ht="17">
      <c r="A826" s="168"/>
      <c r="B826" s="168"/>
      <c r="C826" s="168"/>
      <c r="G826" s="175"/>
      <c r="H826" s="175"/>
      <c r="I826" s="168"/>
      <c r="J826" s="168"/>
    </row>
    <row r="827" spans="1:10" ht="17">
      <c r="A827" s="168"/>
      <c r="B827" s="168"/>
      <c r="C827" s="168"/>
      <c r="G827" s="175"/>
      <c r="H827" s="175"/>
      <c r="I827" s="168"/>
      <c r="J827" s="168"/>
    </row>
    <row r="828" spans="1:10" ht="17">
      <c r="A828" s="168"/>
      <c r="B828" s="168"/>
      <c r="C828" s="168"/>
      <c r="G828" s="175"/>
      <c r="H828" s="175"/>
      <c r="I828" s="168"/>
      <c r="J828" s="168"/>
    </row>
    <row r="829" spans="1:10" ht="17">
      <c r="A829" s="168"/>
      <c r="B829" s="168"/>
      <c r="C829" s="168"/>
      <c r="G829" s="175"/>
      <c r="H829" s="175"/>
      <c r="I829" s="168"/>
      <c r="J829" s="168"/>
    </row>
    <row r="830" spans="1:10" ht="17">
      <c r="A830" s="168"/>
      <c r="B830" s="168"/>
      <c r="C830" s="168"/>
      <c r="G830" s="175"/>
      <c r="H830" s="175"/>
      <c r="I830" s="168"/>
      <c r="J830" s="168"/>
    </row>
    <row r="831" spans="1:10" ht="17">
      <c r="A831" s="168"/>
      <c r="B831" s="168"/>
      <c r="C831" s="168"/>
      <c r="G831" s="175"/>
      <c r="H831" s="175"/>
      <c r="I831" s="168"/>
      <c r="J831" s="168"/>
    </row>
    <row r="832" spans="1:10" ht="17">
      <c r="A832" s="168"/>
      <c r="B832" s="168"/>
      <c r="C832" s="168"/>
      <c r="G832" s="175"/>
      <c r="H832" s="175"/>
      <c r="I832" s="168"/>
      <c r="J832" s="168"/>
    </row>
    <row r="833" spans="1:10" ht="17">
      <c r="A833" s="168"/>
      <c r="B833" s="168"/>
      <c r="C833" s="168"/>
      <c r="G833" s="175"/>
      <c r="H833" s="175"/>
      <c r="I833" s="168"/>
      <c r="J833" s="168"/>
    </row>
    <row r="834" spans="1:10" ht="17">
      <c r="A834" s="168"/>
      <c r="B834" s="168"/>
      <c r="C834" s="168"/>
      <c r="G834" s="175"/>
      <c r="H834" s="175"/>
      <c r="I834" s="168"/>
      <c r="J834" s="168"/>
    </row>
    <row r="835" spans="1:10" ht="17">
      <c r="A835" s="168"/>
      <c r="B835" s="168"/>
      <c r="C835" s="168"/>
      <c r="G835" s="175"/>
      <c r="H835" s="175"/>
      <c r="I835" s="168"/>
      <c r="J835" s="168"/>
    </row>
    <row r="836" spans="1:10" ht="17">
      <c r="A836" s="168"/>
      <c r="B836" s="168"/>
      <c r="C836" s="168"/>
      <c r="G836" s="175"/>
      <c r="H836" s="175"/>
      <c r="I836" s="168"/>
      <c r="J836" s="168"/>
    </row>
    <row r="837" spans="1:10" ht="17">
      <c r="A837" s="168"/>
      <c r="B837" s="168"/>
      <c r="C837" s="168"/>
      <c r="G837" s="175"/>
      <c r="H837" s="175"/>
      <c r="I837" s="168"/>
      <c r="J837" s="168"/>
    </row>
    <row r="838" spans="1:10" ht="17">
      <c r="A838" s="168"/>
      <c r="B838" s="168"/>
      <c r="C838" s="168"/>
      <c r="G838" s="175"/>
      <c r="H838" s="175"/>
      <c r="I838" s="168"/>
      <c r="J838" s="168"/>
    </row>
    <row r="839" spans="1:10" ht="17">
      <c r="A839" s="168"/>
      <c r="B839" s="168"/>
      <c r="C839" s="168"/>
      <c r="G839" s="175"/>
      <c r="H839" s="175"/>
      <c r="I839" s="168"/>
      <c r="J839" s="168"/>
    </row>
    <row r="840" spans="1:10" ht="17">
      <c r="A840" s="168"/>
      <c r="B840" s="168"/>
      <c r="C840" s="168"/>
      <c r="G840" s="175"/>
      <c r="H840" s="175"/>
      <c r="I840" s="168"/>
      <c r="J840" s="168"/>
    </row>
    <row r="841" spans="1:10" ht="17">
      <c r="A841" s="168"/>
      <c r="B841" s="168"/>
      <c r="C841" s="168"/>
      <c r="G841" s="175"/>
      <c r="H841" s="175"/>
      <c r="I841" s="168"/>
      <c r="J841" s="168"/>
    </row>
    <row r="842" spans="1:10" ht="17">
      <c r="A842" s="168"/>
      <c r="B842" s="168"/>
      <c r="C842" s="168"/>
      <c r="G842" s="175"/>
      <c r="H842" s="175"/>
      <c r="I842" s="168"/>
      <c r="J842" s="168"/>
    </row>
    <row r="843" spans="1:10" ht="17">
      <c r="A843" s="168"/>
      <c r="B843" s="168"/>
      <c r="C843" s="168"/>
      <c r="G843" s="175"/>
      <c r="H843" s="175"/>
      <c r="I843" s="168"/>
      <c r="J843" s="168"/>
    </row>
    <row r="844" spans="1:10" ht="17">
      <c r="A844" s="168"/>
      <c r="B844" s="168"/>
      <c r="C844" s="168"/>
      <c r="G844" s="175"/>
      <c r="H844" s="175"/>
      <c r="I844" s="168"/>
      <c r="J844" s="168"/>
    </row>
    <row r="845" spans="1:10" ht="17">
      <c r="A845" s="168"/>
      <c r="B845" s="168"/>
      <c r="C845" s="168"/>
      <c r="G845" s="175"/>
      <c r="H845" s="175"/>
      <c r="I845" s="168"/>
      <c r="J845" s="168"/>
    </row>
    <row r="846" spans="1:10" ht="17">
      <c r="A846" s="168"/>
      <c r="B846" s="168"/>
      <c r="C846" s="168"/>
      <c r="G846" s="175"/>
      <c r="H846" s="175"/>
      <c r="I846" s="168"/>
      <c r="J846" s="168"/>
    </row>
    <row r="847" spans="1:10" ht="17">
      <c r="A847" s="168"/>
      <c r="B847" s="168"/>
      <c r="C847" s="168"/>
      <c r="G847" s="175"/>
      <c r="H847" s="175"/>
      <c r="I847" s="168"/>
      <c r="J847" s="168"/>
    </row>
    <row r="848" spans="1:10" ht="17">
      <c r="A848" s="168"/>
      <c r="B848" s="168"/>
      <c r="C848" s="168"/>
      <c r="G848" s="175"/>
      <c r="H848" s="175"/>
      <c r="I848" s="168"/>
      <c r="J848" s="168"/>
    </row>
    <row r="849" spans="1:10" ht="17">
      <c r="A849" s="168"/>
      <c r="B849" s="168"/>
      <c r="C849" s="168"/>
      <c r="G849" s="175"/>
      <c r="H849" s="175"/>
      <c r="I849" s="168"/>
      <c r="J849" s="168"/>
    </row>
    <row r="850" spans="1:10" ht="17">
      <c r="A850" s="168"/>
      <c r="B850" s="168"/>
      <c r="C850" s="168"/>
      <c r="G850" s="175"/>
      <c r="H850" s="175"/>
      <c r="I850" s="168"/>
      <c r="J850" s="168"/>
    </row>
    <row r="851" spans="1:10" ht="17">
      <c r="A851" s="168"/>
      <c r="B851" s="168"/>
      <c r="C851" s="168"/>
      <c r="G851" s="175"/>
      <c r="H851" s="175"/>
      <c r="I851" s="168"/>
      <c r="J851" s="168"/>
    </row>
    <row r="852" spans="1:10" ht="17">
      <c r="A852" s="168"/>
      <c r="B852" s="168"/>
      <c r="C852" s="168"/>
      <c r="G852" s="175"/>
      <c r="H852" s="175"/>
      <c r="I852" s="168"/>
      <c r="J852" s="168"/>
    </row>
    <row r="853" spans="1:10" ht="17">
      <c r="A853" s="168"/>
      <c r="B853" s="168"/>
      <c r="C853" s="168"/>
      <c r="G853" s="175"/>
      <c r="H853" s="175"/>
      <c r="I853" s="168"/>
      <c r="J853" s="168"/>
    </row>
    <row r="854" spans="1:10" ht="17">
      <c r="A854" s="168"/>
      <c r="B854" s="168"/>
      <c r="C854" s="168"/>
      <c r="G854" s="175"/>
      <c r="H854" s="175"/>
      <c r="I854" s="168"/>
      <c r="J854" s="168"/>
    </row>
    <row r="855" spans="1:10" ht="17">
      <c r="A855" s="168"/>
      <c r="B855" s="168"/>
      <c r="C855" s="168"/>
      <c r="G855" s="175"/>
      <c r="H855" s="175"/>
      <c r="I855" s="168"/>
      <c r="J855" s="168"/>
    </row>
    <row r="856" spans="1:10" ht="17">
      <c r="A856" s="168"/>
      <c r="B856" s="168"/>
      <c r="C856" s="168"/>
      <c r="G856" s="175"/>
      <c r="H856" s="175"/>
      <c r="I856" s="168"/>
      <c r="J856" s="168"/>
    </row>
    <row r="857" spans="1:10" ht="17">
      <c r="A857" s="168"/>
      <c r="B857" s="168"/>
      <c r="C857" s="168"/>
      <c r="G857" s="175"/>
      <c r="H857" s="175"/>
      <c r="I857" s="168"/>
      <c r="J857" s="168"/>
    </row>
    <row r="858" spans="1:10" ht="17">
      <c r="A858" s="168"/>
      <c r="B858" s="168"/>
      <c r="C858" s="168"/>
      <c r="G858" s="175"/>
      <c r="H858" s="175"/>
      <c r="I858" s="168"/>
      <c r="J858" s="168"/>
    </row>
    <row r="859" spans="1:10" ht="17">
      <c r="A859" s="168"/>
      <c r="B859" s="168"/>
      <c r="C859" s="168"/>
      <c r="G859" s="175"/>
      <c r="H859" s="175"/>
      <c r="I859" s="168"/>
      <c r="J859" s="168"/>
    </row>
    <row r="860" spans="1:10" ht="17">
      <c r="A860" s="168"/>
      <c r="B860" s="168"/>
      <c r="C860" s="168"/>
      <c r="G860" s="175"/>
      <c r="H860" s="175"/>
      <c r="I860" s="168"/>
      <c r="J860" s="168"/>
    </row>
    <row r="861" spans="1:10" ht="17">
      <c r="A861" s="168"/>
      <c r="B861" s="168"/>
      <c r="C861" s="168"/>
      <c r="G861" s="175"/>
      <c r="H861" s="175"/>
      <c r="I861" s="168"/>
      <c r="J861" s="168"/>
    </row>
    <row r="862" spans="1:10" ht="17">
      <c r="A862" s="168"/>
      <c r="B862" s="168"/>
      <c r="C862" s="168"/>
      <c r="G862" s="175"/>
      <c r="H862" s="175"/>
      <c r="I862" s="168"/>
      <c r="J862" s="168"/>
    </row>
    <row r="863" spans="1:10" ht="17">
      <c r="A863" s="168"/>
      <c r="B863" s="168"/>
      <c r="C863" s="168"/>
      <c r="G863" s="175"/>
      <c r="H863" s="175"/>
      <c r="I863" s="168"/>
      <c r="J863" s="168"/>
    </row>
    <row r="864" spans="1:10" ht="17">
      <c r="A864" s="168"/>
      <c r="B864" s="168"/>
      <c r="C864" s="168"/>
      <c r="G864" s="175"/>
      <c r="H864" s="175"/>
      <c r="I864" s="168"/>
      <c r="J864" s="168"/>
    </row>
    <row r="865" spans="1:10" ht="17">
      <c r="A865" s="168"/>
      <c r="B865" s="168"/>
      <c r="C865" s="168"/>
      <c r="G865" s="175"/>
      <c r="H865" s="175"/>
      <c r="I865" s="168"/>
      <c r="J865" s="168"/>
    </row>
    <row r="866" spans="1:10" ht="17">
      <c r="A866" s="168"/>
      <c r="B866" s="168"/>
      <c r="C866" s="168"/>
      <c r="G866" s="175"/>
      <c r="H866" s="175"/>
      <c r="I866" s="168"/>
      <c r="J866" s="168"/>
    </row>
    <row r="867" spans="1:10" ht="17">
      <c r="A867" s="168"/>
      <c r="B867" s="168"/>
      <c r="C867" s="168"/>
      <c r="G867" s="175"/>
      <c r="H867" s="175"/>
      <c r="I867" s="168"/>
      <c r="J867" s="168"/>
    </row>
    <row r="868" spans="1:10" ht="17">
      <c r="A868" s="168"/>
      <c r="B868" s="168"/>
      <c r="C868" s="168"/>
      <c r="G868" s="175"/>
      <c r="H868" s="175"/>
      <c r="I868" s="168"/>
      <c r="J868" s="168"/>
    </row>
    <row r="869" spans="1:10" ht="17">
      <c r="A869" s="168"/>
      <c r="B869" s="168"/>
      <c r="C869" s="168"/>
      <c r="G869" s="175"/>
      <c r="H869" s="175"/>
      <c r="I869" s="168"/>
      <c r="J869" s="168"/>
    </row>
    <row r="870" spans="1:10" ht="17">
      <c r="A870" s="168"/>
      <c r="B870" s="168"/>
      <c r="C870" s="168"/>
      <c r="G870" s="175"/>
      <c r="H870" s="175"/>
      <c r="I870" s="168"/>
      <c r="J870" s="168"/>
    </row>
    <row r="871" spans="1:10" ht="17">
      <c r="A871" s="168"/>
      <c r="B871" s="168"/>
      <c r="C871" s="168"/>
      <c r="G871" s="175"/>
      <c r="H871" s="175"/>
      <c r="I871" s="168"/>
      <c r="J871" s="168"/>
    </row>
    <row r="872" spans="1:10" ht="17">
      <c r="A872" s="168"/>
      <c r="B872" s="168"/>
      <c r="C872" s="168"/>
      <c r="G872" s="175"/>
      <c r="H872" s="175"/>
      <c r="I872" s="168"/>
      <c r="J872" s="168"/>
    </row>
    <row r="873" spans="1:10" ht="17">
      <c r="A873" s="168"/>
      <c r="B873" s="168"/>
      <c r="C873" s="168"/>
      <c r="G873" s="175"/>
      <c r="H873" s="175"/>
      <c r="I873" s="168"/>
      <c r="J873" s="168"/>
    </row>
    <row r="874" spans="1:10" ht="17">
      <c r="A874" s="168"/>
      <c r="B874" s="168"/>
      <c r="C874" s="168"/>
      <c r="G874" s="175"/>
      <c r="H874" s="175"/>
      <c r="I874" s="168"/>
      <c r="J874" s="168"/>
    </row>
    <row r="875" spans="1:10" ht="17">
      <c r="A875" s="168"/>
      <c r="B875" s="168"/>
      <c r="C875" s="168"/>
      <c r="G875" s="175"/>
      <c r="H875" s="175"/>
      <c r="I875" s="168"/>
      <c r="J875" s="168"/>
    </row>
    <row r="876" spans="1:10" ht="17">
      <c r="A876" s="168"/>
      <c r="B876" s="168"/>
      <c r="C876" s="168"/>
      <c r="G876" s="175"/>
      <c r="H876" s="175"/>
      <c r="I876" s="168"/>
      <c r="J876" s="168"/>
    </row>
    <row r="877" spans="1:10" ht="17">
      <c r="A877" s="168"/>
      <c r="B877" s="168"/>
      <c r="C877" s="168"/>
      <c r="G877" s="175"/>
      <c r="H877" s="175"/>
      <c r="I877" s="168"/>
      <c r="J877" s="168"/>
    </row>
    <row r="878" spans="1:10" ht="17">
      <c r="A878" s="168"/>
      <c r="B878" s="168"/>
      <c r="C878" s="168"/>
      <c r="G878" s="175"/>
      <c r="H878" s="175"/>
      <c r="I878" s="168"/>
      <c r="J878" s="168"/>
    </row>
    <row r="879" spans="1:10" ht="17">
      <c r="A879" s="168"/>
      <c r="B879" s="168"/>
      <c r="C879" s="168"/>
      <c r="G879" s="175"/>
      <c r="H879" s="175"/>
      <c r="I879" s="168"/>
      <c r="J879" s="168"/>
    </row>
    <row r="880" spans="1:10" ht="17">
      <c r="A880" s="168"/>
      <c r="B880" s="168"/>
      <c r="C880" s="168"/>
      <c r="G880" s="175"/>
      <c r="H880" s="175"/>
      <c r="I880" s="168"/>
      <c r="J880" s="168"/>
    </row>
    <row r="881" spans="1:10" ht="17">
      <c r="A881" s="168"/>
      <c r="B881" s="168"/>
      <c r="C881" s="168"/>
      <c r="G881" s="175"/>
      <c r="H881" s="175"/>
      <c r="I881" s="168"/>
      <c r="J881" s="168"/>
    </row>
    <row r="882" spans="1:10" ht="17">
      <c r="A882" s="168"/>
      <c r="B882" s="168"/>
      <c r="C882" s="168"/>
      <c r="G882" s="175"/>
      <c r="H882" s="175"/>
      <c r="I882" s="168"/>
      <c r="J882" s="168"/>
    </row>
    <row r="883" spans="1:10" ht="17">
      <c r="A883" s="168"/>
      <c r="B883" s="168"/>
      <c r="C883" s="168"/>
      <c r="G883" s="175"/>
      <c r="H883" s="175"/>
      <c r="I883" s="168"/>
      <c r="J883" s="168"/>
    </row>
    <row r="884" spans="1:10" ht="17">
      <c r="A884" s="168"/>
      <c r="B884" s="168"/>
      <c r="C884" s="168"/>
      <c r="G884" s="175"/>
      <c r="H884" s="175"/>
      <c r="I884" s="168"/>
      <c r="J884" s="168"/>
    </row>
    <row r="885" spans="1:10" ht="17">
      <c r="A885" s="168"/>
      <c r="B885" s="168"/>
      <c r="C885" s="168"/>
      <c r="G885" s="175"/>
      <c r="H885" s="175"/>
      <c r="I885" s="168"/>
      <c r="J885" s="168"/>
    </row>
    <row r="886" spans="1:10" ht="17">
      <c r="A886" s="168"/>
      <c r="B886" s="168"/>
      <c r="C886" s="168"/>
      <c r="G886" s="175"/>
      <c r="H886" s="175"/>
      <c r="I886" s="168"/>
      <c r="J886" s="168"/>
    </row>
    <row r="887" spans="1:10" ht="17">
      <c r="A887" s="168"/>
      <c r="B887" s="168"/>
      <c r="C887" s="168"/>
      <c r="G887" s="175"/>
      <c r="H887" s="175"/>
      <c r="I887" s="168"/>
      <c r="J887" s="168"/>
    </row>
    <row r="888" spans="1:10" ht="17">
      <c r="A888" s="168"/>
      <c r="B888" s="168"/>
      <c r="C888" s="168"/>
      <c r="G888" s="175"/>
      <c r="H888" s="175"/>
      <c r="I888" s="168"/>
      <c r="J888" s="168"/>
    </row>
    <row r="889" spans="1:10" ht="17">
      <c r="A889" s="168"/>
      <c r="B889" s="168"/>
      <c r="C889" s="168"/>
      <c r="G889" s="175"/>
      <c r="H889" s="175"/>
      <c r="I889" s="168"/>
      <c r="J889" s="168"/>
    </row>
    <row r="890" spans="1:10" ht="17">
      <c r="A890" s="168"/>
      <c r="B890" s="168"/>
      <c r="C890" s="168"/>
      <c r="G890" s="175"/>
      <c r="H890" s="175"/>
      <c r="I890" s="168"/>
      <c r="J890" s="168"/>
    </row>
    <row r="891" spans="1:10" ht="17">
      <c r="A891" s="168"/>
      <c r="B891" s="168"/>
      <c r="C891" s="168"/>
      <c r="G891" s="175"/>
      <c r="H891" s="175"/>
      <c r="I891" s="168"/>
      <c r="J891" s="168"/>
    </row>
    <row r="892" spans="1:10" ht="17">
      <c r="A892" s="168"/>
      <c r="B892" s="168"/>
      <c r="C892" s="168"/>
      <c r="G892" s="175"/>
      <c r="H892" s="175"/>
      <c r="I892" s="168"/>
      <c r="J892" s="168"/>
    </row>
    <row r="893" spans="1:10" ht="17">
      <c r="A893" s="168"/>
      <c r="B893" s="168"/>
      <c r="C893" s="168"/>
      <c r="G893" s="175"/>
      <c r="H893" s="175"/>
      <c r="I893" s="168"/>
      <c r="J893" s="168"/>
    </row>
    <row r="894" spans="1:10" ht="17">
      <c r="A894" s="168"/>
      <c r="B894" s="168"/>
      <c r="C894" s="168"/>
      <c r="G894" s="175"/>
      <c r="H894" s="175"/>
      <c r="I894" s="168"/>
      <c r="J894" s="168"/>
    </row>
    <row r="895" spans="1:10" ht="17">
      <c r="A895" s="168"/>
      <c r="B895" s="168"/>
      <c r="C895" s="168"/>
      <c r="G895" s="175"/>
      <c r="H895" s="175"/>
      <c r="I895" s="168"/>
      <c r="J895" s="168"/>
    </row>
    <row r="896" spans="1:10" ht="17">
      <c r="A896" s="168"/>
      <c r="B896" s="168"/>
      <c r="C896" s="168"/>
      <c r="G896" s="175"/>
      <c r="H896" s="175"/>
      <c r="I896" s="168"/>
      <c r="J896" s="168"/>
    </row>
    <row r="897" spans="1:10" ht="17">
      <c r="A897" s="168"/>
      <c r="B897" s="168"/>
      <c r="C897" s="168"/>
      <c r="G897" s="175"/>
      <c r="H897" s="175"/>
      <c r="I897" s="168"/>
      <c r="J897" s="168"/>
    </row>
    <row r="898" spans="1:10" ht="17">
      <c r="A898" s="168"/>
      <c r="B898" s="168"/>
      <c r="C898" s="168"/>
      <c r="G898" s="175"/>
      <c r="H898" s="175"/>
      <c r="I898" s="168"/>
      <c r="J898" s="168"/>
    </row>
    <row r="899" spans="1:10" ht="17">
      <c r="A899" s="168"/>
      <c r="B899" s="168"/>
      <c r="C899" s="168"/>
      <c r="G899" s="175"/>
      <c r="H899" s="175"/>
      <c r="I899" s="168"/>
      <c r="J899" s="168"/>
    </row>
    <row r="900" spans="1:10" ht="17">
      <c r="A900" s="168"/>
      <c r="B900" s="168"/>
      <c r="C900" s="168"/>
      <c r="G900" s="175"/>
      <c r="H900" s="175"/>
      <c r="I900" s="168"/>
      <c r="J900" s="168"/>
    </row>
    <row r="901" spans="1:10" ht="17">
      <c r="A901" s="168"/>
      <c r="B901" s="168"/>
      <c r="C901" s="168"/>
      <c r="G901" s="175"/>
      <c r="H901" s="175"/>
      <c r="I901" s="168"/>
      <c r="J901" s="168"/>
    </row>
    <row r="902" spans="1:10" ht="17">
      <c r="A902" s="168"/>
      <c r="B902" s="168"/>
      <c r="C902" s="168"/>
      <c r="G902" s="175"/>
      <c r="H902" s="175"/>
      <c r="I902" s="168"/>
      <c r="J902" s="168"/>
    </row>
    <row r="903" spans="1:10" ht="17">
      <c r="A903" s="168"/>
      <c r="B903" s="168"/>
      <c r="C903" s="168"/>
      <c r="G903" s="175"/>
      <c r="H903" s="175"/>
      <c r="I903" s="168"/>
      <c r="J903" s="168"/>
    </row>
    <row r="904" spans="1:10" ht="17">
      <c r="A904" s="168"/>
      <c r="B904" s="168"/>
      <c r="C904" s="168"/>
      <c r="G904" s="175"/>
      <c r="H904" s="175"/>
      <c r="I904" s="168"/>
      <c r="J904" s="168"/>
    </row>
    <row r="905" spans="1:10" ht="17">
      <c r="A905" s="168"/>
      <c r="B905" s="168"/>
      <c r="C905" s="168"/>
      <c r="G905" s="175"/>
      <c r="H905" s="175"/>
      <c r="I905" s="168"/>
      <c r="J905" s="168"/>
    </row>
    <row r="906" spans="1:10" ht="17">
      <c r="A906" s="168"/>
      <c r="B906" s="168"/>
      <c r="C906" s="168"/>
      <c r="G906" s="175"/>
      <c r="H906" s="175"/>
      <c r="I906" s="168"/>
      <c r="J906" s="168"/>
    </row>
    <row r="907" spans="1:10" ht="17">
      <c r="A907" s="168"/>
      <c r="B907" s="168"/>
      <c r="C907" s="168"/>
      <c r="G907" s="175"/>
      <c r="H907" s="175"/>
      <c r="I907" s="168"/>
      <c r="J907" s="168"/>
    </row>
    <row r="908" spans="1:10" ht="17">
      <c r="A908" s="168"/>
      <c r="B908" s="168"/>
      <c r="C908" s="168"/>
      <c r="G908" s="175"/>
      <c r="H908" s="175"/>
      <c r="I908" s="168"/>
      <c r="J908" s="168"/>
    </row>
    <row r="909" spans="1:10" ht="17">
      <c r="A909" s="168"/>
      <c r="B909" s="168"/>
      <c r="C909" s="168"/>
      <c r="G909" s="175"/>
      <c r="H909" s="175"/>
      <c r="I909" s="168"/>
      <c r="J909" s="168"/>
    </row>
    <row r="910" spans="1:10" ht="17">
      <c r="A910" s="168"/>
      <c r="B910" s="168"/>
      <c r="C910" s="168"/>
      <c r="G910" s="175"/>
      <c r="H910" s="175"/>
      <c r="I910" s="168"/>
      <c r="J910" s="168"/>
    </row>
    <row r="911" spans="1:10" ht="17">
      <c r="A911" s="168"/>
      <c r="B911" s="168"/>
      <c r="C911" s="168"/>
      <c r="G911" s="175"/>
      <c r="H911" s="175"/>
      <c r="I911" s="168"/>
      <c r="J911" s="168"/>
    </row>
    <row r="912" spans="1:10" ht="17">
      <c r="A912" s="168"/>
      <c r="B912" s="168"/>
      <c r="C912" s="168"/>
      <c r="G912" s="175"/>
      <c r="H912" s="175"/>
      <c r="I912" s="168"/>
      <c r="J912" s="168"/>
    </row>
    <row r="913" spans="1:10" ht="17">
      <c r="A913" s="168"/>
      <c r="B913" s="168"/>
      <c r="C913" s="168"/>
      <c r="G913" s="175"/>
      <c r="H913" s="175"/>
      <c r="I913" s="168"/>
      <c r="J913" s="168"/>
    </row>
    <row r="914" spans="1:10" ht="17">
      <c r="A914" s="168"/>
      <c r="B914" s="168"/>
      <c r="C914" s="168"/>
      <c r="G914" s="175"/>
      <c r="H914" s="175"/>
      <c r="I914" s="168"/>
      <c r="J914" s="168"/>
    </row>
    <row r="915" spans="1:10" ht="17">
      <c r="A915" s="168"/>
      <c r="B915" s="168"/>
      <c r="C915" s="168"/>
      <c r="G915" s="175"/>
      <c r="H915" s="175"/>
      <c r="I915" s="168"/>
      <c r="J915" s="168"/>
    </row>
    <row r="916" spans="1:10" ht="17">
      <c r="A916" s="168"/>
      <c r="B916" s="168"/>
      <c r="C916" s="168"/>
      <c r="G916" s="175"/>
      <c r="H916" s="175"/>
      <c r="I916" s="168"/>
      <c r="J916" s="168"/>
    </row>
    <row r="917" spans="1:10" ht="17">
      <c r="A917" s="168"/>
      <c r="B917" s="168"/>
      <c r="C917" s="168"/>
      <c r="G917" s="175"/>
      <c r="H917" s="175"/>
      <c r="I917" s="168"/>
      <c r="J917" s="168"/>
    </row>
    <row r="918" spans="1:10" ht="17">
      <c r="A918" s="168"/>
      <c r="B918" s="168"/>
      <c r="C918" s="168"/>
      <c r="G918" s="175"/>
      <c r="H918" s="175"/>
      <c r="I918" s="168"/>
      <c r="J918" s="168"/>
    </row>
    <row r="919" spans="1:10" ht="17">
      <c r="A919" s="168"/>
      <c r="B919" s="168"/>
      <c r="C919" s="168"/>
      <c r="G919" s="175"/>
      <c r="H919" s="175"/>
      <c r="I919" s="168"/>
      <c r="J919" s="168"/>
    </row>
    <row r="920" spans="1:10" ht="17">
      <c r="A920" s="168"/>
      <c r="B920" s="168"/>
      <c r="C920" s="168"/>
      <c r="G920" s="175"/>
      <c r="H920" s="175"/>
      <c r="I920" s="168"/>
      <c r="J920" s="168"/>
    </row>
    <row r="921" spans="1:10" ht="17">
      <c r="A921" s="168"/>
      <c r="B921" s="168"/>
      <c r="C921" s="168"/>
      <c r="G921" s="175"/>
      <c r="H921" s="175"/>
      <c r="I921" s="168"/>
      <c r="J921" s="168"/>
    </row>
    <row r="922" spans="1:10" ht="17">
      <c r="A922" s="168"/>
      <c r="B922" s="168"/>
      <c r="C922" s="168"/>
      <c r="G922" s="175"/>
      <c r="H922" s="175"/>
      <c r="I922" s="168"/>
      <c r="J922" s="168"/>
    </row>
    <row r="923" spans="1:10" ht="17">
      <c r="A923" s="168"/>
      <c r="B923" s="168"/>
      <c r="C923" s="168"/>
      <c r="G923" s="175"/>
      <c r="H923" s="175"/>
      <c r="I923" s="168"/>
      <c r="J923" s="168"/>
    </row>
    <row r="924" spans="1:10" ht="17">
      <c r="A924" s="168"/>
      <c r="B924" s="168"/>
      <c r="C924" s="168"/>
      <c r="G924" s="175"/>
      <c r="H924" s="175"/>
      <c r="I924" s="168"/>
      <c r="J924" s="168"/>
    </row>
    <row r="925" spans="1:10" ht="17">
      <c r="A925" s="168"/>
      <c r="B925" s="168"/>
      <c r="C925" s="168"/>
      <c r="G925" s="175"/>
      <c r="H925" s="175"/>
      <c r="I925" s="168"/>
      <c r="J925" s="168"/>
    </row>
    <row r="926" spans="1:10" ht="17">
      <c r="A926" s="168"/>
      <c r="B926" s="168"/>
      <c r="C926" s="168"/>
      <c r="G926" s="175"/>
      <c r="H926" s="175"/>
      <c r="I926" s="168"/>
      <c r="J926" s="168"/>
    </row>
    <row r="927" spans="1:10" ht="17">
      <c r="A927" s="168"/>
      <c r="B927" s="168"/>
      <c r="C927" s="168"/>
      <c r="G927" s="175"/>
      <c r="H927" s="175"/>
      <c r="I927" s="168"/>
      <c r="J927" s="168"/>
    </row>
    <row r="928" spans="1:10" ht="17">
      <c r="A928" s="168"/>
      <c r="B928" s="168"/>
      <c r="C928" s="168"/>
      <c r="G928" s="175"/>
      <c r="H928" s="175"/>
      <c r="I928" s="168"/>
      <c r="J928" s="168"/>
    </row>
    <row r="929" spans="1:10" ht="17">
      <c r="A929" s="168"/>
      <c r="B929" s="168"/>
      <c r="C929" s="168"/>
      <c r="G929" s="175"/>
      <c r="H929" s="175"/>
      <c r="I929" s="168"/>
      <c r="J929" s="168"/>
    </row>
    <row r="930" spans="1:10" ht="17">
      <c r="A930" s="168"/>
      <c r="B930" s="168"/>
      <c r="C930" s="168"/>
      <c r="G930" s="175"/>
      <c r="H930" s="175"/>
      <c r="I930" s="168"/>
      <c r="J930" s="168"/>
    </row>
    <row r="931" spans="1:10" ht="17">
      <c r="A931" s="168"/>
      <c r="B931" s="168"/>
      <c r="C931" s="168"/>
      <c r="G931" s="175"/>
      <c r="H931" s="175"/>
      <c r="I931" s="168"/>
      <c r="J931" s="168"/>
    </row>
    <row r="932" spans="1:10" ht="17">
      <c r="A932" s="168"/>
      <c r="B932" s="168"/>
      <c r="C932" s="168"/>
      <c r="G932" s="175"/>
      <c r="H932" s="175"/>
      <c r="I932" s="168"/>
      <c r="J932" s="168"/>
    </row>
    <row r="933" spans="1:10" ht="17">
      <c r="A933" s="168"/>
      <c r="B933" s="168"/>
      <c r="C933" s="168"/>
      <c r="G933" s="175"/>
      <c r="H933" s="175"/>
      <c r="I933" s="168"/>
      <c r="J933" s="168"/>
    </row>
    <row r="934" spans="1:10" ht="17">
      <c r="A934" s="168"/>
      <c r="B934" s="168"/>
      <c r="C934" s="168"/>
      <c r="G934" s="175"/>
      <c r="H934" s="175"/>
      <c r="I934" s="168"/>
      <c r="J934" s="168"/>
    </row>
    <row r="935" spans="1:10" ht="17">
      <c r="A935" s="168"/>
      <c r="B935" s="168"/>
      <c r="C935" s="168"/>
      <c r="G935" s="175"/>
      <c r="H935" s="175"/>
      <c r="I935" s="168"/>
      <c r="J935" s="168"/>
    </row>
    <row r="936" spans="1:10" ht="17">
      <c r="A936" s="168"/>
      <c r="B936" s="168"/>
      <c r="C936" s="168"/>
      <c r="G936" s="175"/>
      <c r="H936" s="175"/>
      <c r="I936" s="168"/>
      <c r="J936" s="168"/>
    </row>
    <row r="937" spans="1:10" ht="17">
      <c r="A937" s="168"/>
      <c r="B937" s="168"/>
      <c r="C937" s="168"/>
      <c r="G937" s="175"/>
      <c r="H937" s="175"/>
      <c r="I937" s="168"/>
      <c r="J937" s="168"/>
    </row>
    <row r="938" spans="1:10" ht="17">
      <c r="A938" s="168"/>
      <c r="B938" s="168"/>
      <c r="C938" s="168"/>
      <c r="G938" s="175"/>
      <c r="H938" s="175"/>
      <c r="I938" s="168"/>
      <c r="J938" s="168"/>
    </row>
    <row r="939" spans="1:10" ht="17">
      <c r="A939" s="168"/>
      <c r="B939" s="168"/>
      <c r="C939" s="168"/>
      <c r="G939" s="175"/>
      <c r="H939" s="175"/>
      <c r="I939" s="168"/>
      <c r="J939" s="168"/>
    </row>
    <row r="940" spans="1:10" ht="17">
      <c r="A940" s="168"/>
      <c r="B940" s="168"/>
      <c r="C940" s="168"/>
      <c r="G940" s="175"/>
      <c r="H940" s="175"/>
      <c r="I940" s="168"/>
      <c r="J940" s="168"/>
    </row>
    <row r="941" spans="1:10" ht="17">
      <c r="A941" s="168"/>
      <c r="B941" s="168"/>
      <c r="C941" s="168"/>
      <c r="G941" s="175"/>
      <c r="H941" s="175"/>
      <c r="I941" s="168"/>
      <c r="J941" s="168"/>
    </row>
    <row r="942" spans="1:10" ht="17">
      <c r="A942" s="168"/>
      <c r="B942" s="168"/>
      <c r="C942" s="168"/>
      <c r="G942" s="175"/>
      <c r="H942" s="175"/>
      <c r="I942" s="168"/>
      <c r="J942" s="168"/>
    </row>
    <row r="943" spans="1:10" ht="17">
      <c r="A943" s="168"/>
      <c r="B943" s="168"/>
      <c r="C943" s="168"/>
      <c r="G943" s="175"/>
      <c r="H943" s="175"/>
      <c r="I943" s="168"/>
      <c r="J943" s="168"/>
    </row>
    <row r="944" spans="1:10" ht="17">
      <c r="A944" s="168"/>
      <c r="B944" s="168"/>
      <c r="C944" s="168"/>
      <c r="G944" s="175"/>
      <c r="H944" s="175"/>
      <c r="I944" s="168"/>
      <c r="J944" s="168"/>
    </row>
    <row r="945" spans="1:10" ht="17">
      <c r="A945" s="168"/>
      <c r="B945" s="168"/>
      <c r="C945" s="168"/>
      <c r="G945" s="175"/>
      <c r="H945" s="175"/>
      <c r="I945" s="168"/>
      <c r="J945" s="168"/>
    </row>
    <row r="946" spans="1:10" ht="17">
      <c r="A946" s="168"/>
      <c r="B946" s="168"/>
      <c r="C946" s="168"/>
      <c r="G946" s="175"/>
      <c r="H946" s="175"/>
      <c r="I946" s="168"/>
      <c r="J946" s="168"/>
    </row>
    <row r="947" spans="1:10" ht="17">
      <c r="A947" s="168"/>
      <c r="B947" s="168"/>
      <c r="C947" s="168"/>
      <c r="G947" s="175"/>
      <c r="H947" s="175"/>
      <c r="I947" s="168"/>
      <c r="J947" s="168"/>
    </row>
    <row r="948" spans="1:10" ht="17">
      <c r="A948" s="168"/>
      <c r="B948" s="168"/>
      <c r="C948" s="168"/>
      <c r="G948" s="175"/>
      <c r="H948" s="175"/>
      <c r="I948" s="168"/>
      <c r="J948" s="168"/>
    </row>
    <row r="949" spans="1:10" ht="17">
      <c r="A949" s="168"/>
      <c r="B949" s="168"/>
      <c r="C949" s="168"/>
      <c r="G949" s="175"/>
      <c r="H949" s="175"/>
      <c r="I949" s="168"/>
      <c r="J949" s="168"/>
    </row>
    <row r="950" spans="1:10" ht="17">
      <c r="A950" s="168"/>
      <c r="B950" s="168"/>
      <c r="C950" s="168"/>
      <c r="G950" s="175"/>
      <c r="H950" s="175"/>
      <c r="I950" s="168"/>
      <c r="J950" s="168"/>
    </row>
    <row r="951" spans="1:10" ht="17">
      <c r="A951" s="168"/>
      <c r="B951" s="168"/>
      <c r="C951" s="168"/>
      <c r="G951" s="175"/>
      <c r="H951" s="175"/>
      <c r="I951" s="168"/>
      <c r="J951" s="168"/>
    </row>
    <row r="952" spans="1:10" ht="17">
      <c r="A952" s="168"/>
      <c r="B952" s="168"/>
      <c r="C952" s="168"/>
      <c r="G952" s="175"/>
      <c r="H952" s="175"/>
      <c r="I952" s="168"/>
      <c r="J952" s="168"/>
    </row>
    <row r="953" spans="1:10" ht="17">
      <c r="A953" s="168"/>
      <c r="B953" s="168"/>
      <c r="C953" s="168"/>
      <c r="G953" s="175"/>
      <c r="H953" s="175"/>
      <c r="I953" s="168"/>
      <c r="J953" s="168"/>
    </row>
    <row r="954" spans="1:10" ht="17">
      <c r="A954" s="168"/>
      <c r="B954" s="168"/>
      <c r="C954" s="168"/>
      <c r="G954" s="175"/>
      <c r="H954" s="175"/>
      <c r="I954" s="168"/>
      <c r="J954" s="168"/>
    </row>
    <row r="955" spans="1:10" ht="17">
      <c r="A955" s="168"/>
      <c r="B955" s="168"/>
      <c r="C955" s="168"/>
      <c r="G955" s="175"/>
      <c r="H955" s="175"/>
      <c r="I955" s="168"/>
      <c r="J955" s="168"/>
    </row>
    <row r="956" spans="1:10" ht="17">
      <c r="A956" s="168"/>
      <c r="B956" s="168"/>
      <c r="C956" s="168"/>
      <c r="G956" s="175"/>
      <c r="H956" s="175"/>
      <c r="I956" s="168"/>
      <c r="J956" s="168"/>
    </row>
    <row r="957" spans="1:10" ht="17">
      <c r="A957" s="168"/>
      <c r="B957" s="168"/>
      <c r="C957" s="168"/>
      <c r="G957" s="175"/>
      <c r="H957" s="175"/>
      <c r="I957" s="168"/>
      <c r="J957" s="168"/>
    </row>
    <row r="958" spans="1:10" ht="17">
      <c r="A958" s="168"/>
      <c r="B958" s="168"/>
      <c r="C958" s="168"/>
      <c r="G958" s="175"/>
      <c r="H958" s="175"/>
      <c r="I958" s="168"/>
      <c r="J958" s="168"/>
    </row>
    <row r="959" spans="1:10" ht="17">
      <c r="A959" s="168"/>
      <c r="B959" s="168"/>
      <c r="C959" s="168"/>
      <c r="G959" s="175"/>
      <c r="H959" s="175"/>
      <c r="I959" s="168"/>
      <c r="J959" s="168"/>
    </row>
    <row r="960" spans="1:10" ht="17">
      <c r="A960" s="168"/>
      <c r="B960" s="168"/>
      <c r="C960" s="168"/>
      <c r="G960" s="175"/>
      <c r="H960" s="175"/>
      <c r="I960" s="168"/>
      <c r="J960" s="168"/>
    </row>
    <row r="961" spans="1:10" ht="17">
      <c r="A961" s="168"/>
      <c r="B961" s="168"/>
      <c r="C961" s="168"/>
      <c r="G961" s="175"/>
      <c r="H961" s="175"/>
      <c r="I961" s="168"/>
      <c r="J961" s="168"/>
    </row>
    <row r="962" spans="1:10" ht="17">
      <c r="A962" s="168"/>
      <c r="B962" s="168"/>
      <c r="C962" s="168"/>
      <c r="G962" s="175"/>
      <c r="H962" s="175"/>
      <c r="I962" s="168"/>
      <c r="J962" s="168"/>
    </row>
    <row r="963" spans="1:10" ht="17">
      <c r="A963" s="168"/>
      <c r="B963" s="168"/>
      <c r="C963" s="168"/>
      <c r="G963" s="175"/>
      <c r="H963" s="175"/>
      <c r="I963" s="168"/>
      <c r="J963" s="168"/>
    </row>
    <row r="964" spans="1:10" ht="17">
      <c r="A964" s="168"/>
      <c r="B964" s="168"/>
      <c r="C964" s="168"/>
      <c r="G964" s="175"/>
      <c r="H964" s="175"/>
      <c r="I964" s="168"/>
      <c r="J964" s="168"/>
    </row>
    <row r="965" spans="1:10" ht="17">
      <c r="A965" s="168"/>
      <c r="B965" s="168"/>
      <c r="C965" s="168"/>
      <c r="G965" s="175"/>
      <c r="H965" s="175"/>
      <c r="I965" s="168"/>
      <c r="J965" s="168"/>
    </row>
    <row r="966" spans="1:10" ht="17">
      <c r="A966" s="168"/>
      <c r="B966" s="168"/>
      <c r="C966" s="168"/>
      <c r="G966" s="175"/>
      <c r="H966" s="175"/>
      <c r="I966" s="168"/>
      <c r="J966" s="168"/>
    </row>
    <row r="967" spans="1:10" ht="17">
      <c r="A967" s="168"/>
      <c r="B967" s="168"/>
      <c r="C967" s="168"/>
      <c r="G967" s="175"/>
      <c r="H967" s="175"/>
      <c r="I967" s="168"/>
      <c r="J967" s="168"/>
    </row>
    <row r="968" spans="1:10" ht="17">
      <c r="A968" s="168"/>
      <c r="B968" s="168"/>
      <c r="C968" s="168"/>
      <c r="G968" s="175"/>
      <c r="H968" s="175"/>
      <c r="I968" s="168"/>
      <c r="J968" s="168"/>
    </row>
    <row r="969" spans="1:10" ht="17">
      <c r="A969" s="168"/>
      <c r="B969" s="168"/>
      <c r="C969" s="168"/>
      <c r="G969" s="175"/>
      <c r="H969" s="175"/>
      <c r="I969" s="168"/>
      <c r="J969" s="168"/>
    </row>
    <row r="970" spans="1:10" ht="17">
      <c r="A970" s="168"/>
      <c r="B970" s="168"/>
      <c r="C970" s="168"/>
      <c r="G970" s="175"/>
      <c r="H970" s="175"/>
      <c r="I970" s="168"/>
      <c r="J970" s="168"/>
    </row>
    <row r="971" spans="1:10" ht="17">
      <c r="A971" s="168"/>
      <c r="B971" s="168"/>
      <c r="C971" s="168"/>
      <c r="G971" s="175"/>
      <c r="H971" s="175"/>
      <c r="I971" s="168"/>
      <c r="J971" s="168"/>
    </row>
    <row r="972" spans="1:10" ht="17">
      <c r="A972" s="168"/>
      <c r="B972" s="168"/>
      <c r="C972" s="168"/>
      <c r="G972" s="175"/>
      <c r="H972" s="175"/>
      <c r="I972" s="168"/>
      <c r="J972" s="168"/>
    </row>
    <row r="973" spans="1:10" ht="17">
      <c r="A973" s="168"/>
      <c r="B973" s="168"/>
      <c r="C973" s="168"/>
      <c r="G973" s="175"/>
      <c r="H973" s="175"/>
      <c r="I973" s="168"/>
      <c r="J973" s="168"/>
    </row>
    <row r="974" spans="1:10" ht="17">
      <c r="A974" s="168"/>
      <c r="B974" s="168"/>
      <c r="C974" s="168"/>
      <c r="G974" s="175"/>
      <c r="H974" s="175"/>
      <c r="I974" s="168"/>
      <c r="J974" s="168"/>
    </row>
    <row r="975" spans="1:10" ht="17">
      <c r="A975" s="168"/>
      <c r="B975" s="168"/>
      <c r="C975" s="168"/>
      <c r="G975" s="175"/>
      <c r="H975" s="175"/>
      <c r="I975" s="168"/>
      <c r="J975" s="168"/>
    </row>
    <row r="976" spans="1:10" ht="17">
      <c r="A976" s="168"/>
      <c r="B976" s="168"/>
      <c r="C976" s="168"/>
      <c r="G976" s="175"/>
      <c r="H976" s="175"/>
      <c r="I976" s="168"/>
      <c r="J976" s="168"/>
    </row>
    <row r="977" spans="1:10" ht="17">
      <c r="A977" s="168"/>
      <c r="B977" s="168"/>
      <c r="C977" s="168"/>
      <c r="G977" s="175"/>
      <c r="H977" s="175"/>
      <c r="I977" s="168"/>
      <c r="J977" s="168"/>
    </row>
    <row r="978" spans="1:10" ht="17">
      <c r="A978" s="168"/>
      <c r="B978" s="168"/>
      <c r="C978" s="168"/>
      <c r="G978" s="175"/>
      <c r="H978" s="175"/>
      <c r="I978" s="168"/>
      <c r="J978" s="168"/>
    </row>
    <row r="979" spans="1:10" ht="17">
      <c r="A979" s="168"/>
      <c r="B979" s="168"/>
      <c r="C979" s="168"/>
      <c r="G979" s="175"/>
      <c r="H979" s="175"/>
      <c r="I979" s="168"/>
      <c r="J979" s="168"/>
    </row>
    <row r="980" spans="1:10" ht="17">
      <c r="A980" s="168"/>
      <c r="B980" s="168"/>
      <c r="C980" s="168"/>
      <c r="G980" s="175"/>
      <c r="H980" s="175"/>
      <c r="I980" s="168"/>
      <c r="J980" s="168"/>
    </row>
    <row r="981" spans="1:10" ht="17">
      <c r="A981" s="168"/>
      <c r="B981" s="168"/>
      <c r="C981" s="168"/>
      <c r="G981" s="175"/>
      <c r="H981" s="175"/>
      <c r="I981" s="168"/>
      <c r="J981" s="168"/>
    </row>
    <row r="982" spans="1:10" ht="17">
      <c r="A982" s="168"/>
      <c r="B982" s="168"/>
      <c r="C982" s="168"/>
      <c r="G982" s="175"/>
      <c r="H982" s="175"/>
      <c r="I982" s="168"/>
      <c r="J982" s="168"/>
    </row>
    <row r="983" spans="1:10" ht="17">
      <c r="A983" s="168"/>
      <c r="B983" s="168"/>
      <c r="C983" s="168"/>
      <c r="G983" s="175"/>
      <c r="H983" s="175"/>
      <c r="I983" s="168"/>
      <c r="J983" s="168"/>
    </row>
    <row r="984" spans="1:10" ht="17">
      <c r="A984" s="168"/>
      <c r="B984" s="168"/>
      <c r="C984" s="168"/>
      <c r="G984" s="175"/>
      <c r="H984" s="175"/>
      <c r="I984" s="168"/>
      <c r="J984" s="168"/>
    </row>
    <row r="985" spans="1:10" ht="17">
      <c r="A985" s="168"/>
      <c r="B985" s="168"/>
      <c r="C985" s="168"/>
      <c r="G985" s="175"/>
      <c r="H985" s="175"/>
      <c r="I985" s="168"/>
      <c r="J985" s="168"/>
    </row>
    <row r="986" spans="1:10" ht="17">
      <c r="A986" s="168"/>
      <c r="B986" s="168"/>
      <c r="C986" s="168"/>
      <c r="G986" s="175"/>
      <c r="H986" s="175"/>
      <c r="I986" s="168"/>
      <c r="J986" s="168"/>
    </row>
    <row r="987" spans="1:10" ht="17">
      <c r="A987" s="168"/>
      <c r="B987" s="168"/>
      <c r="C987" s="168"/>
      <c r="G987" s="175"/>
      <c r="H987" s="175"/>
      <c r="I987" s="168"/>
      <c r="J987" s="168"/>
    </row>
    <row r="988" spans="1:10" ht="17">
      <c r="A988" s="168"/>
      <c r="B988" s="168"/>
      <c r="C988" s="168"/>
      <c r="G988" s="175"/>
      <c r="H988" s="175"/>
      <c r="I988" s="168"/>
      <c r="J988" s="168"/>
    </row>
    <row r="989" spans="1:10" ht="17">
      <c r="A989" s="168"/>
      <c r="B989" s="168"/>
      <c r="C989" s="168"/>
      <c r="G989" s="175"/>
      <c r="H989" s="175"/>
      <c r="I989" s="168"/>
      <c r="J989" s="168"/>
    </row>
    <row r="990" spans="1:10" ht="17">
      <c r="A990" s="168"/>
      <c r="B990" s="168"/>
      <c r="C990" s="168"/>
      <c r="G990" s="175"/>
      <c r="H990" s="175"/>
      <c r="I990" s="168"/>
      <c r="J990" s="168"/>
    </row>
    <row r="991" spans="1:10" ht="17">
      <c r="A991" s="168"/>
      <c r="B991" s="168"/>
      <c r="C991" s="168"/>
      <c r="G991" s="175"/>
      <c r="H991" s="175"/>
      <c r="I991" s="168"/>
      <c r="J991" s="168"/>
    </row>
    <row r="992" spans="1:10" ht="17">
      <c r="A992" s="168"/>
      <c r="B992" s="168"/>
      <c r="C992" s="168"/>
      <c r="G992" s="175"/>
      <c r="H992" s="175"/>
      <c r="I992" s="168"/>
      <c r="J992" s="168"/>
    </row>
    <row r="993" spans="1:10" ht="17">
      <c r="A993" s="168"/>
      <c r="B993" s="168"/>
      <c r="C993" s="168"/>
      <c r="G993" s="175"/>
      <c r="H993" s="175"/>
      <c r="I993" s="168"/>
      <c r="J993" s="168"/>
    </row>
    <row r="994" spans="1:10" ht="17">
      <c r="A994" s="168"/>
      <c r="B994" s="168"/>
      <c r="C994" s="168"/>
      <c r="G994" s="175"/>
      <c r="H994" s="175"/>
      <c r="I994" s="168"/>
      <c r="J994" s="168"/>
    </row>
    <row r="995" spans="1:10" ht="17">
      <c r="A995" s="168"/>
      <c r="B995" s="168"/>
      <c r="C995" s="168"/>
      <c r="G995" s="175"/>
      <c r="H995" s="175"/>
      <c r="I995" s="168"/>
      <c r="J995" s="168"/>
    </row>
    <row r="996" spans="1:10" ht="17">
      <c r="A996" s="168"/>
      <c r="B996" s="168"/>
      <c r="C996" s="168"/>
      <c r="G996" s="175"/>
      <c r="H996" s="175"/>
      <c r="I996" s="168"/>
      <c r="J996" s="168"/>
    </row>
    <row r="997" spans="1:10" ht="17">
      <c r="A997" s="168"/>
      <c r="B997" s="168"/>
      <c r="C997" s="168"/>
      <c r="G997" s="175"/>
      <c r="H997" s="175"/>
      <c r="I997" s="168"/>
      <c r="J997" s="168"/>
    </row>
    <row r="998" spans="1:10" ht="17">
      <c r="A998" s="168"/>
      <c r="B998" s="168"/>
      <c r="C998" s="168"/>
      <c r="G998" s="175"/>
      <c r="H998" s="175"/>
      <c r="I998" s="168"/>
      <c r="J998" s="168"/>
    </row>
    <row r="999" spans="1:10" ht="17">
      <c r="A999" s="168"/>
      <c r="B999" s="168"/>
      <c r="C999" s="168"/>
      <c r="G999" s="175"/>
      <c r="H999" s="175"/>
      <c r="I999" s="168"/>
      <c r="J999" s="168"/>
    </row>
    <row r="1000" spans="1:10" ht="17">
      <c r="A1000" s="168"/>
      <c r="B1000" s="168"/>
      <c r="C1000" s="168"/>
      <c r="G1000" s="175"/>
      <c r="H1000" s="175"/>
      <c r="I1000" s="168"/>
      <c r="J1000" s="168"/>
    </row>
  </sheetData>
  <customSheetViews>
    <customSheetView guid="{D79BF14D-0E82-45EB-9150-71D665DC09E0}" filter="1" showAutoFilter="1">
      <pageMargins left="0.7" right="0.7" top="0.75" bottom="0.75" header="0.3" footer="0.3"/>
      <autoFilter ref="B1:C200" xr:uid="{BB0ACDFF-1F83-CC49-85B7-3BB72877D503}">
        <filterColumn colId="1">
          <filters>
            <filter val="1. CS undergrad is crucial"/>
            <filter val="1. Prof S teaches all number theory required for the course. 2. Assignments are challenging but doable with what you learn. 3. Pay close attention to lectures and labs"/>
            <filter val="Come in with a good understanding of what you want to work on, similar to software architecture finals. Also, be familiar with ACM written paper format as you will be using that for the report."/>
            <filter val="Computer Science undergrad STRONGLY RECOMMENDED."/>
            <filter val="Content doesn't match the assignments, you learn the theory but for the programming portion they only give you some notes that don't even prepare you for the programming assignments"/>
            <filter val="Courses built of the previous so make sure you really get a good foundation from the previous course. Instructor still described things well but will take some self learning."/>
            <filter val="CS undergrad is crucial here"/>
            <filter val="Extremely short and easy. Pretty interesting too. Some (very few) exam questions aren’t covered in lectures though."/>
            <filter val="Going through the previous two courses in the certificate is very helpful for refreshing or getting up to speed. Assignments are nice twists on the in-class examples that require you to understand the underlying algorithms and how to tweak them"/>
            <filter val="Good idea is to do the first course, other than that the course is not hard and is interesting - taught me fun things I had not known before_x000a_Easy assignments - make sure to use an IDE if not on Mac"/>
            <filter val="half my time spent on this course was getting environments and code to actually run before doing course work."/>
            <filter val="Honestly, best to have some understanding of NNs prior to the course. 3Blue1Brown is helpful as well as googling how the architectures work prior to her lessons, which often dont cover things as well."/>
            <filter val="I believe this course and potentially the entire Big Data specialization could benefit from an update maybe recreate the courses from scratch again"/>
            <filter val="I enjoyed this less than the first course.  Lots of focus on a narrow range of topics, and not nearly enough time spent on other things."/>
            <filter val="I had no prior knowledge for robotics and felt like the guides were well set up for this class and I feel like the professor does well with a lot of examples getting environments set up."/>
            <filter val="I recommend listening to the lectures similarly to podcasts while doing other things during your day to save time"/>
            <filter val="I recommend reading all articles enough to understand the general idea and enhance your perspective"/>
            <filter val="I think the instructor may need better lecture skills. The lectures somehow drove me mad."/>
            <filter val="If you took the first course, this should be more straight forward and easier."/>
            <filter val="Instructor is not effective, and assignment requirements are not adequately explained.  I highly recommend doing the data mining pathway before these courses, so that you will have some background in the ML techniques used in this course."/>
            <filter val="It would be helpful to have some knowledge of backend programming and kotlin."/>
            <filter val="Make sure you are familiar with the proctor exam process. Otherwise, just relook at the slides and lectures prior to exams."/>
            <filter val="Make sure you are familiar with the proctor exam process. Otherwise, just relook at the slides and lectures prior to exams. This is slightly harder than the 1st course but just be familiar with how each method works and know when to choose them."/>
            <filter val="MCQ exam (12 hours time limit; 1 attempt)"/>
            <filter val="memoization was tricky but was so satisfying to figure out! Great class!"/>
            <filter val="More straightforward than the first course.  Most of the programming assignments are surprisingly simple."/>
            <filter val="Mostly conceptual class with some fun programming challenges for a little hands on.  Had a little trouble getting some of the programming assignments to pass, even when the problem was solved correctly."/>
            <filter val="Nice course. I like the instructors teaching style and the assignments reinforce the material learned for each week.  I think the exam was fairly tricky, but fair."/>
            <filter val="Nice last one of the series, at least this series improves over the three classes. The project is a very nice way to learn a lot and practice skills learned in the class.  Also it gives a nice project to put on the resume."/>
            <filter val="No need for any background in this class. The content of the data pipeline is good and reflects what you'll see in the &quot;real world&quot;. However, the assignments are too easy. I didn't think they challenged the ideas that were taught in the class."/>
            <filter val="No prior knowledge needed, just critical thinking and research skills. Assignments are pretty repetitive + easy, just make sure to hit all of parts of the questions they ask, as all of them will appear on the rubric for most assignments."/>
            <filter val="Prep : Previous courses would be enough_x000a_Assignments and exams : have to go deep into the readings but not much besides that_x000a_Tips : Assignments involve actually getting a GCP account and using it. Be prepared to spend money or new GCP account free credits."/>
            <filter val="Prepare in advance to write many essays"/>
            <filter val="Probably more hands on quizes or problems that have a guide solution to get some practice and familiarity before diving into the big final project"/>
            <filter val="Python, heaps, graphs. A couple of exercises are hard. I read the book chapters before the videos."/>
            <filter val="Really good class. Can't say enough about how good the entire pathway is."/>
            <filter val="Relatively chill content and interesting. Not much needed as foundation"/>
            <filter val="Reviewing the first two non credit courses helped with data structures used in the course"/>
            <filter val="Same as prev course—Java, Kotlin, bit of Python. Make sure you complete these classes in order!"/>
            <filter val="Some experience with Java and Kotlin would be helpful. Additionally, understanding how to navigate monorepos. One of the biggest challenges was getting your environment setup for development with Java if you don't already have one."/>
            <filter val="Start early"/>
            <filter val="Straightforward course, very theoretical.  I wish there were some application."/>
            <filter val="taking more time then expected, really minimal instruction on project/assignments"/>
            <filter val="The book Understanding Distributed Systems by Roberto Vitillo is incredibly useful for this entire specialisation"/>
            <filter val="The course is hard for people haven't take any data structure course before. Even if I took the previous two courses in this specialization, I found it really hard."/>
            <filter val="The course provides a good dive into linux networking as well as an overview of docker and kubernetes. The quizzes are sufficient preparation for the final."/>
            <filter val="The course was just released when I took it and had a lot of mistakes in quizzes.  Instructor has been responsive in correcting them."/>
            <filter val="The instructor is really excellent at explaining the concepts in intuitive manner. Having said that, the class was way too easy for a graduate level course."/>
            <filter val="The labs are pretty easy and fun.  Ironically it is way easier to set them up on a windows system than Linux."/>
            <filter val="The programming assignments aren't always worded very clearly, pay attention to the test results."/>
            <filter val="The project is what you make it.  You can do the bare bones minimum to get an A fairly quickly, or build something cool."/>
            <filter val="The Quantum Computing parts are easily the most complicated. The basic concepts &amp; basic qubit gates are very doable, but once it went into more complex multi-qubit systems I got lost quite a bit. I was still able to solve most problems and get an A."/>
            <filter val="The time you spend on this class will completely depend on your prior experience and the project you choose."/>
            <filter val="The two DS&amp;A courses before this one aren't necessary but they are helpful for getting used to the thinking patterns for DS&amp;A."/>
            <filter val="This course was a big improvement over the previous course. The assignments were much better than the previous course; however, they still could have been more challenging and more broad to the material that was taught in the class."/>
            <filter val="This was a fun class.  Fairly easy but very hands on and practical.  I recommend you take the time to do the optional honors quizzes, it will help prepare for the final."/>
            <filter val="Thorough, clear introduction.  Straightforward lab assignments (except for one, which could use some revision)"/>
            <filter val="Time commitment will vary widely, dependent on the project one chooses and the detail into which one goes"/>
            <filter val="Tyson is a bit better as an instructor and the soccer match predictor was a very cool assignment."/>
            <filter val="Use Statquest and ISLR prior to her lectures."/>
            <filter val="Very chill and mostly intuition learning."/>
            <filter val="very informative and the work load is light"/>
            <filter val="Way too many 'youknow's in the course. Its very distracting and difficult to focus."/>
            <filter val="While it might not be a difficult course, the essays can be very time consuming, especially for someone who isn't that good at writing. Despite this, I found the content very interesting &amp; valuable."/>
            <filter val="You need the previous modules for sure. This is a major improvement over the previous because of the labs"/>
          </filters>
        </filterColumn>
      </autoFilter>
    </customSheetView>
  </customSheetViews>
  <conditionalFormatting sqref="G1:G1000">
    <cfRule type="containsText" dxfId="35" priority="1" operator="containsText" text="dynamic programming">
      <formula>NOT(ISERROR(SEARCH(("dynamic programming"),(G1))))</formula>
    </cfRule>
    <cfRule type="containsText" dxfId="34" priority="2" operator="containsText" text="approximation algorithms">
      <formula>NOT(ISERROR(SEARCH(("approximation algorithms"),(G1))))</formula>
    </cfRule>
    <cfRule type="containsText" dxfId="33" priority="3" operator="containsText" text="fundamentals of software">
      <formula>NOT(ISERROR(SEARCH(("fundamentals of software"),(G1))))</formula>
    </cfRule>
    <cfRule type="containsText" dxfId="32" priority="4" operator="containsText" text="software architecture patterns">
      <formula>NOT(ISERROR(SEARCH(("software architecture patterns"),(G1))))</formula>
    </cfRule>
    <cfRule type="containsText" dxfId="31" priority="5" operator="containsText" text="applications of software architecture">
      <formula>NOT(ISERROR(SEARCH(("applications of software architecture"),(G1))))</formula>
    </cfRule>
    <cfRule type="containsText" dxfId="30" priority="6" operator="containsText" text="Introduction to machine learning: Supervised learning">
      <formula>NOT(ISERROR(SEARCH(("Introduction to machine learning: Supervised learning"),(G1))))</formula>
    </cfRule>
    <cfRule type="containsText" dxfId="29" priority="7" operator="containsText" text="Computing, ethics, and Society">
      <formula>NOT(ISERROR(SEARCH(("Computing, ethics, and Society"),(G1))))</formula>
    </cfRule>
    <cfRule type="containsText" dxfId="28" priority="8" operator="containsText" text="ethical issues in computing">
      <formula>NOT(ISERROR(SEARCH(("ethical issues in computing"),(G1))))</formula>
    </cfRule>
    <cfRule type="containsText" dxfId="27" priority="9" operator="containsText" text="network systems foundation">
      <formula>NOT(ISERROR(SEARCH(("network systems foundation"),(G1))))</formula>
    </cfRule>
    <cfRule type="containsText" dxfId="26" priority="10" operator="containsText" text="introduction to generative ai">
      <formula>NOT(ISERROR(SEARCH(("introduction to generative ai"),(G1))))</formula>
    </cfRule>
    <cfRule type="containsText" dxfId="25" priority="11" operator="containsText" text="Data Mining Pipeline">
      <formula>NOT(ISERROR(SEARCH(("Data Mining Pipeline"),(G1))))</formula>
    </cfRule>
    <cfRule type="containsText" dxfId="24" priority="12" operator="containsText" text="Data Mining Methods">
      <formula>NOT(ISERROR(SEARCH(("Data Mining Methods"),(G1))))</formula>
    </cfRule>
    <cfRule type="containsText" dxfId="23" priority="13" operator="containsText" text="Advanced Data Structures">
      <formula>NOT(ISERROR(SEARCH(("Advanced Data Structures"),(G1))))</formula>
    </cfRule>
    <cfRule type="containsText" dxfId="22" priority="14" operator="containsText" text="Unsupervised Algorithms in Machine Learning">
      <formula>NOT(ISERROR(SEARCH(("Unsupervised Algorithms in Machine Learning"),(G1))))</formula>
    </cfRule>
    <cfRule type="containsText" dxfId="21" priority="15" operator="containsText" text="Introduction to Deep Learning">
      <formula>NOT(ISERROR(SEARCH(("Introduction to Deep Learning"),(G1))))</formula>
    </cfRule>
    <cfRule type="containsText" dxfId="20" priority="16" operator="containsText" text="Data Mining Project">
      <formula>NOT(ISERROR(SEARCH(("Data Mining Project"),(G1))))</formula>
    </cfRule>
    <cfRule type="containsText" dxfId="19" priority="17" operator="containsText" text="Network Principles in Practice: Linux">
      <formula>NOT(ISERROR(SEARCH(("Network Principles in Practice: Linux"),(G1))))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H216"/>
  <sheetViews>
    <sheetView workbookViewId="0">
      <pane ySplit="1" topLeftCell="A2" activePane="bottomLeft" state="frozen"/>
      <selection pane="bottomLeft" activeCell="B3" sqref="B3"/>
    </sheetView>
  </sheetViews>
  <sheetFormatPr baseColWidth="10" defaultColWidth="14.5" defaultRowHeight="15" customHeight="1"/>
  <cols>
    <col min="1" max="1" width="21.5" customWidth="1"/>
    <col min="2" max="2" width="72.5" customWidth="1"/>
    <col min="3" max="14" width="21.5" customWidth="1"/>
  </cols>
  <sheetData>
    <row r="1" spans="1:8">
      <c r="A1" s="168" t="s">
        <v>274</v>
      </c>
      <c r="B1" s="168" t="s">
        <v>271</v>
      </c>
      <c r="C1" s="168" t="s">
        <v>275</v>
      </c>
      <c r="D1" s="168" t="s">
        <v>276</v>
      </c>
      <c r="E1" s="168" t="s">
        <v>277</v>
      </c>
      <c r="F1" s="168" t="s">
        <v>278</v>
      </c>
      <c r="G1" s="168" t="s">
        <v>279</v>
      </c>
      <c r="H1" s="168"/>
    </row>
    <row r="2" spans="1:8">
      <c r="A2" s="176">
        <v>45294.321780127313</v>
      </c>
      <c r="B2" s="168" t="s">
        <v>225</v>
      </c>
      <c r="C2" s="168">
        <v>5</v>
      </c>
      <c r="D2" s="168">
        <v>3</v>
      </c>
      <c r="E2" s="168">
        <v>5</v>
      </c>
      <c r="F2" s="168">
        <v>40</v>
      </c>
      <c r="G2" s="168" t="s">
        <v>280</v>
      </c>
      <c r="H2" s="168" t="s">
        <v>281</v>
      </c>
    </row>
    <row r="3" spans="1:8">
      <c r="A3" s="176">
        <v>45294.358516076391</v>
      </c>
      <c r="B3" s="168" t="s">
        <v>282</v>
      </c>
      <c r="C3" s="168">
        <v>4</v>
      </c>
      <c r="D3" s="168">
        <v>5</v>
      </c>
      <c r="E3" s="168">
        <v>2</v>
      </c>
      <c r="F3" s="168">
        <v>40</v>
      </c>
      <c r="H3" s="168" t="s">
        <v>281</v>
      </c>
    </row>
    <row r="4" spans="1:8">
      <c r="A4" s="176">
        <v>45294.364369988427</v>
      </c>
      <c r="B4" s="168" t="s">
        <v>244</v>
      </c>
      <c r="C4" s="168">
        <v>3</v>
      </c>
      <c r="D4" s="168">
        <v>1</v>
      </c>
      <c r="E4" s="168">
        <v>3</v>
      </c>
      <c r="F4" s="168">
        <v>19</v>
      </c>
      <c r="H4" s="168" t="s">
        <v>281</v>
      </c>
    </row>
    <row r="5" spans="1:8">
      <c r="A5" s="176">
        <v>45294.368746979162</v>
      </c>
      <c r="B5" s="168" t="s">
        <v>225</v>
      </c>
      <c r="C5" s="168">
        <v>5</v>
      </c>
      <c r="D5" s="168">
        <v>3</v>
      </c>
      <c r="E5" s="168">
        <v>4</v>
      </c>
      <c r="F5" s="168">
        <v>60</v>
      </c>
      <c r="G5" s="168" t="s">
        <v>283</v>
      </c>
      <c r="H5" s="168" t="s">
        <v>281</v>
      </c>
    </row>
    <row r="6" spans="1:8">
      <c r="A6" s="176">
        <v>45294.388382187499</v>
      </c>
      <c r="B6" s="168" t="s">
        <v>225</v>
      </c>
      <c r="C6" s="168">
        <v>5</v>
      </c>
      <c r="D6" s="168">
        <v>4</v>
      </c>
      <c r="E6" s="168">
        <v>5</v>
      </c>
      <c r="F6" s="168">
        <v>40</v>
      </c>
      <c r="G6" s="168" t="s">
        <v>284</v>
      </c>
      <c r="H6" s="168" t="s">
        <v>281</v>
      </c>
    </row>
    <row r="7" spans="1:8">
      <c r="A7" s="176">
        <v>45294.389293356478</v>
      </c>
      <c r="B7" s="168" t="s">
        <v>226</v>
      </c>
      <c r="C7" s="168">
        <v>5</v>
      </c>
      <c r="D7" s="168">
        <v>4</v>
      </c>
      <c r="E7" s="168">
        <v>5</v>
      </c>
      <c r="F7" s="168">
        <v>35</v>
      </c>
      <c r="G7" s="168" t="s">
        <v>285</v>
      </c>
      <c r="H7" s="168" t="s">
        <v>281</v>
      </c>
    </row>
    <row r="8" spans="1:8">
      <c r="A8" s="176">
        <v>45294.391009722225</v>
      </c>
      <c r="B8" s="168" t="s">
        <v>244</v>
      </c>
      <c r="C8" s="168">
        <v>3</v>
      </c>
      <c r="D8" s="168">
        <v>4</v>
      </c>
      <c r="E8" s="168">
        <v>1</v>
      </c>
      <c r="F8" s="168">
        <v>45</v>
      </c>
      <c r="G8" s="168" t="s">
        <v>286</v>
      </c>
      <c r="H8" s="168" t="s">
        <v>281</v>
      </c>
    </row>
    <row r="9" spans="1:8">
      <c r="A9" s="176">
        <v>45294.393793148149</v>
      </c>
      <c r="B9" s="168" t="s">
        <v>244</v>
      </c>
      <c r="C9" s="168">
        <v>3</v>
      </c>
      <c r="D9" s="168">
        <v>2</v>
      </c>
      <c r="E9" s="168">
        <v>1</v>
      </c>
      <c r="F9" s="168">
        <v>22</v>
      </c>
      <c r="G9" s="168" t="s">
        <v>287</v>
      </c>
      <c r="H9" s="168" t="s">
        <v>281</v>
      </c>
    </row>
    <row r="10" spans="1:8">
      <c r="A10" s="176">
        <v>45294.395218483798</v>
      </c>
      <c r="B10" s="168" t="s">
        <v>245</v>
      </c>
      <c r="C10" s="168">
        <v>3</v>
      </c>
      <c r="D10" s="168">
        <v>2</v>
      </c>
      <c r="E10" s="168">
        <v>2</v>
      </c>
      <c r="F10" s="168">
        <v>20</v>
      </c>
      <c r="H10" s="168" t="s">
        <v>281</v>
      </c>
    </row>
    <row r="11" spans="1:8">
      <c r="A11" s="176">
        <v>45294.39649457176</v>
      </c>
      <c r="B11" s="168" t="s">
        <v>246</v>
      </c>
      <c r="C11" s="168">
        <v>5</v>
      </c>
      <c r="D11" s="168">
        <v>3</v>
      </c>
      <c r="E11" s="168">
        <v>2</v>
      </c>
      <c r="F11" s="168">
        <v>60</v>
      </c>
      <c r="G11" s="168" t="s">
        <v>288</v>
      </c>
      <c r="H11" s="168" t="s">
        <v>281</v>
      </c>
    </row>
    <row r="12" spans="1:8">
      <c r="A12" s="176">
        <v>45294.397078726848</v>
      </c>
      <c r="B12" s="168" t="s">
        <v>241</v>
      </c>
      <c r="C12" s="168">
        <v>4</v>
      </c>
      <c r="D12" s="168">
        <v>3</v>
      </c>
      <c r="E12" s="168">
        <v>4</v>
      </c>
      <c r="F12" s="168">
        <v>18</v>
      </c>
      <c r="H12" s="168" t="s">
        <v>281</v>
      </c>
    </row>
    <row r="13" spans="1:8">
      <c r="A13" s="176">
        <v>45294.39803246528</v>
      </c>
      <c r="B13" s="168" t="s">
        <v>234</v>
      </c>
      <c r="C13" s="168">
        <v>5</v>
      </c>
      <c r="D13" s="168">
        <v>2</v>
      </c>
      <c r="E13" s="168">
        <v>5</v>
      </c>
      <c r="F13" s="168">
        <v>30</v>
      </c>
      <c r="H13" s="168" t="s">
        <v>281</v>
      </c>
    </row>
    <row r="14" spans="1:8">
      <c r="A14" s="176">
        <v>45294.404304178242</v>
      </c>
      <c r="B14" s="168" t="s">
        <v>226</v>
      </c>
      <c r="C14" s="168">
        <v>5</v>
      </c>
      <c r="D14" s="168">
        <v>4</v>
      </c>
      <c r="E14" s="168">
        <v>5</v>
      </c>
      <c r="F14" s="168">
        <v>45</v>
      </c>
      <c r="H14" s="168" t="s">
        <v>281</v>
      </c>
    </row>
    <row r="15" spans="1:8">
      <c r="A15" s="176">
        <v>45294.443683414356</v>
      </c>
      <c r="B15" s="168" t="s">
        <v>225</v>
      </c>
      <c r="C15" s="168">
        <v>4</v>
      </c>
      <c r="D15" s="168">
        <v>2</v>
      </c>
      <c r="E15" s="168">
        <v>5</v>
      </c>
      <c r="F15" s="168">
        <v>40</v>
      </c>
      <c r="H15" s="168" t="s">
        <v>281</v>
      </c>
    </row>
    <row r="16" spans="1:8">
      <c r="A16" s="176">
        <v>45294.757116412038</v>
      </c>
      <c r="B16" s="168" t="s">
        <v>282</v>
      </c>
      <c r="C16" s="168">
        <v>3</v>
      </c>
      <c r="D16" s="168">
        <v>4</v>
      </c>
      <c r="E16" s="168">
        <v>1</v>
      </c>
      <c r="F16" s="168">
        <v>40</v>
      </c>
      <c r="G16" s="168" t="s">
        <v>289</v>
      </c>
      <c r="H16" s="168" t="s">
        <v>281</v>
      </c>
    </row>
    <row r="17" spans="1:8">
      <c r="A17" s="176">
        <v>45294.758260798611</v>
      </c>
      <c r="B17" s="168" t="s">
        <v>225</v>
      </c>
      <c r="C17" s="168">
        <v>5</v>
      </c>
      <c r="D17" s="168">
        <v>4</v>
      </c>
      <c r="E17" s="168">
        <v>5</v>
      </c>
      <c r="F17" s="168">
        <v>35</v>
      </c>
      <c r="G17" s="168" t="s">
        <v>290</v>
      </c>
      <c r="H17" s="168" t="s">
        <v>281</v>
      </c>
    </row>
    <row r="18" spans="1:8">
      <c r="A18" s="176">
        <v>45294.759702881944</v>
      </c>
      <c r="B18" s="168" t="s">
        <v>234</v>
      </c>
      <c r="C18" s="168">
        <v>4</v>
      </c>
      <c r="D18" s="168">
        <v>2</v>
      </c>
      <c r="E18" s="168">
        <v>3</v>
      </c>
      <c r="F18" s="168">
        <v>25</v>
      </c>
      <c r="G18" s="168" t="s">
        <v>291</v>
      </c>
      <c r="H18" s="168" t="s">
        <v>281</v>
      </c>
    </row>
    <row r="19" spans="1:8">
      <c r="A19" s="176">
        <v>45294.761066979168</v>
      </c>
      <c r="B19" s="168" t="s">
        <v>244</v>
      </c>
      <c r="C19" s="168">
        <v>3</v>
      </c>
      <c r="D19" s="168">
        <v>3</v>
      </c>
      <c r="E19" s="168">
        <v>2</v>
      </c>
      <c r="F19" s="168">
        <v>20</v>
      </c>
      <c r="G19" s="168" t="s">
        <v>292</v>
      </c>
      <c r="H19" s="168" t="s">
        <v>281</v>
      </c>
    </row>
    <row r="20" spans="1:8">
      <c r="A20" s="176">
        <v>45294.763008912036</v>
      </c>
      <c r="B20" s="168" t="s">
        <v>246</v>
      </c>
      <c r="C20" s="168">
        <v>3</v>
      </c>
      <c r="D20" s="168">
        <v>4</v>
      </c>
      <c r="E20" s="168">
        <v>1</v>
      </c>
      <c r="F20" s="168">
        <v>40</v>
      </c>
      <c r="G20" s="168" t="s">
        <v>293</v>
      </c>
      <c r="H20" s="168" t="s">
        <v>281</v>
      </c>
    </row>
    <row r="21" spans="1:8">
      <c r="A21" s="176">
        <v>45294.833798402775</v>
      </c>
      <c r="B21" s="168" t="s">
        <v>225</v>
      </c>
      <c r="C21" s="168">
        <v>5</v>
      </c>
      <c r="D21" s="168">
        <v>3</v>
      </c>
      <c r="E21" s="168">
        <v>5</v>
      </c>
      <c r="F21" s="168">
        <v>45</v>
      </c>
      <c r="G21" s="168" t="s">
        <v>294</v>
      </c>
      <c r="H21" s="168" t="s">
        <v>281</v>
      </c>
    </row>
    <row r="22" spans="1:8">
      <c r="A22" s="176">
        <v>45294.835207719909</v>
      </c>
      <c r="B22" s="168" t="s">
        <v>226</v>
      </c>
      <c r="C22" s="168">
        <v>4</v>
      </c>
      <c r="D22" s="168">
        <v>4</v>
      </c>
      <c r="E22" s="168">
        <v>5</v>
      </c>
      <c r="F22" s="168">
        <v>55</v>
      </c>
      <c r="G22" s="168" t="s">
        <v>295</v>
      </c>
      <c r="H22" s="168" t="s">
        <v>281</v>
      </c>
    </row>
    <row r="23" spans="1:8">
      <c r="A23" s="176">
        <v>45295.122881388888</v>
      </c>
      <c r="B23" s="168" t="s">
        <v>226</v>
      </c>
      <c r="C23" s="168">
        <v>5</v>
      </c>
      <c r="D23" s="168">
        <v>5</v>
      </c>
      <c r="E23" s="168">
        <v>5</v>
      </c>
      <c r="F23" s="168">
        <v>50</v>
      </c>
      <c r="H23" s="168" t="s">
        <v>281</v>
      </c>
    </row>
    <row r="24" spans="1:8">
      <c r="A24" s="176">
        <v>45295.123396458337</v>
      </c>
      <c r="B24" s="168" t="s">
        <v>244</v>
      </c>
      <c r="C24" s="168">
        <v>2</v>
      </c>
      <c r="D24" s="168">
        <v>3</v>
      </c>
      <c r="E24" s="168">
        <v>1</v>
      </c>
      <c r="F24" s="168">
        <v>15</v>
      </c>
      <c r="H24" s="168" t="s">
        <v>281</v>
      </c>
    </row>
    <row r="25" spans="1:8">
      <c r="A25" s="176">
        <v>45295.123648807872</v>
      </c>
      <c r="B25" s="168" t="s">
        <v>245</v>
      </c>
      <c r="C25" s="168">
        <v>2</v>
      </c>
      <c r="D25" s="168">
        <v>2</v>
      </c>
      <c r="E25" s="168">
        <v>1</v>
      </c>
      <c r="F25" s="168">
        <v>18</v>
      </c>
      <c r="H25" s="168" t="s">
        <v>281</v>
      </c>
    </row>
    <row r="26" spans="1:8">
      <c r="A26" s="176">
        <v>45295.124072766208</v>
      </c>
      <c r="B26" s="168" t="s">
        <v>246</v>
      </c>
      <c r="C26" s="168">
        <v>4</v>
      </c>
      <c r="D26" s="168">
        <v>3</v>
      </c>
      <c r="E26" s="168">
        <v>2</v>
      </c>
      <c r="F26" s="168">
        <v>40</v>
      </c>
      <c r="H26" s="168" t="s">
        <v>281</v>
      </c>
    </row>
    <row r="27" spans="1:8">
      <c r="A27" s="176">
        <v>45295.124500983795</v>
      </c>
      <c r="B27" s="168" t="s">
        <v>282</v>
      </c>
      <c r="C27" s="168">
        <v>4</v>
      </c>
      <c r="D27" s="168">
        <v>4</v>
      </c>
      <c r="E27" s="168">
        <v>2</v>
      </c>
      <c r="F27" s="168">
        <v>40</v>
      </c>
      <c r="H27" s="168" t="s">
        <v>281</v>
      </c>
    </row>
    <row r="28" spans="1:8">
      <c r="A28" s="176">
        <v>45295.124689594908</v>
      </c>
      <c r="B28" s="168" t="s">
        <v>232</v>
      </c>
      <c r="C28" s="168">
        <v>4</v>
      </c>
      <c r="D28" s="168">
        <v>5</v>
      </c>
      <c r="E28" s="168">
        <v>2</v>
      </c>
      <c r="F28" s="168">
        <v>45</v>
      </c>
      <c r="H28" s="168" t="s">
        <v>281</v>
      </c>
    </row>
    <row r="29" spans="1:8">
      <c r="A29" s="176">
        <v>45295.334499953708</v>
      </c>
      <c r="B29" s="168" t="s">
        <v>244</v>
      </c>
      <c r="C29" s="168">
        <v>4</v>
      </c>
      <c r="D29" s="168">
        <v>3</v>
      </c>
      <c r="E29" s="168">
        <v>2</v>
      </c>
      <c r="F29" s="168">
        <v>19</v>
      </c>
      <c r="G29" s="168" t="s">
        <v>296</v>
      </c>
      <c r="H29" s="168" t="s">
        <v>281</v>
      </c>
    </row>
    <row r="30" spans="1:8">
      <c r="A30" s="176">
        <v>45295.376977268519</v>
      </c>
      <c r="B30" s="168" t="s">
        <v>244</v>
      </c>
      <c r="C30" s="168">
        <v>3</v>
      </c>
      <c r="D30" s="168">
        <v>2</v>
      </c>
      <c r="E30" s="168">
        <v>2</v>
      </c>
      <c r="F30" s="168">
        <v>20</v>
      </c>
      <c r="G30" s="168" t="s">
        <v>297</v>
      </c>
      <c r="H30" s="168" t="s">
        <v>281</v>
      </c>
    </row>
    <row r="31" spans="1:8">
      <c r="A31" s="176">
        <v>45295.394894548612</v>
      </c>
      <c r="B31" s="168" t="s">
        <v>245</v>
      </c>
      <c r="C31" s="168">
        <v>4</v>
      </c>
      <c r="D31" s="168">
        <v>3</v>
      </c>
      <c r="E31" s="168">
        <v>2</v>
      </c>
      <c r="F31" s="168">
        <v>25</v>
      </c>
      <c r="G31" s="168" t="s">
        <v>298</v>
      </c>
      <c r="H31" s="168" t="s">
        <v>281</v>
      </c>
    </row>
    <row r="32" spans="1:8">
      <c r="A32" s="176">
        <v>45295.397566817133</v>
      </c>
      <c r="B32" s="168" t="s">
        <v>246</v>
      </c>
      <c r="C32" s="168">
        <v>4</v>
      </c>
      <c r="D32" s="168">
        <v>3</v>
      </c>
      <c r="E32" s="168">
        <v>2</v>
      </c>
      <c r="F32" s="168">
        <v>16</v>
      </c>
      <c r="G32" s="168" t="s">
        <v>299</v>
      </c>
      <c r="H32" s="168" t="s">
        <v>281</v>
      </c>
    </row>
    <row r="33" spans="1:8">
      <c r="A33" s="176">
        <v>45295.771341192129</v>
      </c>
      <c r="B33" s="168" t="s">
        <v>282</v>
      </c>
      <c r="C33" s="168">
        <v>3</v>
      </c>
      <c r="D33" s="168">
        <v>4</v>
      </c>
      <c r="E33" s="168">
        <v>2</v>
      </c>
      <c r="F33" s="168">
        <v>32</v>
      </c>
      <c r="G33" s="168" t="s">
        <v>300</v>
      </c>
      <c r="H33" s="168" t="s">
        <v>281</v>
      </c>
    </row>
    <row r="34" spans="1:8">
      <c r="A34" s="176">
        <v>45297.365615509261</v>
      </c>
      <c r="B34" s="168" t="s">
        <v>244</v>
      </c>
      <c r="C34" s="168">
        <v>1</v>
      </c>
      <c r="D34" s="168">
        <v>5</v>
      </c>
      <c r="E34" s="168">
        <v>1</v>
      </c>
      <c r="F34" s="168">
        <v>30</v>
      </c>
      <c r="G34" s="168" t="s">
        <v>301</v>
      </c>
      <c r="H34" s="168" t="s">
        <v>281</v>
      </c>
    </row>
    <row r="35" spans="1:8">
      <c r="A35" s="176">
        <v>45297.36681806713</v>
      </c>
      <c r="B35" s="168" t="s">
        <v>245</v>
      </c>
      <c r="C35" s="168">
        <v>1</v>
      </c>
      <c r="D35" s="168">
        <v>5</v>
      </c>
      <c r="E35" s="168">
        <v>1</v>
      </c>
      <c r="F35" s="168">
        <v>31</v>
      </c>
      <c r="G35" s="168" t="s">
        <v>302</v>
      </c>
      <c r="H35" s="168" t="s">
        <v>281</v>
      </c>
    </row>
    <row r="36" spans="1:8">
      <c r="A36" s="176">
        <v>45297.369702256939</v>
      </c>
      <c r="B36" s="168" t="s">
        <v>246</v>
      </c>
      <c r="C36" s="168">
        <v>1</v>
      </c>
      <c r="D36" s="168">
        <v>5</v>
      </c>
      <c r="E36" s="168">
        <v>1</v>
      </c>
      <c r="F36" s="168">
        <v>45</v>
      </c>
      <c r="G36" s="168" t="s">
        <v>303</v>
      </c>
      <c r="H36" s="168" t="s">
        <v>281</v>
      </c>
    </row>
    <row r="37" spans="1:8">
      <c r="A37" s="176">
        <v>45300.779940879627</v>
      </c>
      <c r="B37" s="168" t="s">
        <v>234</v>
      </c>
      <c r="C37" s="168">
        <v>3</v>
      </c>
      <c r="D37" s="168">
        <v>1</v>
      </c>
      <c r="E37" s="168">
        <v>2</v>
      </c>
      <c r="F37" s="168">
        <v>22</v>
      </c>
      <c r="H37" s="168" t="s">
        <v>281</v>
      </c>
    </row>
    <row r="38" spans="1:8">
      <c r="A38" s="176">
        <v>45300.780294166667</v>
      </c>
      <c r="B38" s="168" t="s">
        <v>235</v>
      </c>
      <c r="C38" s="168">
        <v>2</v>
      </c>
      <c r="D38" s="168">
        <v>1</v>
      </c>
      <c r="E38" s="168">
        <v>2</v>
      </c>
      <c r="F38" s="168">
        <v>33</v>
      </c>
      <c r="H38" s="168" t="s">
        <v>281</v>
      </c>
    </row>
    <row r="39" spans="1:8">
      <c r="A39" s="176">
        <v>45300.780553854165</v>
      </c>
      <c r="B39" s="168" t="s">
        <v>236</v>
      </c>
      <c r="C39" s="168">
        <v>2</v>
      </c>
      <c r="D39" s="168">
        <v>1</v>
      </c>
      <c r="E39" s="168">
        <v>2</v>
      </c>
      <c r="F39" s="168">
        <v>31</v>
      </c>
      <c r="H39" s="168" t="s">
        <v>281</v>
      </c>
    </row>
    <row r="40" spans="1:8">
      <c r="A40" s="176">
        <v>45300.780857476857</v>
      </c>
      <c r="B40" s="168" t="s">
        <v>244</v>
      </c>
      <c r="C40" s="168">
        <v>4</v>
      </c>
      <c r="D40" s="168">
        <v>1</v>
      </c>
      <c r="E40" s="168">
        <v>3</v>
      </c>
      <c r="F40" s="168">
        <v>17</v>
      </c>
      <c r="H40" s="168" t="s">
        <v>281</v>
      </c>
    </row>
    <row r="41" spans="1:8">
      <c r="A41" s="176">
        <v>45300.781124467598</v>
      </c>
      <c r="B41" s="168" t="s">
        <v>245</v>
      </c>
      <c r="C41" s="168">
        <v>3</v>
      </c>
      <c r="D41" s="168">
        <v>2</v>
      </c>
      <c r="E41" s="168">
        <v>3</v>
      </c>
      <c r="F41" s="168">
        <v>24</v>
      </c>
      <c r="H41" s="168" t="s">
        <v>281</v>
      </c>
    </row>
    <row r="42" spans="1:8">
      <c r="A42" s="176">
        <v>45300.781433622687</v>
      </c>
      <c r="B42" s="168" t="s">
        <v>246</v>
      </c>
      <c r="C42" s="168">
        <v>4</v>
      </c>
      <c r="D42" s="168">
        <v>3</v>
      </c>
      <c r="E42" s="168">
        <v>2</v>
      </c>
      <c r="F42" s="168">
        <v>15</v>
      </c>
      <c r="H42" s="168" t="s">
        <v>281</v>
      </c>
    </row>
    <row r="43" spans="1:8">
      <c r="A43" s="176">
        <v>45306.300201388891</v>
      </c>
      <c r="B43" s="168" t="s">
        <v>228</v>
      </c>
      <c r="C43" s="168">
        <v>5</v>
      </c>
      <c r="D43" s="168">
        <v>2</v>
      </c>
      <c r="E43" s="168">
        <v>5</v>
      </c>
      <c r="F43" s="168">
        <v>16</v>
      </c>
      <c r="G43" s="168" t="s">
        <v>304</v>
      </c>
      <c r="H43" s="168" t="s">
        <v>281</v>
      </c>
    </row>
    <row r="44" spans="1:8">
      <c r="A44" s="176">
        <v>45306.346102650466</v>
      </c>
      <c r="B44" s="168" t="s">
        <v>247</v>
      </c>
      <c r="C44" s="168">
        <v>4</v>
      </c>
      <c r="D44" s="168">
        <v>2</v>
      </c>
      <c r="E44" s="168">
        <v>4</v>
      </c>
      <c r="F44" s="168">
        <v>9</v>
      </c>
      <c r="G44" s="168" t="s">
        <v>305</v>
      </c>
      <c r="H44" s="168" t="s">
        <v>281</v>
      </c>
    </row>
    <row r="45" spans="1:8">
      <c r="A45" s="176">
        <v>45308.659854282407</v>
      </c>
      <c r="B45" s="168" t="s">
        <v>244</v>
      </c>
      <c r="C45" s="168">
        <v>1</v>
      </c>
      <c r="D45" s="168">
        <v>3</v>
      </c>
      <c r="E45" s="168">
        <v>1</v>
      </c>
      <c r="F45" s="168">
        <v>5</v>
      </c>
      <c r="H45" s="168" t="s">
        <v>281</v>
      </c>
    </row>
    <row r="46" spans="1:8">
      <c r="A46" s="176">
        <v>45308.660309814819</v>
      </c>
      <c r="B46" s="168" t="s">
        <v>245</v>
      </c>
      <c r="C46" s="168">
        <v>1</v>
      </c>
      <c r="D46" s="168">
        <v>3</v>
      </c>
      <c r="E46" s="168">
        <v>1</v>
      </c>
      <c r="F46" s="168">
        <v>8</v>
      </c>
      <c r="H46" s="168" t="s">
        <v>281</v>
      </c>
    </row>
    <row r="47" spans="1:8">
      <c r="A47" s="176">
        <v>45308.660557418982</v>
      </c>
      <c r="B47" s="168" t="s">
        <v>246</v>
      </c>
      <c r="C47" s="168">
        <v>1</v>
      </c>
      <c r="D47" s="168">
        <v>4</v>
      </c>
      <c r="E47" s="168">
        <v>1</v>
      </c>
      <c r="F47" s="168">
        <v>12</v>
      </c>
      <c r="H47" s="168" t="s">
        <v>281</v>
      </c>
    </row>
    <row r="48" spans="1:8">
      <c r="A48" s="176">
        <v>45309.388552719909</v>
      </c>
      <c r="B48" s="168" t="s">
        <v>247</v>
      </c>
      <c r="C48" s="168">
        <v>3</v>
      </c>
      <c r="D48" s="168">
        <v>1</v>
      </c>
      <c r="E48" s="168">
        <v>4</v>
      </c>
      <c r="F48" s="168">
        <v>10</v>
      </c>
      <c r="H48" s="168" t="s">
        <v>281</v>
      </c>
    </row>
    <row r="49" spans="1:8">
      <c r="A49" s="176">
        <v>45315.706946168983</v>
      </c>
      <c r="B49" s="168" t="s">
        <v>225</v>
      </c>
      <c r="C49" s="168">
        <v>5</v>
      </c>
      <c r="D49" s="168">
        <v>5</v>
      </c>
      <c r="E49" s="168">
        <v>5</v>
      </c>
      <c r="F49" s="168">
        <v>37</v>
      </c>
      <c r="H49" s="168" t="s">
        <v>281</v>
      </c>
    </row>
    <row r="50" spans="1:8">
      <c r="A50" s="176">
        <v>45315.707210914348</v>
      </c>
      <c r="B50" s="168" t="s">
        <v>226</v>
      </c>
      <c r="C50" s="168">
        <v>5</v>
      </c>
      <c r="D50" s="168">
        <v>5</v>
      </c>
      <c r="E50" s="168">
        <v>5</v>
      </c>
      <c r="F50" s="168">
        <v>47</v>
      </c>
      <c r="H50" s="168" t="s">
        <v>281</v>
      </c>
    </row>
    <row r="51" spans="1:8">
      <c r="A51" s="176">
        <v>45315.708690312502</v>
      </c>
      <c r="B51" s="168" t="s">
        <v>247</v>
      </c>
      <c r="C51" s="168">
        <v>4</v>
      </c>
      <c r="D51" s="168">
        <v>1</v>
      </c>
      <c r="E51" s="168">
        <v>4</v>
      </c>
      <c r="F51" s="168">
        <v>9</v>
      </c>
      <c r="G51" s="168" t="s">
        <v>306</v>
      </c>
      <c r="H51" s="168" t="s">
        <v>281</v>
      </c>
    </row>
    <row r="52" spans="1:8">
      <c r="A52" s="176">
        <v>45317.64960478009</v>
      </c>
      <c r="B52" s="168" t="s">
        <v>241</v>
      </c>
      <c r="C52" s="168">
        <v>4</v>
      </c>
      <c r="D52" s="168">
        <v>1</v>
      </c>
      <c r="E52" s="168">
        <v>4</v>
      </c>
      <c r="F52" s="168">
        <v>17</v>
      </c>
      <c r="G52" s="168" t="s">
        <v>307</v>
      </c>
      <c r="H52" s="168" t="s">
        <v>281</v>
      </c>
    </row>
    <row r="53" spans="1:8">
      <c r="A53" s="176">
        <v>45319.244360231482</v>
      </c>
      <c r="B53" s="168" t="s">
        <v>245</v>
      </c>
      <c r="C53" s="168">
        <v>4</v>
      </c>
      <c r="D53" s="168">
        <v>3</v>
      </c>
      <c r="E53" s="168">
        <v>3</v>
      </c>
      <c r="F53" s="168">
        <v>18</v>
      </c>
      <c r="G53" s="168" t="s">
        <v>308</v>
      </c>
      <c r="H53" s="168" t="s">
        <v>281</v>
      </c>
    </row>
    <row r="54" spans="1:8">
      <c r="A54" s="176">
        <v>45323.951175543982</v>
      </c>
      <c r="B54" s="168" t="s">
        <v>225</v>
      </c>
      <c r="C54" s="168">
        <v>5</v>
      </c>
      <c r="D54" s="168">
        <v>4</v>
      </c>
      <c r="E54" s="168">
        <v>5</v>
      </c>
      <c r="F54" s="168">
        <v>23</v>
      </c>
      <c r="G54" s="168" t="s">
        <v>309</v>
      </c>
      <c r="H54" s="168" t="s">
        <v>281</v>
      </c>
    </row>
    <row r="55" spans="1:8">
      <c r="A55" s="176">
        <v>45325.528194930557</v>
      </c>
      <c r="B55" s="168" t="s">
        <v>242</v>
      </c>
      <c r="C55" s="168">
        <v>3</v>
      </c>
      <c r="D55" s="168">
        <v>3</v>
      </c>
      <c r="E55" s="168">
        <v>2</v>
      </c>
      <c r="F55" s="168">
        <v>19</v>
      </c>
      <c r="G55" s="168" t="s">
        <v>310</v>
      </c>
      <c r="H55" s="168" t="s">
        <v>281</v>
      </c>
    </row>
    <row r="56" spans="1:8">
      <c r="A56" s="176">
        <v>45328.992585023152</v>
      </c>
      <c r="B56" s="168" t="s">
        <v>244</v>
      </c>
      <c r="C56" s="168">
        <v>3</v>
      </c>
      <c r="D56" s="168">
        <v>3</v>
      </c>
      <c r="E56" s="168">
        <v>3</v>
      </c>
      <c r="F56" s="177" t="s">
        <v>311</v>
      </c>
      <c r="G56" s="168" t="s">
        <v>312</v>
      </c>
      <c r="H56" s="168" t="s">
        <v>281</v>
      </c>
    </row>
    <row r="57" spans="1:8">
      <c r="A57" s="176">
        <v>45328.993318437497</v>
      </c>
      <c r="B57" s="168" t="s">
        <v>246</v>
      </c>
      <c r="C57" s="168">
        <v>3</v>
      </c>
      <c r="D57" s="168">
        <v>3</v>
      </c>
      <c r="E57" s="168">
        <v>3</v>
      </c>
      <c r="F57" s="177" t="s">
        <v>313</v>
      </c>
      <c r="G57" s="168" t="s">
        <v>314</v>
      </c>
      <c r="H57" s="168" t="s">
        <v>281</v>
      </c>
    </row>
    <row r="58" spans="1:8">
      <c r="A58" s="176">
        <v>45331.304626909725</v>
      </c>
      <c r="B58" s="168" t="s">
        <v>234</v>
      </c>
      <c r="C58" s="168">
        <v>5</v>
      </c>
      <c r="D58" s="168">
        <v>1</v>
      </c>
      <c r="E58" s="168">
        <v>5</v>
      </c>
      <c r="F58" s="168">
        <v>24</v>
      </c>
      <c r="G58" s="168" t="s">
        <v>315</v>
      </c>
      <c r="H58" s="168" t="s">
        <v>281</v>
      </c>
    </row>
    <row r="59" spans="1:8">
      <c r="A59" s="176">
        <v>45331.790499988427</v>
      </c>
      <c r="B59" s="168" t="s">
        <v>226</v>
      </c>
      <c r="C59" s="168">
        <v>3</v>
      </c>
      <c r="D59" s="168">
        <v>3</v>
      </c>
      <c r="E59" s="168">
        <v>3</v>
      </c>
      <c r="F59" s="168">
        <v>0</v>
      </c>
      <c r="G59" s="168" t="s">
        <v>316</v>
      </c>
      <c r="H59" s="168" t="s">
        <v>281</v>
      </c>
    </row>
    <row r="60" spans="1:8">
      <c r="A60" s="176">
        <v>45331.791254930555</v>
      </c>
      <c r="B60" s="168" t="s">
        <v>226</v>
      </c>
      <c r="C60" s="168">
        <v>3</v>
      </c>
      <c r="D60" s="168">
        <v>3</v>
      </c>
      <c r="E60" s="168">
        <v>3</v>
      </c>
      <c r="F60" s="168">
        <v>0</v>
      </c>
      <c r="G60" s="168" t="s">
        <v>317</v>
      </c>
      <c r="H60" s="168" t="s">
        <v>281</v>
      </c>
    </row>
    <row r="61" spans="1:8">
      <c r="A61" s="176">
        <v>45333.503358402777</v>
      </c>
      <c r="B61" s="168" t="s">
        <v>225</v>
      </c>
      <c r="C61" s="168">
        <v>5</v>
      </c>
      <c r="D61" s="168">
        <v>3</v>
      </c>
      <c r="E61" s="168">
        <v>5</v>
      </c>
      <c r="F61" s="168">
        <v>40</v>
      </c>
      <c r="H61" s="168" t="s">
        <v>281</v>
      </c>
    </row>
    <row r="62" spans="1:8">
      <c r="A62" s="176">
        <v>45333.503725567134</v>
      </c>
      <c r="B62" s="168" t="s">
        <v>244</v>
      </c>
      <c r="C62" s="168">
        <v>1</v>
      </c>
      <c r="D62" s="168">
        <v>3</v>
      </c>
      <c r="E62" s="168">
        <v>1</v>
      </c>
      <c r="F62" s="168">
        <v>40</v>
      </c>
      <c r="H62" s="168" t="s">
        <v>281</v>
      </c>
    </row>
    <row r="63" spans="1:8">
      <c r="A63" s="176">
        <v>45333.50406097222</v>
      </c>
      <c r="B63" s="168" t="s">
        <v>245</v>
      </c>
      <c r="C63" s="168">
        <v>2</v>
      </c>
      <c r="D63" s="168">
        <v>3</v>
      </c>
      <c r="E63" s="168">
        <v>1</v>
      </c>
      <c r="F63" s="168">
        <v>40</v>
      </c>
      <c r="H63" s="168" t="s">
        <v>281</v>
      </c>
    </row>
    <row r="64" spans="1:8">
      <c r="A64" s="176">
        <v>45333.504346215283</v>
      </c>
      <c r="B64" s="168" t="s">
        <v>246</v>
      </c>
      <c r="C64" s="168">
        <v>3</v>
      </c>
      <c r="D64" s="168">
        <v>5</v>
      </c>
      <c r="E64" s="168">
        <v>1</v>
      </c>
      <c r="F64" s="168">
        <v>60</v>
      </c>
      <c r="H64" s="168" t="s">
        <v>281</v>
      </c>
    </row>
    <row r="65" spans="1:8">
      <c r="A65" s="176">
        <v>45339.738286388892</v>
      </c>
      <c r="B65" s="168" t="s">
        <v>244</v>
      </c>
      <c r="C65" s="168">
        <v>3</v>
      </c>
      <c r="D65" s="168">
        <v>4</v>
      </c>
      <c r="E65" s="168">
        <v>2</v>
      </c>
      <c r="F65" s="168">
        <v>35</v>
      </c>
      <c r="H65" s="168" t="s">
        <v>281</v>
      </c>
    </row>
    <row r="66" spans="1:8">
      <c r="A66" s="176">
        <v>45341.221101655094</v>
      </c>
      <c r="B66" s="168" t="s">
        <v>244</v>
      </c>
      <c r="C66" s="168">
        <v>3</v>
      </c>
      <c r="D66" s="168">
        <v>3</v>
      </c>
      <c r="E66" s="168">
        <v>3</v>
      </c>
      <c r="F66" s="168">
        <v>0</v>
      </c>
      <c r="G66" s="168" t="s">
        <v>318</v>
      </c>
      <c r="H66" s="168" t="s">
        <v>281</v>
      </c>
    </row>
    <row r="67" spans="1:8">
      <c r="A67" s="176">
        <v>45347.171903773153</v>
      </c>
      <c r="B67" s="168" t="s">
        <v>246</v>
      </c>
      <c r="C67" s="168">
        <v>5</v>
      </c>
      <c r="D67" s="168">
        <v>4</v>
      </c>
      <c r="E67" s="168">
        <v>3</v>
      </c>
      <c r="F67" s="168">
        <v>54</v>
      </c>
      <c r="G67" s="168" t="s">
        <v>319</v>
      </c>
      <c r="H67" s="168" t="s">
        <v>281</v>
      </c>
    </row>
    <row r="68" spans="1:8">
      <c r="A68" s="176">
        <v>45351.378028657404</v>
      </c>
      <c r="B68" s="168" t="s">
        <v>244</v>
      </c>
      <c r="C68" s="168">
        <v>3</v>
      </c>
      <c r="D68" s="168">
        <v>2</v>
      </c>
      <c r="E68" s="168">
        <v>3</v>
      </c>
      <c r="F68" s="168">
        <v>20</v>
      </c>
      <c r="G68" s="168" t="s">
        <v>320</v>
      </c>
      <c r="H68" s="168" t="s">
        <v>281</v>
      </c>
    </row>
    <row r="69" spans="1:8">
      <c r="A69" s="176">
        <v>45351.378617106486</v>
      </c>
      <c r="B69" s="168" t="s">
        <v>245</v>
      </c>
      <c r="C69" s="168">
        <v>3</v>
      </c>
      <c r="D69" s="168">
        <v>2</v>
      </c>
      <c r="E69" s="168">
        <v>3</v>
      </c>
      <c r="F69" s="168">
        <v>20</v>
      </c>
      <c r="G69" s="168" t="s">
        <v>321</v>
      </c>
      <c r="H69" s="168" t="s">
        <v>281</v>
      </c>
    </row>
    <row r="70" spans="1:8">
      <c r="A70" s="176">
        <v>45351.380626087965</v>
      </c>
      <c r="B70" s="168" t="s">
        <v>246</v>
      </c>
      <c r="C70" s="168">
        <v>3</v>
      </c>
      <c r="D70" s="168">
        <v>3</v>
      </c>
      <c r="E70" s="168">
        <v>3</v>
      </c>
      <c r="F70" s="168">
        <v>55</v>
      </c>
      <c r="G70" s="168" t="s">
        <v>322</v>
      </c>
      <c r="H70" s="168" t="s">
        <v>281</v>
      </c>
    </row>
    <row r="71" spans="1:8">
      <c r="A71" s="176">
        <v>45351.750654236108</v>
      </c>
      <c r="B71" s="168" t="s">
        <v>244</v>
      </c>
      <c r="C71" s="168">
        <v>4</v>
      </c>
      <c r="D71" s="168">
        <v>4</v>
      </c>
      <c r="E71" s="168">
        <v>3</v>
      </c>
      <c r="F71" s="168">
        <v>50</v>
      </c>
      <c r="H71" s="168" t="s">
        <v>281</v>
      </c>
    </row>
    <row r="72" spans="1:8">
      <c r="A72" s="176">
        <v>45351.750889305556</v>
      </c>
      <c r="B72" s="168" t="s">
        <v>245</v>
      </c>
      <c r="C72" s="168">
        <v>4</v>
      </c>
      <c r="D72" s="168">
        <v>3</v>
      </c>
      <c r="E72" s="168">
        <v>4</v>
      </c>
      <c r="F72" s="168">
        <v>40</v>
      </c>
      <c r="H72" s="168" t="s">
        <v>281</v>
      </c>
    </row>
    <row r="73" spans="1:8">
      <c r="A73" s="176">
        <v>45351.751111273144</v>
      </c>
      <c r="B73" s="168" t="s">
        <v>246</v>
      </c>
      <c r="C73" s="168">
        <v>5</v>
      </c>
      <c r="D73" s="168">
        <v>4</v>
      </c>
      <c r="E73" s="168">
        <v>5</v>
      </c>
      <c r="F73" s="168">
        <v>40</v>
      </c>
      <c r="H73" s="168" t="s">
        <v>281</v>
      </c>
    </row>
    <row r="74" spans="1:8">
      <c r="A74" s="176">
        <v>45355.653858171296</v>
      </c>
      <c r="B74" s="168" t="s">
        <v>282</v>
      </c>
      <c r="C74" s="168">
        <v>3</v>
      </c>
      <c r="D74" s="168">
        <v>5</v>
      </c>
      <c r="E74" s="168">
        <v>2</v>
      </c>
      <c r="F74" s="168">
        <v>45</v>
      </c>
      <c r="G74" s="168" t="s">
        <v>323</v>
      </c>
      <c r="H74" s="168" t="s">
        <v>281</v>
      </c>
    </row>
    <row r="75" spans="1:8">
      <c r="A75" s="176">
        <v>45358.209535416667</v>
      </c>
      <c r="B75" s="168" t="s">
        <v>282</v>
      </c>
      <c r="C75" s="168">
        <v>4</v>
      </c>
      <c r="D75" s="168">
        <v>5</v>
      </c>
      <c r="E75" s="168">
        <v>1</v>
      </c>
      <c r="F75" s="168">
        <v>38</v>
      </c>
      <c r="G75" s="168" t="s">
        <v>324</v>
      </c>
      <c r="H75" s="168" t="s">
        <v>281</v>
      </c>
    </row>
    <row r="76" spans="1:8">
      <c r="A76" s="176">
        <v>45358.567624953706</v>
      </c>
      <c r="B76" s="168" t="s">
        <v>226</v>
      </c>
      <c r="C76" s="168">
        <v>5</v>
      </c>
      <c r="D76" s="168">
        <v>4</v>
      </c>
      <c r="E76" s="168">
        <v>5</v>
      </c>
      <c r="F76" s="168">
        <v>47</v>
      </c>
      <c r="G76" s="168" t="s">
        <v>325</v>
      </c>
      <c r="H76" s="168" t="s">
        <v>281</v>
      </c>
    </row>
    <row r="77" spans="1:8">
      <c r="A77" s="176">
        <v>45359.595109803238</v>
      </c>
      <c r="B77" s="168" t="s">
        <v>225</v>
      </c>
      <c r="C77" s="168">
        <v>5</v>
      </c>
      <c r="D77" s="168">
        <v>4</v>
      </c>
      <c r="E77" s="168">
        <v>5</v>
      </c>
      <c r="F77" s="168">
        <v>35</v>
      </c>
      <c r="H77" s="168" t="s">
        <v>281</v>
      </c>
    </row>
    <row r="78" spans="1:8">
      <c r="A78" s="176">
        <v>45360.293046874998</v>
      </c>
      <c r="B78" s="168" t="s">
        <v>244</v>
      </c>
      <c r="C78" s="168">
        <v>2</v>
      </c>
      <c r="D78" s="168">
        <v>2</v>
      </c>
      <c r="E78" s="168">
        <v>1</v>
      </c>
      <c r="F78" s="168">
        <v>20</v>
      </c>
      <c r="H78" s="168" t="s">
        <v>281</v>
      </c>
    </row>
    <row r="79" spans="1:8">
      <c r="A79" s="176">
        <v>45360.363422905095</v>
      </c>
      <c r="B79" s="168" t="s">
        <v>244</v>
      </c>
      <c r="C79" s="168">
        <v>4</v>
      </c>
      <c r="D79" s="168">
        <v>3</v>
      </c>
      <c r="E79" s="168">
        <v>4</v>
      </c>
      <c r="F79" s="168">
        <v>50</v>
      </c>
      <c r="H79" s="168" t="s">
        <v>281</v>
      </c>
    </row>
    <row r="80" spans="1:8">
      <c r="A80" s="176">
        <v>45360.364112060182</v>
      </c>
      <c r="B80" s="168" t="s">
        <v>246</v>
      </c>
      <c r="C80" s="168">
        <v>5</v>
      </c>
      <c r="D80" s="168">
        <v>4</v>
      </c>
      <c r="E80" s="168">
        <v>3</v>
      </c>
      <c r="F80" s="168">
        <v>60</v>
      </c>
      <c r="G80" s="168" t="s">
        <v>326</v>
      </c>
      <c r="H80" s="168" t="s">
        <v>281</v>
      </c>
    </row>
    <row r="81" spans="1:8">
      <c r="A81" s="176">
        <v>45360.364505358797</v>
      </c>
      <c r="B81" s="168" t="s">
        <v>245</v>
      </c>
      <c r="C81" s="168">
        <v>3</v>
      </c>
      <c r="D81" s="168">
        <v>3</v>
      </c>
      <c r="E81" s="168">
        <v>3</v>
      </c>
      <c r="F81" s="168">
        <v>50</v>
      </c>
      <c r="H81" s="168" t="s">
        <v>281</v>
      </c>
    </row>
    <row r="82" spans="1:8">
      <c r="A82" s="176">
        <v>45360.415133206014</v>
      </c>
      <c r="B82" s="168" t="s">
        <v>243</v>
      </c>
      <c r="C82" s="168">
        <v>3</v>
      </c>
      <c r="D82" s="168">
        <v>4</v>
      </c>
      <c r="E82" s="168">
        <v>4</v>
      </c>
      <c r="F82" s="168">
        <v>30</v>
      </c>
      <c r="G82" s="168" t="s">
        <v>327</v>
      </c>
      <c r="H82" s="168" t="s">
        <v>281</v>
      </c>
    </row>
    <row r="83" spans="1:8">
      <c r="A83" s="176">
        <v>45360.41605644676</v>
      </c>
      <c r="B83" s="168" t="s">
        <v>247</v>
      </c>
      <c r="C83" s="168">
        <v>5</v>
      </c>
      <c r="D83" s="168">
        <v>4</v>
      </c>
      <c r="E83" s="168">
        <v>4</v>
      </c>
      <c r="F83" s="168">
        <v>20</v>
      </c>
      <c r="G83" s="168" t="s">
        <v>328</v>
      </c>
      <c r="H83" s="168" t="s">
        <v>281</v>
      </c>
    </row>
    <row r="84" spans="1:8">
      <c r="A84" s="176">
        <v>45360.417436516203</v>
      </c>
      <c r="B84" s="168" t="s">
        <v>269</v>
      </c>
      <c r="C84" s="168">
        <v>4</v>
      </c>
      <c r="D84" s="168">
        <v>2</v>
      </c>
      <c r="E84" s="168">
        <v>5</v>
      </c>
      <c r="F84" s="168">
        <v>20</v>
      </c>
      <c r="H84" s="168" t="s">
        <v>281</v>
      </c>
    </row>
    <row r="85" spans="1:8">
      <c r="A85" s="176">
        <v>45361.54596974537</v>
      </c>
      <c r="B85" s="168" t="s">
        <v>232</v>
      </c>
      <c r="C85" s="168">
        <v>4</v>
      </c>
      <c r="D85" s="168">
        <v>4</v>
      </c>
      <c r="E85" s="168">
        <v>2</v>
      </c>
      <c r="F85" s="168">
        <v>48</v>
      </c>
      <c r="G85" s="168" t="s">
        <v>329</v>
      </c>
      <c r="H85" s="168" t="s">
        <v>281</v>
      </c>
    </row>
    <row r="86" spans="1:8">
      <c r="A86" s="176">
        <v>45361.546872384264</v>
      </c>
      <c r="B86" s="168" t="s">
        <v>233</v>
      </c>
      <c r="C86" s="168">
        <v>4</v>
      </c>
      <c r="D86" s="168">
        <v>5</v>
      </c>
      <c r="E86" s="168">
        <v>2</v>
      </c>
      <c r="F86" s="168">
        <v>70</v>
      </c>
      <c r="G86" s="168" t="s">
        <v>330</v>
      </c>
      <c r="H86" s="168" t="s">
        <v>281</v>
      </c>
    </row>
    <row r="87" spans="1:8">
      <c r="A87" s="176">
        <v>45361.54718011574</v>
      </c>
      <c r="B87" s="168" t="s">
        <v>226</v>
      </c>
      <c r="C87" s="168">
        <v>5</v>
      </c>
      <c r="D87" s="168">
        <v>4</v>
      </c>
      <c r="E87" s="168">
        <v>5</v>
      </c>
      <c r="F87" s="168">
        <v>38</v>
      </c>
      <c r="H87" s="168" t="s">
        <v>281</v>
      </c>
    </row>
    <row r="88" spans="1:8">
      <c r="A88" s="176">
        <v>45361.547597870369</v>
      </c>
      <c r="B88" s="168" t="s">
        <v>234</v>
      </c>
      <c r="C88" s="168">
        <v>4</v>
      </c>
      <c r="D88" s="168">
        <v>1</v>
      </c>
      <c r="E88" s="168">
        <v>3</v>
      </c>
      <c r="F88" s="168">
        <v>22</v>
      </c>
      <c r="H88" s="168" t="s">
        <v>281</v>
      </c>
    </row>
    <row r="89" spans="1:8">
      <c r="A89" s="176">
        <v>45361.547879247686</v>
      </c>
      <c r="B89" s="168" t="s">
        <v>235</v>
      </c>
      <c r="C89" s="168">
        <v>4</v>
      </c>
      <c r="D89" s="168">
        <v>1</v>
      </c>
      <c r="E89" s="168">
        <v>3</v>
      </c>
      <c r="F89" s="168">
        <v>22</v>
      </c>
      <c r="H89" s="168" t="s">
        <v>281</v>
      </c>
    </row>
    <row r="90" spans="1:8">
      <c r="A90" s="176">
        <v>45361.54806163194</v>
      </c>
      <c r="B90" s="168" t="s">
        <v>236</v>
      </c>
      <c r="C90" s="168">
        <v>3</v>
      </c>
      <c r="D90" s="168">
        <v>1</v>
      </c>
      <c r="E90" s="168">
        <v>3</v>
      </c>
      <c r="F90" s="168">
        <v>25</v>
      </c>
      <c r="H90" s="168" t="s">
        <v>281</v>
      </c>
    </row>
    <row r="91" spans="1:8">
      <c r="A91" s="176">
        <v>45361.549967060186</v>
      </c>
      <c r="B91" s="168" t="s">
        <v>228</v>
      </c>
      <c r="C91" s="168">
        <v>5</v>
      </c>
      <c r="D91" s="168">
        <v>3</v>
      </c>
      <c r="E91" s="168">
        <v>5</v>
      </c>
      <c r="F91" s="168">
        <v>18</v>
      </c>
      <c r="G91" s="168" t="s">
        <v>331</v>
      </c>
      <c r="H91" s="168" t="s">
        <v>281</v>
      </c>
    </row>
    <row r="92" spans="1:8">
      <c r="A92" s="176">
        <v>45361.550325370372</v>
      </c>
      <c r="B92" s="168" t="s">
        <v>247</v>
      </c>
      <c r="C92" s="168">
        <v>5</v>
      </c>
      <c r="D92" s="168">
        <v>2</v>
      </c>
      <c r="E92" s="168">
        <v>5</v>
      </c>
      <c r="F92" s="168">
        <v>11</v>
      </c>
      <c r="G92" s="168" t="s">
        <v>332</v>
      </c>
      <c r="H92" s="168" t="s">
        <v>281</v>
      </c>
    </row>
    <row r="93" spans="1:8">
      <c r="A93" s="176">
        <v>45361.551068229164</v>
      </c>
      <c r="B93" s="168" t="s">
        <v>241</v>
      </c>
      <c r="C93" s="168">
        <v>4</v>
      </c>
      <c r="D93" s="168">
        <v>3</v>
      </c>
      <c r="E93" s="168">
        <v>3</v>
      </c>
      <c r="F93" s="168">
        <v>18</v>
      </c>
      <c r="G93" s="168" t="s">
        <v>333</v>
      </c>
      <c r="H93" s="168" t="s">
        <v>281</v>
      </c>
    </row>
    <row r="94" spans="1:8">
      <c r="A94" s="176">
        <v>45361.551525671297</v>
      </c>
      <c r="B94" s="168" t="s">
        <v>242</v>
      </c>
      <c r="C94" s="168">
        <v>4</v>
      </c>
      <c r="D94" s="168">
        <v>2</v>
      </c>
      <c r="E94" s="168">
        <v>4</v>
      </c>
      <c r="F94" s="168">
        <v>20</v>
      </c>
      <c r="G94" s="168" t="s">
        <v>334</v>
      </c>
      <c r="H94" s="168" t="s">
        <v>281</v>
      </c>
    </row>
    <row r="95" spans="1:8">
      <c r="A95" s="176">
        <v>45361.552128240743</v>
      </c>
      <c r="B95" s="168" t="s">
        <v>243</v>
      </c>
      <c r="C95" s="168">
        <v>5</v>
      </c>
      <c r="D95" s="168">
        <v>4</v>
      </c>
      <c r="E95" s="168">
        <v>4</v>
      </c>
      <c r="F95" s="168">
        <v>38</v>
      </c>
      <c r="G95" s="168" t="s">
        <v>335</v>
      </c>
      <c r="H95" s="168" t="s">
        <v>281</v>
      </c>
    </row>
    <row r="96" spans="1:8">
      <c r="A96" s="176">
        <v>45363.140974618058</v>
      </c>
      <c r="B96" s="168" t="s">
        <v>282</v>
      </c>
      <c r="C96" s="168">
        <v>3</v>
      </c>
      <c r="D96" s="168">
        <v>5</v>
      </c>
      <c r="E96" s="168">
        <v>3</v>
      </c>
      <c r="F96" s="168">
        <v>36</v>
      </c>
      <c r="G96" s="168" t="s">
        <v>336</v>
      </c>
      <c r="H96" s="168" t="s">
        <v>281</v>
      </c>
    </row>
    <row r="97" spans="1:8">
      <c r="A97" s="176">
        <v>45363.141242372687</v>
      </c>
      <c r="B97" s="168" t="s">
        <v>232</v>
      </c>
      <c r="C97" s="168">
        <v>3</v>
      </c>
      <c r="D97" s="168">
        <v>5</v>
      </c>
      <c r="E97" s="168">
        <v>3</v>
      </c>
      <c r="F97" s="168">
        <v>42</v>
      </c>
      <c r="G97" s="168" t="s">
        <v>336</v>
      </c>
      <c r="H97" s="168" t="s">
        <v>281</v>
      </c>
    </row>
    <row r="98" spans="1:8">
      <c r="A98" s="176">
        <v>45372.484039479168</v>
      </c>
      <c r="B98" s="168" t="s">
        <v>226</v>
      </c>
      <c r="C98" s="168">
        <v>1</v>
      </c>
      <c r="D98" s="168">
        <v>5</v>
      </c>
      <c r="E98" s="168">
        <v>1</v>
      </c>
      <c r="F98" s="168">
        <v>30</v>
      </c>
      <c r="G98" s="168" t="s">
        <v>337</v>
      </c>
      <c r="H98" s="168" t="s">
        <v>281</v>
      </c>
    </row>
    <row r="99" spans="1:8">
      <c r="A99" s="176">
        <v>45372.575674699074</v>
      </c>
      <c r="B99" s="168" t="s">
        <v>226</v>
      </c>
      <c r="C99" s="168">
        <v>1</v>
      </c>
      <c r="D99" s="168">
        <v>5</v>
      </c>
      <c r="E99" s="168">
        <v>1</v>
      </c>
      <c r="F99" s="168">
        <v>40</v>
      </c>
      <c r="G99" s="168" t="s">
        <v>338</v>
      </c>
      <c r="H99" s="168" t="s">
        <v>281</v>
      </c>
    </row>
    <row r="100" spans="1:8">
      <c r="A100" s="176">
        <v>45393.655944525468</v>
      </c>
      <c r="B100" s="168" t="s">
        <v>225</v>
      </c>
      <c r="C100" s="168">
        <v>5</v>
      </c>
      <c r="D100" s="168">
        <v>4</v>
      </c>
      <c r="E100" s="168">
        <v>5</v>
      </c>
      <c r="F100" s="168">
        <v>40</v>
      </c>
      <c r="H100" s="168" t="s">
        <v>281</v>
      </c>
    </row>
    <row r="101" spans="1:8">
      <c r="A101" s="176">
        <v>45393.656175509255</v>
      </c>
      <c r="B101" s="168" t="s">
        <v>226</v>
      </c>
      <c r="C101" s="168">
        <v>5</v>
      </c>
      <c r="D101" s="168">
        <v>3</v>
      </c>
      <c r="E101" s="168">
        <v>5</v>
      </c>
      <c r="F101" s="168">
        <v>30</v>
      </c>
      <c r="H101" s="168" t="s">
        <v>281</v>
      </c>
    </row>
    <row r="102" spans="1:8">
      <c r="A102" s="176">
        <v>45393.6942384375</v>
      </c>
      <c r="B102" s="168" t="s">
        <v>244</v>
      </c>
      <c r="C102" s="168">
        <v>1</v>
      </c>
      <c r="D102" s="168">
        <v>2</v>
      </c>
      <c r="E102" s="168">
        <v>1</v>
      </c>
      <c r="F102" s="168">
        <v>25</v>
      </c>
      <c r="G102" s="168" t="s">
        <v>339</v>
      </c>
      <c r="H102" s="168" t="s">
        <v>281</v>
      </c>
    </row>
    <row r="103" spans="1:8">
      <c r="A103" s="176">
        <v>45394.564384560188</v>
      </c>
      <c r="B103" s="168" t="s">
        <v>245</v>
      </c>
      <c r="C103" s="168">
        <v>3</v>
      </c>
      <c r="D103" s="168">
        <v>2</v>
      </c>
      <c r="E103" s="168">
        <v>3</v>
      </c>
      <c r="F103" s="168">
        <v>25</v>
      </c>
      <c r="H103" s="168" t="s">
        <v>281</v>
      </c>
    </row>
    <row r="104" spans="1:8">
      <c r="A104" s="176">
        <v>45394.564959247684</v>
      </c>
      <c r="B104" s="168" t="s">
        <v>246</v>
      </c>
      <c r="C104" s="168">
        <v>4</v>
      </c>
      <c r="D104" s="168">
        <v>3</v>
      </c>
      <c r="E104" s="168">
        <v>2</v>
      </c>
      <c r="F104" s="168">
        <v>60</v>
      </c>
      <c r="G104" s="168" t="s">
        <v>340</v>
      </c>
      <c r="H104" s="168" t="s">
        <v>281</v>
      </c>
    </row>
    <row r="105" spans="1:8">
      <c r="A105" s="176">
        <v>45395.376518217592</v>
      </c>
      <c r="B105" s="168" t="s">
        <v>228</v>
      </c>
      <c r="C105" s="168">
        <v>2</v>
      </c>
      <c r="D105" s="168">
        <v>3</v>
      </c>
      <c r="E105" s="168">
        <v>1</v>
      </c>
      <c r="F105" s="168">
        <v>20</v>
      </c>
      <c r="G105" s="168" t="s">
        <v>341</v>
      </c>
      <c r="H105" s="168" t="s">
        <v>281</v>
      </c>
    </row>
    <row r="106" spans="1:8">
      <c r="A106" s="176">
        <v>45408.418935960653</v>
      </c>
      <c r="B106" s="168" t="s">
        <v>227</v>
      </c>
      <c r="C106" s="168">
        <v>4</v>
      </c>
      <c r="D106" s="168">
        <v>5</v>
      </c>
      <c r="E106" s="168">
        <v>5</v>
      </c>
      <c r="F106" s="168">
        <v>55</v>
      </c>
      <c r="G106" s="168" t="s">
        <v>342</v>
      </c>
      <c r="H106" s="168" t="s">
        <v>281</v>
      </c>
    </row>
    <row r="107" spans="1:8">
      <c r="A107" s="176">
        <v>45408.420569479167</v>
      </c>
      <c r="B107" s="168" t="s">
        <v>244</v>
      </c>
      <c r="C107" s="168">
        <v>1</v>
      </c>
      <c r="D107" s="168">
        <v>1</v>
      </c>
      <c r="E107" s="168">
        <v>2</v>
      </c>
      <c r="F107" s="168">
        <v>10</v>
      </c>
      <c r="G107" s="168" t="s">
        <v>343</v>
      </c>
      <c r="H107" s="168" t="s">
        <v>281</v>
      </c>
    </row>
    <row r="108" spans="1:8">
      <c r="A108" s="176">
        <v>45408.478126666669</v>
      </c>
      <c r="B108" s="168" t="s">
        <v>237</v>
      </c>
      <c r="C108" s="168">
        <v>4</v>
      </c>
      <c r="D108" s="168">
        <v>3</v>
      </c>
      <c r="E108" s="168">
        <v>4</v>
      </c>
      <c r="F108" s="168">
        <v>10</v>
      </c>
      <c r="H108" s="168" t="s">
        <v>281</v>
      </c>
    </row>
    <row r="109" spans="1:8">
      <c r="A109" s="176">
        <v>45408.479778854162</v>
      </c>
      <c r="B109" s="168" t="s">
        <v>227</v>
      </c>
      <c r="C109" s="168">
        <v>4</v>
      </c>
      <c r="D109" s="168">
        <v>5</v>
      </c>
      <c r="E109" s="168">
        <v>4</v>
      </c>
      <c r="F109" s="168">
        <v>45</v>
      </c>
      <c r="H109" s="168" t="s">
        <v>281</v>
      </c>
    </row>
    <row r="110" spans="1:8">
      <c r="A110" s="176">
        <v>45410.360380219907</v>
      </c>
      <c r="B110" s="168" t="s">
        <v>247</v>
      </c>
      <c r="C110" s="168">
        <v>4</v>
      </c>
      <c r="D110" s="168">
        <v>2</v>
      </c>
      <c r="E110" s="168">
        <v>5</v>
      </c>
      <c r="F110" s="168">
        <v>10</v>
      </c>
      <c r="G110" s="168" t="s">
        <v>344</v>
      </c>
      <c r="H110" s="168" t="s">
        <v>281</v>
      </c>
    </row>
    <row r="111" spans="1:8">
      <c r="A111" s="176">
        <v>45412.574615682868</v>
      </c>
      <c r="B111" s="168" t="s">
        <v>227</v>
      </c>
      <c r="C111" s="168">
        <v>4</v>
      </c>
      <c r="D111" s="168">
        <v>5</v>
      </c>
      <c r="E111" s="168">
        <v>4</v>
      </c>
      <c r="F111" s="168">
        <v>42</v>
      </c>
      <c r="G111" s="168" t="s">
        <v>345</v>
      </c>
      <c r="H111" s="168" t="s">
        <v>281</v>
      </c>
    </row>
    <row r="112" spans="1:8">
      <c r="A112" s="176">
        <v>45414.531054837964</v>
      </c>
      <c r="B112" s="168" t="s">
        <v>225</v>
      </c>
      <c r="C112" s="168">
        <v>4</v>
      </c>
      <c r="D112" s="168">
        <v>5</v>
      </c>
      <c r="E112" s="168">
        <v>5</v>
      </c>
      <c r="F112" s="168">
        <v>40</v>
      </c>
      <c r="G112" s="168" t="s">
        <v>346</v>
      </c>
      <c r="H112" s="168" t="s">
        <v>281</v>
      </c>
    </row>
    <row r="113" spans="1:8">
      <c r="A113" s="176">
        <v>45415.969275011579</v>
      </c>
      <c r="B113" s="168" t="s">
        <v>225</v>
      </c>
      <c r="C113" s="168">
        <v>5</v>
      </c>
      <c r="D113" s="168">
        <v>3</v>
      </c>
      <c r="E113" s="168">
        <v>5</v>
      </c>
      <c r="F113" s="168">
        <v>50</v>
      </c>
      <c r="H113" s="168" t="s">
        <v>281</v>
      </c>
    </row>
    <row r="114" spans="1:8">
      <c r="A114" s="176">
        <v>45415.969510555558</v>
      </c>
      <c r="B114" s="168" t="s">
        <v>226</v>
      </c>
      <c r="C114" s="168">
        <v>5</v>
      </c>
      <c r="D114" s="168">
        <v>4</v>
      </c>
      <c r="E114" s="168">
        <v>5</v>
      </c>
      <c r="F114" s="168">
        <v>50</v>
      </c>
      <c r="H114" s="168" t="s">
        <v>281</v>
      </c>
    </row>
    <row r="115" spans="1:8">
      <c r="A115" s="176">
        <v>45415.969699259258</v>
      </c>
      <c r="B115" s="168" t="s">
        <v>227</v>
      </c>
      <c r="C115" s="168">
        <v>5</v>
      </c>
      <c r="D115" s="168">
        <v>5</v>
      </c>
      <c r="E115" s="168">
        <v>4</v>
      </c>
      <c r="F115" s="168">
        <v>60</v>
      </c>
      <c r="H115" s="168" t="s">
        <v>281</v>
      </c>
    </row>
    <row r="116" spans="1:8">
      <c r="A116" s="176">
        <v>45416.989341712964</v>
      </c>
      <c r="B116" s="168" t="s">
        <v>227</v>
      </c>
      <c r="C116" s="168">
        <v>5</v>
      </c>
      <c r="D116" s="168">
        <v>4</v>
      </c>
      <c r="E116" s="168">
        <v>5</v>
      </c>
      <c r="F116" s="168">
        <v>40</v>
      </c>
      <c r="G116" s="168" t="s">
        <v>347</v>
      </c>
      <c r="H116" s="168" t="s">
        <v>281</v>
      </c>
    </row>
    <row r="117" spans="1:8">
      <c r="A117" s="176">
        <v>45417.389696157406</v>
      </c>
      <c r="B117" s="168" t="s">
        <v>229</v>
      </c>
      <c r="C117" s="168">
        <v>4</v>
      </c>
      <c r="D117" s="168">
        <v>3</v>
      </c>
      <c r="E117" s="168">
        <v>4</v>
      </c>
      <c r="F117" s="168">
        <v>15</v>
      </c>
      <c r="G117" s="168" t="s">
        <v>348</v>
      </c>
      <c r="H117" s="168" t="s">
        <v>281</v>
      </c>
    </row>
    <row r="118" spans="1:8">
      <c r="A118" s="176">
        <v>45417.526051111112</v>
      </c>
      <c r="B118" s="168" t="s">
        <v>245</v>
      </c>
      <c r="C118" s="168">
        <v>3</v>
      </c>
      <c r="D118" s="168">
        <v>3</v>
      </c>
      <c r="E118" s="168">
        <v>2</v>
      </c>
      <c r="F118" s="168">
        <v>30</v>
      </c>
      <c r="G118" s="168" t="s">
        <v>349</v>
      </c>
      <c r="H118" s="168" t="s">
        <v>281</v>
      </c>
    </row>
    <row r="119" spans="1:8">
      <c r="A119" s="176">
        <v>45417.574320555555</v>
      </c>
      <c r="B119" s="168" t="s">
        <v>246</v>
      </c>
      <c r="C119" s="168">
        <v>4</v>
      </c>
      <c r="D119" s="168">
        <v>2</v>
      </c>
      <c r="E119" s="168">
        <v>3</v>
      </c>
      <c r="F119" s="168">
        <v>20</v>
      </c>
      <c r="G119" s="168" t="s">
        <v>350</v>
      </c>
      <c r="H119" s="168" t="s">
        <v>281</v>
      </c>
    </row>
    <row r="120" spans="1:8">
      <c r="A120" s="176">
        <v>45417.599072905097</v>
      </c>
      <c r="B120" s="168" t="s">
        <v>245</v>
      </c>
      <c r="C120" s="168">
        <v>4</v>
      </c>
      <c r="D120" s="168">
        <v>2</v>
      </c>
      <c r="E120" s="168">
        <v>2</v>
      </c>
      <c r="F120" s="168">
        <v>10</v>
      </c>
      <c r="G120" s="168" t="s">
        <v>351</v>
      </c>
      <c r="H120" s="168" t="s">
        <v>281</v>
      </c>
    </row>
    <row r="121" spans="1:8">
      <c r="A121" s="176">
        <v>45417.60058244213</v>
      </c>
      <c r="B121" s="168" t="s">
        <v>244</v>
      </c>
      <c r="C121" s="168">
        <v>4</v>
      </c>
      <c r="D121" s="168">
        <v>3</v>
      </c>
      <c r="E121" s="168">
        <v>3</v>
      </c>
      <c r="F121" s="168">
        <v>15</v>
      </c>
      <c r="G121" s="168" t="s">
        <v>352</v>
      </c>
      <c r="H121" s="168" t="s">
        <v>281</v>
      </c>
    </row>
    <row r="122" spans="1:8">
      <c r="A122" s="176">
        <v>45417.612051851851</v>
      </c>
      <c r="B122" s="168" t="s">
        <v>234</v>
      </c>
      <c r="C122" s="168">
        <v>4</v>
      </c>
      <c r="D122" s="168">
        <v>2</v>
      </c>
      <c r="E122" s="168">
        <v>4</v>
      </c>
      <c r="F122" s="168">
        <v>20</v>
      </c>
      <c r="G122" s="168" t="s">
        <v>353</v>
      </c>
      <c r="H122" s="168" t="s">
        <v>281</v>
      </c>
    </row>
    <row r="123" spans="1:8">
      <c r="A123" s="176">
        <v>45417.683217465281</v>
      </c>
      <c r="B123" s="168" t="s">
        <v>244</v>
      </c>
      <c r="C123" s="168">
        <v>3</v>
      </c>
      <c r="D123" s="168">
        <v>2</v>
      </c>
      <c r="E123" s="168">
        <v>1</v>
      </c>
      <c r="F123" s="168">
        <v>25</v>
      </c>
      <c r="G123" s="168" t="s">
        <v>354</v>
      </c>
      <c r="H123" s="168" t="s">
        <v>281</v>
      </c>
    </row>
    <row r="124" spans="1:8">
      <c r="A124" s="176">
        <v>45417.81508792824</v>
      </c>
      <c r="B124" s="168" t="s">
        <v>241</v>
      </c>
      <c r="C124" s="168">
        <v>4</v>
      </c>
      <c r="D124" s="168">
        <v>2</v>
      </c>
      <c r="E124" s="168">
        <v>4</v>
      </c>
      <c r="F124" s="168">
        <v>15</v>
      </c>
      <c r="G124" s="168" t="s">
        <v>355</v>
      </c>
      <c r="H124" s="168" t="s">
        <v>281</v>
      </c>
    </row>
    <row r="125" spans="1:8">
      <c r="A125" s="176">
        <v>45418.431967488425</v>
      </c>
      <c r="B125" s="168" t="s">
        <v>228</v>
      </c>
      <c r="C125" s="168">
        <v>4</v>
      </c>
      <c r="D125" s="168">
        <v>2</v>
      </c>
      <c r="E125" s="168">
        <v>4</v>
      </c>
      <c r="F125" s="168">
        <v>30</v>
      </c>
      <c r="G125" s="168" t="s">
        <v>356</v>
      </c>
      <c r="H125" s="168" t="s">
        <v>281</v>
      </c>
    </row>
    <row r="126" spans="1:8">
      <c r="A126" s="176">
        <v>45418.432701354162</v>
      </c>
      <c r="B126" s="168" t="s">
        <v>247</v>
      </c>
      <c r="C126" s="168">
        <v>3</v>
      </c>
      <c r="D126" s="168">
        <v>1</v>
      </c>
      <c r="E126" s="168">
        <v>5</v>
      </c>
      <c r="F126" s="168">
        <v>10</v>
      </c>
      <c r="G126" s="168" t="s">
        <v>357</v>
      </c>
      <c r="H126" s="168" t="s">
        <v>281</v>
      </c>
    </row>
    <row r="127" spans="1:8">
      <c r="A127" s="176">
        <v>45421.492104409721</v>
      </c>
      <c r="B127" s="168" t="s">
        <v>234</v>
      </c>
      <c r="C127" s="168">
        <v>5</v>
      </c>
      <c r="D127" s="168">
        <v>3</v>
      </c>
      <c r="E127" s="168">
        <v>4</v>
      </c>
      <c r="F127" s="168">
        <v>40</v>
      </c>
      <c r="G127" s="168" t="s">
        <v>358</v>
      </c>
      <c r="H127" s="168" t="s">
        <v>281</v>
      </c>
    </row>
    <row r="128" spans="1:8">
      <c r="A128" s="176">
        <v>45421.492941064818</v>
      </c>
      <c r="B128" s="168" t="s">
        <v>235</v>
      </c>
      <c r="C128" s="168">
        <v>5</v>
      </c>
      <c r="D128" s="168">
        <v>3</v>
      </c>
      <c r="E128" s="168">
        <v>4</v>
      </c>
      <c r="F128" s="168">
        <v>40</v>
      </c>
      <c r="G128" s="168" t="s">
        <v>359</v>
      </c>
      <c r="H128" s="168" t="s">
        <v>281</v>
      </c>
    </row>
    <row r="129" spans="1:8">
      <c r="A129" s="176">
        <v>45421.493847268517</v>
      </c>
      <c r="B129" s="168" t="s">
        <v>236</v>
      </c>
      <c r="C129" s="168">
        <v>5</v>
      </c>
      <c r="D129" s="168">
        <v>3</v>
      </c>
      <c r="E129" s="168">
        <v>4</v>
      </c>
      <c r="F129" s="168">
        <v>40</v>
      </c>
      <c r="G129" s="168" t="s">
        <v>360</v>
      </c>
      <c r="H129" s="168" t="s">
        <v>281</v>
      </c>
    </row>
    <row r="130" spans="1:8">
      <c r="A130" s="176">
        <v>45422.367648692132</v>
      </c>
      <c r="B130" s="168" t="s">
        <v>247</v>
      </c>
      <c r="C130" s="168">
        <v>5</v>
      </c>
      <c r="D130" s="168">
        <v>2</v>
      </c>
      <c r="E130" s="168">
        <v>4</v>
      </c>
      <c r="F130" s="168">
        <v>15</v>
      </c>
      <c r="G130" s="168" t="s">
        <v>361</v>
      </c>
      <c r="H130" s="168" t="s">
        <v>281</v>
      </c>
    </row>
    <row r="131" spans="1:8">
      <c r="A131" s="176">
        <v>45431.234351261577</v>
      </c>
      <c r="B131" s="168" t="s">
        <v>225</v>
      </c>
      <c r="C131" s="168">
        <v>5</v>
      </c>
      <c r="D131" s="168">
        <v>4</v>
      </c>
      <c r="E131" s="168">
        <v>4</v>
      </c>
      <c r="F131" s="168">
        <v>42</v>
      </c>
      <c r="G131" s="168" t="s">
        <v>362</v>
      </c>
      <c r="H131" s="168" t="s">
        <v>281</v>
      </c>
    </row>
    <row r="132" spans="1:8">
      <c r="A132" s="176">
        <v>45437.829784409725</v>
      </c>
      <c r="B132" s="168" t="s">
        <v>253</v>
      </c>
      <c r="C132" s="168">
        <v>4</v>
      </c>
      <c r="D132" s="168">
        <v>3</v>
      </c>
      <c r="E132" s="168">
        <v>4</v>
      </c>
      <c r="F132" s="168">
        <v>15</v>
      </c>
      <c r="G132" s="168" t="s">
        <v>363</v>
      </c>
      <c r="H132" s="168" t="s">
        <v>281</v>
      </c>
    </row>
    <row r="133" spans="1:8">
      <c r="A133" s="176">
        <v>45437.833245590278</v>
      </c>
      <c r="B133" s="168" t="s">
        <v>254</v>
      </c>
      <c r="C133" s="168">
        <v>4</v>
      </c>
      <c r="D133" s="168">
        <v>4</v>
      </c>
      <c r="E133" s="168">
        <v>4</v>
      </c>
      <c r="F133" s="168">
        <v>25</v>
      </c>
      <c r="G133" s="168" t="s">
        <v>364</v>
      </c>
      <c r="H133" s="168" t="s">
        <v>281</v>
      </c>
    </row>
    <row r="134" spans="1:8">
      <c r="A134" s="176">
        <v>45437.8350259375</v>
      </c>
      <c r="B134" s="168" t="s">
        <v>255</v>
      </c>
      <c r="C134" s="168">
        <v>4</v>
      </c>
      <c r="D134" s="168">
        <v>5</v>
      </c>
      <c r="E134" s="168">
        <v>4</v>
      </c>
      <c r="F134" s="168">
        <v>40</v>
      </c>
      <c r="G134" s="168" t="s">
        <v>365</v>
      </c>
      <c r="H134" s="168" t="s">
        <v>281</v>
      </c>
    </row>
    <row r="135" spans="1:8">
      <c r="A135" s="176">
        <v>45448.296468113425</v>
      </c>
      <c r="B135" s="168" t="s">
        <v>226</v>
      </c>
      <c r="C135" s="168">
        <v>5</v>
      </c>
      <c r="D135" s="168">
        <v>3</v>
      </c>
      <c r="E135" s="168">
        <v>5</v>
      </c>
      <c r="F135" s="168">
        <v>38</v>
      </c>
      <c r="H135" s="168" t="s">
        <v>281</v>
      </c>
    </row>
    <row r="136" spans="1:8">
      <c r="A136" s="176">
        <v>45449.343197858798</v>
      </c>
      <c r="B136" s="168" t="s">
        <v>239</v>
      </c>
      <c r="C136" s="168">
        <v>4</v>
      </c>
      <c r="D136" s="168">
        <v>5</v>
      </c>
      <c r="E136" s="168">
        <v>4</v>
      </c>
      <c r="F136" s="168">
        <v>15</v>
      </c>
      <c r="G136" s="168" t="s">
        <v>64</v>
      </c>
      <c r="H136" s="168" t="s">
        <v>281</v>
      </c>
    </row>
    <row r="137" spans="1:8">
      <c r="A137" s="176">
        <v>45456.078798576389</v>
      </c>
      <c r="B137" s="168" t="s">
        <v>228</v>
      </c>
      <c r="C137" s="168">
        <v>4</v>
      </c>
      <c r="D137" s="168">
        <v>1</v>
      </c>
      <c r="E137" s="168">
        <v>3</v>
      </c>
      <c r="F137" s="168">
        <v>13</v>
      </c>
      <c r="H137" s="168" t="s">
        <v>281</v>
      </c>
    </row>
    <row r="138" spans="1:8">
      <c r="A138" s="176">
        <v>45457.323900740739</v>
      </c>
      <c r="B138" s="168" t="s">
        <v>227</v>
      </c>
      <c r="C138" s="168">
        <v>4</v>
      </c>
      <c r="D138" s="168">
        <v>5</v>
      </c>
      <c r="E138" s="168">
        <v>4</v>
      </c>
      <c r="F138" s="168">
        <v>48</v>
      </c>
      <c r="G138" s="168" t="s">
        <v>366</v>
      </c>
      <c r="H138" s="168" t="s">
        <v>281</v>
      </c>
    </row>
    <row r="139" spans="1:8">
      <c r="A139" s="176">
        <v>45458.271877905092</v>
      </c>
      <c r="B139" s="168" t="s">
        <v>227</v>
      </c>
      <c r="C139" s="168">
        <v>4</v>
      </c>
      <c r="D139" s="168">
        <v>4</v>
      </c>
      <c r="E139" s="168">
        <v>5</v>
      </c>
      <c r="F139" s="168">
        <v>40</v>
      </c>
      <c r="H139" s="168" t="s">
        <v>281</v>
      </c>
    </row>
    <row r="140" spans="1:8">
      <c r="A140" s="176">
        <v>45458.272147974538</v>
      </c>
      <c r="B140" s="168" t="s">
        <v>229</v>
      </c>
      <c r="C140" s="168">
        <v>4</v>
      </c>
      <c r="D140" s="168">
        <v>2</v>
      </c>
      <c r="E140" s="168">
        <v>4</v>
      </c>
      <c r="F140" s="168">
        <v>35</v>
      </c>
      <c r="H140" s="168" t="s">
        <v>281</v>
      </c>
    </row>
    <row r="141" spans="1:8">
      <c r="A141" s="176">
        <v>45459.631829571765</v>
      </c>
      <c r="B141" s="168" t="s">
        <v>247</v>
      </c>
      <c r="C141" s="168">
        <v>4</v>
      </c>
      <c r="D141" s="168">
        <v>1</v>
      </c>
      <c r="E141" s="168">
        <v>4</v>
      </c>
      <c r="F141" s="168">
        <v>6</v>
      </c>
      <c r="H141" s="168" t="s">
        <v>281</v>
      </c>
    </row>
    <row r="142" spans="1:8">
      <c r="A142" s="176">
        <v>45466.474577361107</v>
      </c>
      <c r="B142" s="168" t="s">
        <v>235</v>
      </c>
      <c r="C142" s="168">
        <v>2</v>
      </c>
      <c r="D142" s="168">
        <v>2</v>
      </c>
      <c r="E142" s="168">
        <v>4</v>
      </c>
      <c r="F142" s="168">
        <v>25</v>
      </c>
      <c r="G142" s="168" t="s">
        <v>367</v>
      </c>
      <c r="H142" s="168" t="s">
        <v>281</v>
      </c>
    </row>
    <row r="143" spans="1:8">
      <c r="A143" s="176">
        <v>45466.676508240736</v>
      </c>
      <c r="B143" s="168" t="s">
        <v>253</v>
      </c>
      <c r="C143" s="168">
        <v>5</v>
      </c>
      <c r="D143" s="168">
        <v>2</v>
      </c>
      <c r="E143" s="168">
        <v>4</v>
      </c>
      <c r="F143" s="168">
        <v>18</v>
      </c>
      <c r="G143" s="168" t="s">
        <v>368</v>
      </c>
      <c r="H143" s="168" t="s">
        <v>281</v>
      </c>
    </row>
    <row r="144" spans="1:8">
      <c r="A144" s="176">
        <v>45467.585735925924</v>
      </c>
      <c r="B144" s="168" t="s">
        <v>232</v>
      </c>
      <c r="C144" s="168">
        <v>3</v>
      </c>
      <c r="D144" s="168">
        <v>5</v>
      </c>
      <c r="E144" s="168">
        <v>1</v>
      </c>
      <c r="F144" s="168">
        <v>60</v>
      </c>
      <c r="G144" s="168" t="s">
        <v>369</v>
      </c>
      <c r="H144" s="168" t="s">
        <v>281</v>
      </c>
    </row>
    <row r="145" spans="1:8">
      <c r="A145" s="176">
        <v>45468.502816400462</v>
      </c>
      <c r="B145" s="168" t="s">
        <v>282</v>
      </c>
      <c r="C145" s="168">
        <v>3</v>
      </c>
      <c r="D145" s="168">
        <v>4</v>
      </c>
      <c r="E145" s="168">
        <v>2</v>
      </c>
      <c r="F145" s="168">
        <v>52</v>
      </c>
      <c r="G145" s="168" t="s">
        <v>370</v>
      </c>
      <c r="H145" s="168" t="s">
        <v>281</v>
      </c>
    </row>
    <row r="146" spans="1:8">
      <c r="A146" s="176">
        <v>45469.412583576384</v>
      </c>
      <c r="B146" s="168" t="s">
        <v>227</v>
      </c>
      <c r="C146" s="168">
        <v>5</v>
      </c>
      <c r="D146" s="168">
        <v>4</v>
      </c>
      <c r="E146" s="168">
        <v>5</v>
      </c>
      <c r="F146" s="168">
        <v>40</v>
      </c>
      <c r="H146" s="168" t="s">
        <v>281</v>
      </c>
    </row>
    <row r="147" spans="1:8">
      <c r="A147" s="176">
        <v>45469.413051909723</v>
      </c>
      <c r="B147" s="168" t="s">
        <v>244</v>
      </c>
      <c r="C147" s="168">
        <v>1</v>
      </c>
      <c r="D147" s="168">
        <v>3</v>
      </c>
      <c r="E147" s="168">
        <v>1</v>
      </c>
      <c r="F147" s="168">
        <v>35</v>
      </c>
      <c r="G147" s="168" t="s">
        <v>371</v>
      </c>
      <c r="H147" s="168" t="s">
        <v>281</v>
      </c>
    </row>
    <row r="148" spans="1:8">
      <c r="A148" s="176">
        <v>45469.413421377314</v>
      </c>
      <c r="B148" s="168" t="s">
        <v>245</v>
      </c>
      <c r="C148" s="168">
        <v>2</v>
      </c>
      <c r="D148" s="168">
        <v>3</v>
      </c>
      <c r="E148" s="168">
        <v>2</v>
      </c>
      <c r="F148" s="168">
        <v>35</v>
      </c>
      <c r="G148" s="168" t="s">
        <v>372</v>
      </c>
      <c r="H148" s="168" t="s">
        <v>281</v>
      </c>
    </row>
    <row r="149" spans="1:8">
      <c r="A149" s="176">
        <v>45469.41425209491</v>
      </c>
      <c r="B149" s="168" t="s">
        <v>246</v>
      </c>
      <c r="C149" s="168">
        <v>4</v>
      </c>
      <c r="D149" s="168">
        <v>3</v>
      </c>
      <c r="E149" s="168">
        <v>3</v>
      </c>
      <c r="F149" s="168">
        <v>40</v>
      </c>
      <c r="G149" s="168" t="s">
        <v>373</v>
      </c>
      <c r="H149" s="168" t="s">
        <v>281</v>
      </c>
    </row>
    <row r="150" spans="1:8">
      <c r="A150" s="176">
        <v>45469.41564950232</v>
      </c>
      <c r="B150" s="168" t="s">
        <v>234</v>
      </c>
      <c r="C150" s="168">
        <v>4</v>
      </c>
      <c r="D150" s="168">
        <v>2</v>
      </c>
      <c r="E150" s="168">
        <v>5</v>
      </c>
      <c r="F150" s="168">
        <v>35</v>
      </c>
      <c r="G150" s="168" t="s">
        <v>374</v>
      </c>
      <c r="H150" s="168" t="s">
        <v>281</v>
      </c>
    </row>
    <row r="151" spans="1:8">
      <c r="A151" s="176">
        <v>45469.416367500002</v>
      </c>
      <c r="B151" s="168" t="s">
        <v>228</v>
      </c>
      <c r="C151" s="168">
        <v>4</v>
      </c>
      <c r="D151" s="168">
        <v>2</v>
      </c>
      <c r="E151" s="168">
        <v>4</v>
      </c>
      <c r="F151" s="168">
        <v>35</v>
      </c>
      <c r="G151" s="168" t="s">
        <v>375</v>
      </c>
      <c r="H151" s="168" t="s">
        <v>281</v>
      </c>
    </row>
    <row r="152" spans="1:8">
      <c r="A152" s="176">
        <v>45469.416863356484</v>
      </c>
      <c r="B152" s="168" t="s">
        <v>226</v>
      </c>
      <c r="C152" s="168">
        <v>5</v>
      </c>
      <c r="D152" s="168">
        <v>4</v>
      </c>
      <c r="E152" s="168">
        <v>5</v>
      </c>
      <c r="F152" s="168">
        <v>40</v>
      </c>
      <c r="G152" s="168" t="s">
        <v>376</v>
      </c>
      <c r="H152" s="168" t="s">
        <v>281</v>
      </c>
    </row>
    <row r="153" spans="1:8">
      <c r="A153" s="176">
        <v>45469.417300729168</v>
      </c>
      <c r="B153" s="168" t="s">
        <v>225</v>
      </c>
      <c r="C153" s="168">
        <v>5</v>
      </c>
      <c r="D153" s="168">
        <v>5</v>
      </c>
      <c r="E153" s="168">
        <v>5</v>
      </c>
      <c r="F153" s="168">
        <v>40</v>
      </c>
      <c r="G153" s="168" t="s">
        <v>377</v>
      </c>
      <c r="H153" s="168" t="s">
        <v>281</v>
      </c>
    </row>
    <row r="154" spans="1:8">
      <c r="A154" s="176">
        <v>45471.605955046296</v>
      </c>
      <c r="B154" s="168" t="s">
        <v>229</v>
      </c>
      <c r="C154" s="168">
        <v>4</v>
      </c>
      <c r="D154" s="168">
        <v>3</v>
      </c>
      <c r="E154" s="168">
        <v>3</v>
      </c>
      <c r="F154" s="168">
        <v>30</v>
      </c>
      <c r="H154" s="168" t="s">
        <v>281</v>
      </c>
    </row>
    <row r="155" spans="1:8">
      <c r="A155" s="176">
        <v>45476.309849050929</v>
      </c>
      <c r="B155" s="168" t="s">
        <v>230</v>
      </c>
      <c r="C155" s="168">
        <v>4</v>
      </c>
      <c r="D155" s="168">
        <v>3</v>
      </c>
      <c r="E155" s="168">
        <v>4</v>
      </c>
      <c r="F155" s="168">
        <v>15</v>
      </c>
      <c r="G155" s="168" t="s">
        <v>378</v>
      </c>
      <c r="H155" s="168" t="s">
        <v>281</v>
      </c>
    </row>
    <row r="156" spans="1:8">
      <c r="A156" s="176">
        <v>45486.436475925926</v>
      </c>
      <c r="B156" s="168" t="s">
        <v>225</v>
      </c>
      <c r="C156" s="168">
        <v>5</v>
      </c>
      <c r="D156" s="168">
        <v>4</v>
      </c>
      <c r="E156" s="168">
        <v>5</v>
      </c>
      <c r="F156" s="168">
        <v>40</v>
      </c>
      <c r="G156" s="168" t="s">
        <v>379</v>
      </c>
      <c r="H156" s="168" t="s">
        <v>281</v>
      </c>
    </row>
    <row r="157" spans="1:8">
      <c r="A157" s="176">
        <v>45486.448315393514</v>
      </c>
      <c r="B157" s="168" t="s">
        <v>226</v>
      </c>
      <c r="C157" s="168">
        <v>4</v>
      </c>
      <c r="D157" s="168">
        <v>3</v>
      </c>
      <c r="E157" s="168">
        <v>4</v>
      </c>
      <c r="F157" s="168">
        <v>30</v>
      </c>
      <c r="G157" s="168" t="s">
        <v>380</v>
      </c>
      <c r="H157" s="168" t="s">
        <v>281</v>
      </c>
    </row>
    <row r="158" spans="1:8">
      <c r="A158" s="176">
        <v>45488.537917268521</v>
      </c>
      <c r="B158" s="168" t="s">
        <v>262</v>
      </c>
      <c r="C158" s="168">
        <v>5</v>
      </c>
      <c r="D158" s="168">
        <v>3</v>
      </c>
      <c r="E158" s="168">
        <v>5</v>
      </c>
      <c r="F158" s="168">
        <v>15</v>
      </c>
      <c r="G158" s="168" t="s">
        <v>381</v>
      </c>
      <c r="H158" s="168" t="s">
        <v>281</v>
      </c>
    </row>
    <row r="159" spans="1:8">
      <c r="A159" s="176">
        <v>45488.82754106482</v>
      </c>
      <c r="B159" s="168" t="s">
        <v>225</v>
      </c>
      <c r="C159" s="168">
        <v>5</v>
      </c>
      <c r="D159" s="168">
        <v>3</v>
      </c>
      <c r="E159" s="168">
        <v>5</v>
      </c>
      <c r="F159" s="168">
        <v>60</v>
      </c>
      <c r="H159" s="168" t="s">
        <v>281</v>
      </c>
    </row>
    <row r="160" spans="1:8">
      <c r="A160" s="176">
        <v>45488.827870937501</v>
      </c>
      <c r="B160" s="168" t="s">
        <v>226</v>
      </c>
      <c r="C160" s="168">
        <v>5</v>
      </c>
      <c r="D160" s="168">
        <v>4</v>
      </c>
      <c r="E160" s="168">
        <v>5</v>
      </c>
      <c r="F160" s="168">
        <v>57</v>
      </c>
      <c r="H160" s="168" t="s">
        <v>281</v>
      </c>
    </row>
    <row r="161" spans="1:8">
      <c r="A161" s="176">
        <v>45488.828086817128</v>
      </c>
      <c r="B161" s="168" t="s">
        <v>227</v>
      </c>
      <c r="C161" s="168">
        <v>5</v>
      </c>
      <c r="D161" s="168">
        <v>5</v>
      </c>
      <c r="E161" s="168">
        <v>4</v>
      </c>
      <c r="F161" s="168">
        <v>60</v>
      </c>
      <c r="H161" s="168" t="s">
        <v>281</v>
      </c>
    </row>
    <row r="162" spans="1:8">
      <c r="A162" s="176">
        <v>45488.828428402776</v>
      </c>
      <c r="B162" s="168" t="s">
        <v>244</v>
      </c>
      <c r="C162" s="168">
        <v>1</v>
      </c>
      <c r="D162" s="168">
        <v>3</v>
      </c>
      <c r="E162" s="168">
        <v>1</v>
      </c>
      <c r="F162" s="168">
        <v>40</v>
      </c>
      <c r="H162" s="168" t="s">
        <v>281</v>
      </c>
    </row>
    <row r="163" spans="1:8">
      <c r="A163" s="176">
        <v>45488.828696643519</v>
      </c>
      <c r="B163" s="168" t="s">
        <v>245</v>
      </c>
      <c r="C163" s="168">
        <v>3</v>
      </c>
      <c r="D163" s="168">
        <v>3</v>
      </c>
      <c r="E163" s="168">
        <v>1</v>
      </c>
      <c r="F163" s="168">
        <v>52</v>
      </c>
      <c r="H163" s="168" t="s">
        <v>281</v>
      </c>
    </row>
    <row r="164" spans="1:8">
      <c r="A164" s="176">
        <v>45488.829099733797</v>
      </c>
      <c r="B164" s="168" t="s">
        <v>246</v>
      </c>
      <c r="C164" s="168">
        <v>5</v>
      </c>
      <c r="D164" s="168">
        <v>1</v>
      </c>
      <c r="E164" s="168">
        <v>1</v>
      </c>
      <c r="F164" s="168">
        <v>20</v>
      </c>
      <c r="H164" s="168" t="s">
        <v>281</v>
      </c>
    </row>
    <row r="165" spans="1:8">
      <c r="A165" s="176">
        <v>45488.829431041668</v>
      </c>
      <c r="B165" s="168" t="s">
        <v>234</v>
      </c>
      <c r="C165" s="168">
        <v>5</v>
      </c>
      <c r="D165" s="168">
        <v>1</v>
      </c>
      <c r="E165" s="168">
        <v>5</v>
      </c>
      <c r="F165" s="168">
        <v>37</v>
      </c>
      <c r="H165" s="168" t="s">
        <v>281</v>
      </c>
    </row>
    <row r="166" spans="1:8">
      <c r="A166" s="176">
        <v>45488.829666840276</v>
      </c>
      <c r="B166" s="168" t="s">
        <v>235</v>
      </c>
      <c r="C166" s="168">
        <v>5</v>
      </c>
      <c r="D166" s="168">
        <v>1</v>
      </c>
      <c r="E166" s="168">
        <v>5</v>
      </c>
      <c r="F166" s="168">
        <v>30</v>
      </c>
      <c r="H166" s="168" t="s">
        <v>281</v>
      </c>
    </row>
    <row r="167" spans="1:8">
      <c r="A167" s="176">
        <v>45488.829867199078</v>
      </c>
      <c r="B167" s="168" t="s">
        <v>236</v>
      </c>
      <c r="C167" s="168">
        <v>5</v>
      </c>
      <c r="D167" s="168">
        <v>1</v>
      </c>
      <c r="E167" s="168">
        <v>5</v>
      </c>
      <c r="F167" s="168">
        <v>30</v>
      </c>
      <c r="H167" s="168" t="s">
        <v>281</v>
      </c>
    </row>
    <row r="168" spans="1:8">
      <c r="A168" s="176">
        <v>45488.830262731484</v>
      </c>
      <c r="B168" s="168" t="s">
        <v>253</v>
      </c>
      <c r="C168" s="168">
        <v>4</v>
      </c>
      <c r="D168" s="168">
        <v>3</v>
      </c>
      <c r="E168" s="168">
        <v>5</v>
      </c>
      <c r="F168" s="168">
        <v>42</v>
      </c>
      <c r="H168" s="168" t="s">
        <v>281</v>
      </c>
    </row>
    <row r="169" spans="1:8">
      <c r="A169" s="176">
        <v>45489.008600462963</v>
      </c>
      <c r="B169" s="168" t="s">
        <v>254</v>
      </c>
      <c r="C169" s="168">
        <v>4</v>
      </c>
      <c r="D169" s="168">
        <v>4</v>
      </c>
      <c r="E169" s="168">
        <v>5</v>
      </c>
      <c r="F169" s="168">
        <v>40</v>
      </c>
      <c r="H169" s="168" t="s">
        <v>281</v>
      </c>
    </row>
    <row r="170" spans="1:8">
      <c r="A170" s="176">
        <v>45489.92248883102</v>
      </c>
      <c r="B170" s="168" t="s">
        <v>241</v>
      </c>
      <c r="C170" s="168">
        <v>3</v>
      </c>
      <c r="D170" s="168">
        <v>2</v>
      </c>
      <c r="E170" s="168">
        <v>3</v>
      </c>
      <c r="F170" s="168">
        <v>15</v>
      </c>
      <c r="G170" s="168" t="s">
        <v>382</v>
      </c>
      <c r="H170" s="168" t="s">
        <v>281</v>
      </c>
    </row>
    <row r="171" spans="1:8">
      <c r="A171" s="176">
        <v>45489.923852928245</v>
      </c>
      <c r="B171" s="168" t="s">
        <v>242</v>
      </c>
      <c r="C171" s="168">
        <v>4</v>
      </c>
      <c r="D171" s="168">
        <v>2</v>
      </c>
      <c r="E171" s="168">
        <v>4</v>
      </c>
      <c r="F171" s="168">
        <v>25</v>
      </c>
      <c r="G171" s="168" t="s">
        <v>383</v>
      </c>
      <c r="H171" s="168" t="s">
        <v>281</v>
      </c>
    </row>
    <row r="172" spans="1:8">
      <c r="A172" s="176">
        <v>45489.926032569449</v>
      </c>
      <c r="B172" s="168" t="s">
        <v>225</v>
      </c>
      <c r="C172" s="168">
        <v>4</v>
      </c>
      <c r="D172" s="168">
        <v>4</v>
      </c>
      <c r="E172" s="168">
        <v>4</v>
      </c>
      <c r="F172" s="168">
        <v>45</v>
      </c>
      <c r="G172" s="168" t="s">
        <v>384</v>
      </c>
      <c r="H172" s="168" t="s">
        <v>281</v>
      </c>
    </row>
    <row r="173" spans="1:8">
      <c r="A173" s="176">
        <v>45491.270961550923</v>
      </c>
      <c r="B173" s="168" t="s">
        <v>230</v>
      </c>
      <c r="C173" s="168">
        <v>4</v>
      </c>
      <c r="D173" s="168">
        <v>3</v>
      </c>
      <c r="E173" s="168">
        <v>4</v>
      </c>
      <c r="F173" s="168">
        <v>12</v>
      </c>
      <c r="G173" s="168" t="s">
        <v>385</v>
      </c>
      <c r="H173" s="168" t="s">
        <v>281</v>
      </c>
    </row>
    <row r="174" spans="1:8">
      <c r="A174" s="176">
        <v>45494.374244826387</v>
      </c>
      <c r="B174" s="168" t="s">
        <v>229</v>
      </c>
      <c r="C174" s="168">
        <v>5</v>
      </c>
      <c r="D174" s="168">
        <v>3</v>
      </c>
      <c r="E174" s="168">
        <v>4</v>
      </c>
      <c r="F174" s="168">
        <v>20</v>
      </c>
      <c r="G174" s="168" t="s">
        <v>386</v>
      </c>
      <c r="H174" s="168" t="s">
        <v>281</v>
      </c>
    </row>
    <row r="175" spans="1:8">
      <c r="A175" s="176">
        <v>45498.616467384258</v>
      </c>
      <c r="B175" s="168" t="s">
        <v>230</v>
      </c>
      <c r="C175" s="168">
        <v>4</v>
      </c>
      <c r="D175" s="168">
        <v>3</v>
      </c>
      <c r="E175" s="168">
        <v>4</v>
      </c>
      <c r="F175" s="168">
        <v>16</v>
      </c>
      <c r="H175" s="168" t="s">
        <v>281</v>
      </c>
    </row>
    <row r="176" spans="1:8">
      <c r="A176" s="176">
        <v>45500.848404699078</v>
      </c>
      <c r="B176" s="168" t="s">
        <v>227</v>
      </c>
      <c r="C176" s="168">
        <v>3</v>
      </c>
      <c r="D176" s="168">
        <v>4</v>
      </c>
      <c r="E176" s="168">
        <v>3</v>
      </c>
      <c r="F176" s="168">
        <v>40</v>
      </c>
      <c r="G176" s="168" t="s">
        <v>387</v>
      </c>
      <c r="H176" s="168" t="s">
        <v>281</v>
      </c>
    </row>
    <row r="177" spans="1:8">
      <c r="A177" s="176">
        <v>45504.691990162042</v>
      </c>
      <c r="B177" s="168" t="s">
        <v>228</v>
      </c>
      <c r="C177" s="168">
        <v>4</v>
      </c>
      <c r="D177" s="168">
        <v>3</v>
      </c>
      <c r="E177" s="168">
        <v>4</v>
      </c>
      <c r="F177" s="168">
        <v>20</v>
      </c>
      <c r="G177" s="168" t="s">
        <v>388</v>
      </c>
      <c r="H177" s="168" t="s">
        <v>281</v>
      </c>
    </row>
    <row r="178" spans="1:8">
      <c r="A178" s="176">
        <v>45509.64129053241</v>
      </c>
      <c r="B178" s="168" t="s">
        <v>228</v>
      </c>
      <c r="C178" s="168">
        <v>5</v>
      </c>
      <c r="D178" s="168">
        <v>3</v>
      </c>
      <c r="E178" s="168">
        <v>5</v>
      </c>
      <c r="F178" s="168">
        <v>24</v>
      </c>
      <c r="H178" s="168" t="s">
        <v>281</v>
      </c>
    </row>
    <row r="179" spans="1:8">
      <c r="A179" s="176">
        <v>45509.641481979168</v>
      </c>
      <c r="B179" s="168" t="s">
        <v>229</v>
      </c>
      <c r="C179" s="168">
        <v>5</v>
      </c>
      <c r="D179" s="168">
        <v>4</v>
      </c>
      <c r="E179" s="168">
        <v>5</v>
      </c>
      <c r="F179" s="168">
        <v>37</v>
      </c>
      <c r="H179" s="168" t="s">
        <v>281</v>
      </c>
    </row>
    <row r="180" spans="1:8">
      <c r="A180" s="176">
        <v>45509.641652881939</v>
      </c>
      <c r="B180" s="168" t="s">
        <v>230</v>
      </c>
      <c r="C180" s="168">
        <v>5</v>
      </c>
      <c r="D180" s="168">
        <v>3</v>
      </c>
      <c r="E180" s="168">
        <v>5</v>
      </c>
      <c r="F180" s="168">
        <v>20</v>
      </c>
      <c r="H180" s="168" t="s">
        <v>281</v>
      </c>
    </row>
    <row r="181" spans="1:8">
      <c r="A181" s="176">
        <v>45509.644268275464</v>
      </c>
      <c r="B181" s="168" t="s">
        <v>225</v>
      </c>
      <c r="C181" s="168">
        <v>5</v>
      </c>
      <c r="D181" s="168">
        <v>5</v>
      </c>
      <c r="E181" s="168">
        <v>5</v>
      </c>
      <c r="F181" s="168">
        <v>37</v>
      </c>
      <c r="H181" s="168" t="s">
        <v>281</v>
      </c>
    </row>
    <row r="182" spans="1:8">
      <c r="A182" s="176">
        <v>45509.644503877316</v>
      </c>
      <c r="B182" s="168" t="s">
        <v>226</v>
      </c>
      <c r="C182" s="168">
        <v>5</v>
      </c>
      <c r="D182" s="168">
        <v>5</v>
      </c>
      <c r="E182" s="168">
        <v>5</v>
      </c>
      <c r="F182" s="168">
        <v>37</v>
      </c>
      <c r="H182" s="168" t="s">
        <v>281</v>
      </c>
    </row>
    <row r="183" spans="1:8">
      <c r="A183" s="176">
        <v>45509.644665613421</v>
      </c>
      <c r="B183" s="168" t="s">
        <v>227</v>
      </c>
      <c r="C183" s="168">
        <v>5</v>
      </c>
      <c r="D183" s="168">
        <v>5</v>
      </c>
      <c r="E183" s="168">
        <v>5</v>
      </c>
      <c r="F183" s="168">
        <v>37</v>
      </c>
      <c r="H183" s="168" t="s">
        <v>281</v>
      </c>
    </row>
    <row r="184" spans="1:8">
      <c r="A184" s="176">
        <v>45509.645035624999</v>
      </c>
      <c r="B184" s="168" t="s">
        <v>244</v>
      </c>
      <c r="C184" s="168">
        <v>3</v>
      </c>
      <c r="D184" s="168">
        <v>5</v>
      </c>
      <c r="E184" s="168">
        <v>1</v>
      </c>
      <c r="F184" s="168">
        <v>25</v>
      </c>
      <c r="H184" s="168" t="s">
        <v>281</v>
      </c>
    </row>
    <row r="185" spans="1:8">
      <c r="A185" s="176">
        <v>45509.645260011574</v>
      </c>
      <c r="B185" s="168" t="s">
        <v>245</v>
      </c>
      <c r="C185" s="168">
        <v>3</v>
      </c>
      <c r="D185" s="168">
        <v>5</v>
      </c>
      <c r="E185" s="168">
        <v>1</v>
      </c>
      <c r="F185" s="168">
        <v>25</v>
      </c>
      <c r="H185" s="168" t="s">
        <v>281</v>
      </c>
    </row>
    <row r="186" spans="1:8">
      <c r="A186" s="176">
        <v>45509.645506666668</v>
      </c>
      <c r="B186" s="168" t="s">
        <v>246</v>
      </c>
      <c r="C186" s="168">
        <v>5</v>
      </c>
      <c r="D186" s="168">
        <v>3</v>
      </c>
      <c r="E186" s="168">
        <v>1</v>
      </c>
      <c r="F186" s="168">
        <v>25</v>
      </c>
      <c r="H186" s="168" t="s">
        <v>281</v>
      </c>
    </row>
    <row r="187" spans="1:8">
      <c r="A187" s="176">
        <v>45509.645730543984</v>
      </c>
      <c r="B187" s="168" t="s">
        <v>234</v>
      </c>
      <c r="C187" s="168">
        <v>5</v>
      </c>
      <c r="D187" s="168">
        <v>2</v>
      </c>
      <c r="E187" s="168">
        <v>5</v>
      </c>
      <c r="F187" s="168">
        <v>36</v>
      </c>
      <c r="H187" s="168" t="s">
        <v>281</v>
      </c>
    </row>
    <row r="188" spans="1:8">
      <c r="A188" s="176">
        <v>45509.645922141208</v>
      </c>
      <c r="B188" s="168" t="s">
        <v>235</v>
      </c>
      <c r="C188" s="168">
        <v>5</v>
      </c>
      <c r="D188" s="168">
        <v>3</v>
      </c>
      <c r="E188" s="168">
        <v>5</v>
      </c>
      <c r="F188" s="168">
        <v>36</v>
      </c>
      <c r="H188" s="168" t="s">
        <v>281</v>
      </c>
    </row>
    <row r="189" spans="1:8">
      <c r="A189" s="176">
        <v>45509.646129328699</v>
      </c>
      <c r="B189" s="168" t="s">
        <v>236</v>
      </c>
      <c r="C189" s="168">
        <v>5</v>
      </c>
      <c r="D189" s="168">
        <v>3</v>
      </c>
      <c r="E189" s="168">
        <v>5</v>
      </c>
      <c r="F189" s="168">
        <v>35</v>
      </c>
      <c r="H189" s="168" t="s">
        <v>281</v>
      </c>
    </row>
    <row r="190" spans="1:8">
      <c r="A190" s="176">
        <v>45509.646336064819</v>
      </c>
      <c r="B190" s="168" t="s">
        <v>228</v>
      </c>
      <c r="C190" s="168">
        <v>5</v>
      </c>
      <c r="D190" s="168">
        <v>4</v>
      </c>
      <c r="E190" s="168">
        <v>5</v>
      </c>
      <c r="F190" s="168">
        <v>30</v>
      </c>
      <c r="H190" s="168" t="s">
        <v>281</v>
      </c>
    </row>
    <row r="191" spans="1:8">
      <c r="A191" s="176">
        <v>45509.646518379624</v>
      </c>
      <c r="B191" s="168" t="s">
        <v>229</v>
      </c>
      <c r="C191" s="168">
        <v>5</v>
      </c>
      <c r="D191" s="168">
        <v>5</v>
      </c>
      <c r="E191" s="168">
        <v>5</v>
      </c>
      <c r="F191" s="168">
        <v>30</v>
      </c>
      <c r="H191" s="168" t="s">
        <v>281</v>
      </c>
    </row>
    <row r="192" spans="1:8">
      <c r="A192" s="176">
        <v>45509.646688402776</v>
      </c>
      <c r="B192" s="168" t="s">
        <v>230</v>
      </c>
      <c r="C192" s="168">
        <v>5</v>
      </c>
      <c r="D192" s="168">
        <v>3</v>
      </c>
      <c r="E192" s="168">
        <v>5</v>
      </c>
      <c r="F192" s="168">
        <v>30</v>
      </c>
      <c r="H192" s="168" t="s">
        <v>281</v>
      </c>
    </row>
    <row r="193" spans="1:8">
      <c r="A193" s="176">
        <v>45512.540882222223</v>
      </c>
      <c r="B193" s="168" t="s">
        <v>234</v>
      </c>
      <c r="C193" s="168">
        <v>5</v>
      </c>
      <c r="D193" s="168">
        <v>2</v>
      </c>
      <c r="E193" s="168">
        <v>5</v>
      </c>
      <c r="F193" s="168">
        <v>26</v>
      </c>
      <c r="G193" s="168" t="s">
        <v>389</v>
      </c>
      <c r="H193" s="168" t="s">
        <v>281</v>
      </c>
    </row>
    <row r="194" spans="1:8">
      <c r="A194" s="176">
        <v>45516.699657141202</v>
      </c>
      <c r="B194" s="168" t="s">
        <v>228</v>
      </c>
      <c r="C194" s="168">
        <v>4</v>
      </c>
      <c r="D194" s="168">
        <v>3</v>
      </c>
      <c r="E194" s="168">
        <v>4</v>
      </c>
      <c r="F194" s="168">
        <v>5</v>
      </c>
      <c r="H194" s="168" t="s">
        <v>281</v>
      </c>
    </row>
    <row r="195" spans="1:8">
      <c r="A195" s="176">
        <v>45518.001308136576</v>
      </c>
      <c r="B195" s="168" t="s">
        <v>225</v>
      </c>
      <c r="C195" s="168">
        <v>5</v>
      </c>
      <c r="D195" s="168">
        <v>3</v>
      </c>
      <c r="E195" s="168">
        <v>5</v>
      </c>
      <c r="F195" s="168">
        <v>40</v>
      </c>
      <c r="H195" s="168" t="s">
        <v>281</v>
      </c>
    </row>
    <row r="196" spans="1:8">
      <c r="A196" s="176">
        <v>45521.304790601847</v>
      </c>
      <c r="B196" s="168" t="s">
        <v>237</v>
      </c>
      <c r="C196" s="168">
        <v>4</v>
      </c>
      <c r="D196" s="168">
        <v>4</v>
      </c>
      <c r="E196" s="168">
        <v>4</v>
      </c>
      <c r="F196" s="168">
        <v>12</v>
      </c>
      <c r="G196" s="168" t="s">
        <v>390</v>
      </c>
      <c r="H196" s="168" t="s">
        <v>281</v>
      </c>
    </row>
    <row r="197" spans="1:8">
      <c r="A197" s="176">
        <v>45524.331442291666</v>
      </c>
      <c r="B197" s="168" t="s">
        <v>262</v>
      </c>
      <c r="C197" s="168">
        <v>5</v>
      </c>
      <c r="D197" s="168">
        <v>2</v>
      </c>
      <c r="E197" s="168">
        <v>5</v>
      </c>
      <c r="F197" s="168">
        <v>30</v>
      </c>
      <c r="H197" s="168" t="s">
        <v>281</v>
      </c>
    </row>
    <row r="198" spans="1:8">
      <c r="A198" s="176">
        <v>45524.459971736112</v>
      </c>
      <c r="B198" s="168" t="s">
        <v>234</v>
      </c>
      <c r="C198" s="168">
        <v>5</v>
      </c>
      <c r="D198" s="168">
        <v>2</v>
      </c>
      <c r="E198" s="168">
        <v>5</v>
      </c>
      <c r="F198" s="168">
        <v>40</v>
      </c>
      <c r="H198" s="168" t="s">
        <v>281</v>
      </c>
    </row>
    <row r="199" spans="1:8">
      <c r="A199" s="176">
        <v>45524.460188449069</v>
      </c>
      <c r="B199" s="168" t="s">
        <v>235</v>
      </c>
      <c r="C199" s="168">
        <v>5</v>
      </c>
      <c r="D199" s="168">
        <v>2</v>
      </c>
      <c r="E199" s="168">
        <v>5</v>
      </c>
      <c r="F199" s="168">
        <v>40</v>
      </c>
      <c r="H199" s="168" t="s">
        <v>281</v>
      </c>
    </row>
    <row r="200" spans="1:8">
      <c r="A200" s="176">
        <v>45525.499056493056</v>
      </c>
      <c r="B200" s="168" t="s">
        <v>229</v>
      </c>
      <c r="C200" s="168">
        <v>5</v>
      </c>
      <c r="D200" s="168">
        <v>2</v>
      </c>
      <c r="E200" s="168">
        <v>4</v>
      </c>
      <c r="F200" s="168">
        <v>20</v>
      </c>
      <c r="G200" s="168" t="s">
        <v>391</v>
      </c>
      <c r="H200" s="168" t="s">
        <v>281</v>
      </c>
    </row>
    <row r="201" spans="1:8">
      <c r="A201" s="176">
        <v>45525.662245300926</v>
      </c>
      <c r="B201" s="168" t="s">
        <v>228</v>
      </c>
      <c r="C201" s="168">
        <v>4</v>
      </c>
      <c r="D201" s="168">
        <v>2</v>
      </c>
      <c r="E201" s="168">
        <v>4</v>
      </c>
      <c r="F201" s="168">
        <v>36</v>
      </c>
      <c r="G201" s="168" t="s">
        <v>392</v>
      </c>
      <c r="H201" s="168" t="s">
        <v>281</v>
      </c>
    </row>
    <row r="202" spans="1:8">
      <c r="A202" s="176">
        <v>45527.975716701389</v>
      </c>
      <c r="B202" s="168" t="s">
        <v>225</v>
      </c>
      <c r="C202" s="168">
        <v>4</v>
      </c>
      <c r="D202" s="168">
        <v>4</v>
      </c>
      <c r="E202" s="168">
        <v>3</v>
      </c>
      <c r="F202" s="168">
        <v>70</v>
      </c>
      <c r="G202" s="168" t="s">
        <v>393</v>
      </c>
      <c r="H202" s="168" t="s">
        <v>281</v>
      </c>
    </row>
    <row r="203" spans="1:8">
      <c r="A203" s="176">
        <v>45528.575031782406</v>
      </c>
      <c r="B203" s="168" t="s">
        <v>244</v>
      </c>
      <c r="C203" s="168">
        <v>2</v>
      </c>
      <c r="D203" s="168">
        <v>1</v>
      </c>
      <c r="E203" s="168">
        <v>2</v>
      </c>
      <c r="F203" s="168">
        <v>8</v>
      </c>
      <c r="H203" s="168" t="s">
        <v>281</v>
      </c>
    </row>
    <row r="204" spans="1:8">
      <c r="A204" s="176">
        <v>45531.584599618058</v>
      </c>
      <c r="B204" s="168" t="s">
        <v>227</v>
      </c>
      <c r="C204" s="168">
        <v>1</v>
      </c>
      <c r="D204" s="168">
        <v>5</v>
      </c>
      <c r="E204" s="168">
        <v>3</v>
      </c>
      <c r="F204" s="168">
        <v>40</v>
      </c>
      <c r="H204" s="168" t="s">
        <v>281</v>
      </c>
    </row>
    <row r="205" spans="1:8">
      <c r="A205" s="176">
        <v>45539.493654351856</v>
      </c>
      <c r="B205" s="168" t="s">
        <v>230</v>
      </c>
      <c r="C205" s="168">
        <v>4</v>
      </c>
      <c r="D205" s="168">
        <v>2</v>
      </c>
      <c r="E205" s="168">
        <v>4</v>
      </c>
      <c r="F205" s="168">
        <v>24</v>
      </c>
      <c r="G205" s="168" t="s">
        <v>394</v>
      </c>
      <c r="H205" s="168" t="s">
        <v>281</v>
      </c>
    </row>
    <row r="206" spans="1:8">
      <c r="A206" s="176">
        <v>45539.541435949075</v>
      </c>
      <c r="B206" s="168" t="s">
        <v>225</v>
      </c>
      <c r="C206" s="168">
        <v>5</v>
      </c>
      <c r="D206" s="168">
        <v>4</v>
      </c>
      <c r="E206" s="168">
        <v>5</v>
      </c>
      <c r="F206" s="168">
        <v>45</v>
      </c>
      <c r="G206" s="168" t="s">
        <v>395</v>
      </c>
      <c r="H206" s="168" t="s">
        <v>281</v>
      </c>
    </row>
    <row r="207" spans="1:8">
      <c r="A207" s="176">
        <v>45539.543061412041</v>
      </c>
      <c r="B207" s="168" t="s">
        <v>226</v>
      </c>
      <c r="C207" s="168">
        <v>5</v>
      </c>
      <c r="D207" s="168">
        <v>3</v>
      </c>
      <c r="E207" s="168">
        <v>5</v>
      </c>
      <c r="F207" s="168">
        <v>40</v>
      </c>
      <c r="G207" s="168" t="s">
        <v>396</v>
      </c>
      <c r="H207" s="168" t="s">
        <v>281</v>
      </c>
    </row>
    <row r="208" spans="1:8">
      <c r="A208" s="176">
        <v>45539.546578738431</v>
      </c>
      <c r="B208" s="168" t="s">
        <v>227</v>
      </c>
      <c r="C208" s="168">
        <v>5</v>
      </c>
      <c r="D208" s="168">
        <v>5</v>
      </c>
      <c r="E208" s="168">
        <v>5</v>
      </c>
      <c r="F208" s="168">
        <v>45</v>
      </c>
      <c r="G208" s="168" t="s">
        <v>397</v>
      </c>
      <c r="H208" s="168" t="s">
        <v>281</v>
      </c>
    </row>
    <row r="209" spans="1:8">
      <c r="A209" s="176">
        <v>45539.549330057867</v>
      </c>
      <c r="B209" s="168" t="s">
        <v>247</v>
      </c>
      <c r="C209" s="168">
        <v>3</v>
      </c>
      <c r="D209" s="168">
        <v>1</v>
      </c>
      <c r="E209" s="168">
        <v>2</v>
      </c>
      <c r="F209" s="168">
        <v>10</v>
      </c>
      <c r="G209" s="168" t="s">
        <v>398</v>
      </c>
      <c r="H209" s="168" t="s">
        <v>281</v>
      </c>
    </row>
    <row r="210" spans="1:8">
      <c r="A210" s="176">
        <v>45539.550695034719</v>
      </c>
      <c r="B210" s="168" t="s">
        <v>228</v>
      </c>
      <c r="C210" s="168">
        <v>5</v>
      </c>
      <c r="D210" s="168">
        <v>2</v>
      </c>
      <c r="E210" s="168">
        <v>4</v>
      </c>
      <c r="F210" s="168">
        <v>20</v>
      </c>
      <c r="G210" s="168" t="s">
        <v>399</v>
      </c>
      <c r="H210" s="168" t="s">
        <v>281</v>
      </c>
    </row>
    <row r="211" spans="1:8">
      <c r="A211" s="176">
        <v>45540.245035983797</v>
      </c>
      <c r="B211" s="168" t="s">
        <v>237</v>
      </c>
      <c r="C211" s="168">
        <v>3</v>
      </c>
      <c r="D211" s="168">
        <v>5</v>
      </c>
      <c r="E211" s="168">
        <v>3</v>
      </c>
      <c r="F211" s="168">
        <v>45</v>
      </c>
      <c r="H211" s="168" t="s">
        <v>281</v>
      </c>
    </row>
    <row r="212" spans="1:8">
      <c r="A212" s="176">
        <v>45540.245223032412</v>
      </c>
      <c r="B212" s="168" t="s">
        <v>238</v>
      </c>
      <c r="C212" s="168">
        <v>3</v>
      </c>
      <c r="D212" s="168">
        <v>5</v>
      </c>
      <c r="E212" s="168">
        <v>4</v>
      </c>
      <c r="F212" s="168">
        <v>40</v>
      </c>
      <c r="H212" s="168" t="s">
        <v>281</v>
      </c>
    </row>
    <row r="213" spans="1:8">
      <c r="A213" s="176">
        <v>45540.245402546294</v>
      </c>
      <c r="B213" s="168" t="s">
        <v>239</v>
      </c>
      <c r="C213" s="168">
        <v>4</v>
      </c>
      <c r="D213" s="168">
        <v>5</v>
      </c>
      <c r="E213" s="168">
        <v>4</v>
      </c>
      <c r="F213" s="168">
        <v>40</v>
      </c>
      <c r="H213" s="168" t="s">
        <v>281</v>
      </c>
    </row>
    <row r="214" spans="1:8">
      <c r="A214" s="176">
        <v>45540.245792615737</v>
      </c>
      <c r="B214" s="168" t="s">
        <v>232</v>
      </c>
      <c r="C214" s="168">
        <v>5</v>
      </c>
      <c r="D214" s="168">
        <v>3</v>
      </c>
      <c r="E214" s="168">
        <v>3</v>
      </c>
      <c r="F214" s="168">
        <v>60</v>
      </c>
      <c r="H214" s="168" t="s">
        <v>281</v>
      </c>
    </row>
    <row r="215" spans="1:8">
      <c r="A215" s="176">
        <v>45540.246021874998</v>
      </c>
      <c r="B215" s="168" t="s">
        <v>241</v>
      </c>
      <c r="C215" s="168">
        <v>5</v>
      </c>
      <c r="D215" s="168">
        <v>2</v>
      </c>
      <c r="E215" s="168">
        <v>4</v>
      </c>
      <c r="F215" s="168">
        <v>24</v>
      </c>
      <c r="H215" s="168" t="s">
        <v>281</v>
      </c>
    </row>
    <row r="216" spans="1:8">
      <c r="A216" s="176">
        <v>45540.246380497687</v>
      </c>
      <c r="B216" s="168" t="s">
        <v>243</v>
      </c>
      <c r="C216" s="168">
        <v>5</v>
      </c>
      <c r="D216" s="168">
        <v>1</v>
      </c>
      <c r="E216" s="168">
        <v>3</v>
      </c>
      <c r="F216" s="168">
        <v>24</v>
      </c>
      <c r="H216" s="168" t="s">
        <v>281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A999"/>
  <sheetViews>
    <sheetView workbookViewId="0"/>
  </sheetViews>
  <sheetFormatPr baseColWidth="10" defaultColWidth="14.5" defaultRowHeight="15" customHeight="1"/>
  <cols>
    <col min="1" max="1" width="202.5" customWidth="1"/>
  </cols>
  <sheetData>
    <row r="1" spans="1:1">
      <c r="A1" s="178" t="s">
        <v>400</v>
      </c>
    </row>
    <row r="2" spans="1:1">
      <c r="A2" s="179" t="s">
        <v>401</v>
      </c>
    </row>
    <row r="3" spans="1:1">
      <c r="A3" s="180" t="s">
        <v>402</v>
      </c>
    </row>
    <row r="4" spans="1:1">
      <c r="A4" s="181" t="s">
        <v>403</v>
      </c>
    </row>
    <row r="5" spans="1:1">
      <c r="A5" s="182"/>
    </row>
    <row r="6" spans="1:1">
      <c r="A6" s="182"/>
    </row>
    <row r="7" spans="1:1">
      <c r="A7" s="182"/>
    </row>
    <row r="8" spans="1:1">
      <c r="A8" s="182"/>
    </row>
    <row r="9" spans="1:1">
      <c r="A9" s="182"/>
    </row>
    <row r="10" spans="1:1">
      <c r="A10" s="182"/>
    </row>
    <row r="11" spans="1:1">
      <c r="A11" s="182"/>
    </row>
    <row r="12" spans="1:1">
      <c r="A12" s="182"/>
    </row>
    <row r="13" spans="1:1">
      <c r="A13" s="182"/>
    </row>
    <row r="14" spans="1:1">
      <c r="A14" s="182"/>
    </row>
    <row r="15" spans="1:1">
      <c r="A15" s="182"/>
    </row>
    <row r="16" spans="1:1">
      <c r="A16" s="182"/>
    </row>
    <row r="17" spans="1:1">
      <c r="A17" s="182"/>
    </row>
    <row r="18" spans="1:1">
      <c r="A18" s="182"/>
    </row>
    <row r="19" spans="1:1">
      <c r="A19" s="182"/>
    </row>
    <row r="20" spans="1:1">
      <c r="A20" s="182"/>
    </row>
    <row r="21" spans="1:1">
      <c r="A21" s="182"/>
    </row>
    <row r="22" spans="1:1">
      <c r="A22" s="182"/>
    </row>
    <row r="23" spans="1:1">
      <c r="A23" s="182"/>
    </row>
    <row r="24" spans="1:1">
      <c r="A24" s="182"/>
    </row>
    <row r="25" spans="1:1">
      <c r="A25" s="182"/>
    </row>
    <row r="26" spans="1:1">
      <c r="A26" s="182"/>
    </row>
    <row r="27" spans="1:1">
      <c r="A27" s="182"/>
    </row>
    <row r="28" spans="1:1">
      <c r="A28" s="182"/>
    </row>
    <row r="29" spans="1:1">
      <c r="A29" s="182"/>
    </row>
    <row r="30" spans="1:1">
      <c r="A30" s="182"/>
    </row>
    <row r="31" spans="1:1">
      <c r="A31" s="182"/>
    </row>
    <row r="32" spans="1:1">
      <c r="A32" s="182"/>
    </row>
    <row r="33" spans="1:1">
      <c r="A33" s="182"/>
    </row>
    <row r="34" spans="1:1">
      <c r="A34" s="182"/>
    </row>
    <row r="35" spans="1:1">
      <c r="A35" s="182"/>
    </row>
    <row r="36" spans="1:1">
      <c r="A36" s="182"/>
    </row>
    <row r="37" spans="1:1">
      <c r="A37" s="182"/>
    </row>
    <row r="38" spans="1:1">
      <c r="A38" s="182"/>
    </row>
    <row r="39" spans="1:1">
      <c r="A39" s="182"/>
    </row>
    <row r="40" spans="1:1">
      <c r="A40" s="182"/>
    </row>
    <row r="41" spans="1:1">
      <c r="A41" s="182"/>
    </row>
    <row r="42" spans="1:1">
      <c r="A42" s="182"/>
    </row>
    <row r="43" spans="1:1">
      <c r="A43" s="182"/>
    </row>
    <row r="44" spans="1:1">
      <c r="A44" s="182"/>
    </row>
    <row r="45" spans="1:1">
      <c r="A45" s="182"/>
    </row>
    <row r="46" spans="1:1">
      <c r="A46" s="182"/>
    </row>
    <row r="47" spans="1:1">
      <c r="A47" s="182"/>
    </row>
    <row r="48" spans="1:1">
      <c r="A48" s="182"/>
    </row>
    <row r="49" spans="1:1">
      <c r="A49" s="182"/>
    </row>
    <row r="50" spans="1:1">
      <c r="A50" s="182"/>
    </row>
    <row r="51" spans="1:1">
      <c r="A51" s="182"/>
    </row>
    <row r="52" spans="1:1">
      <c r="A52" s="182"/>
    </row>
    <row r="53" spans="1:1">
      <c r="A53" s="182"/>
    </row>
    <row r="54" spans="1:1">
      <c r="A54" s="182"/>
    </row>
    <row r="55" spans="1:1">
      <c r="A55" s="182"/>
    </row>
    <row r="56" spans="1:1">
      <c r="A56" s="182"/>
    </row>
    <row r="57" spans="1:1">
      <c r="A57" s="182"/>
    </row>
    <row r="58" spans="1:1">
      <c r="A58" s="182"/>
    </row>
    <row r="59" spans="1:1">
      <c r="A59" s="182"/>
    </row>
    <row r="60" spans="1:1">
      <c r="A60" s="182"/>
    </row>
    <row r="61" spans="1:1">
      <c r="A61" s="182"/>
    </row>
    <row r="62" spans="1:1">
      <c r="A62" s="182"/>
    </row>
    <row r="63" spans="1:1">
      <c r="A63" s="182"/>
    </row>
    <row r="64" spans="1:1">
      <c r="A64" s="182"/>
    </row>
    <row r="65" spans="1:1">
      <c r="A65" s="182"/>
    </row>
    <row r="66" spans="1:1">
      <c r="A66" s="182"/>
    </row>
    <row r="67" spans="1:1">
      <c r="A67" s="182"/>
    </row>
    <row r="68" spans="1:1">
      <c r="A68" s="182"/>
    </row>
    <row r="69" spans="1:1">
      <c r="A69" s="182"/>
    </row>
    <row r="70" spans="1:1">
      <c r="A70" s="182"/>
    </row>
    <row r="71" spans="1:1">
      <c r="A71" s="182"/>
    </row>
    <row r="72" spans="1:1">
      <c r="A72" s="182"/>
    </row>
    <row r="73" spans="1:1">
      <c r="A73" s="182"/>
    </row>
    <row r="74" spans="1:1">
      <c r="A74" s="182"/>
    </row>
    <row r="75" spans="1:1">
      <c r="A75" s="182"/>
    </row>
    <row r="76" spans="1:1">
      <c r="A76" s="182"/>
    </row>
    <row r="77" spans="1:1">
      <c r="A77" s="182"/>
    </row>
    <row r="78" spans="1:1">
      <c r="A78" s="182"/>
    </row>
    <row r="79" spans="1:1">
      <c r="A79" s="182"/>
    </row>
    <row r="80" spans="1:1">
      <c r="A80" s="182"/>
    </row>
    <row r="81" spans="1:1">
      <c r="A81" s="182"/>
    </row>
    <row r="82" spans="1:1">
      <c r="A82" s="182"/>
    </row>
    <row r="83" spans="1:1">
      <c r="A83" s="182"/>
    </row>
    <row r="84" spans="1:1">
      <c r="A84" s="182"/>
    </row>
    <row r="85" spans="1:1">
      <c r="A85" s="182"/>
    </row>
    <row r="86" spans="1:1">
      <c r="A86" s="182"/>
    </row>
    <row r="87" spans="1:1">
      <c r="A87" s="182"/>
    </row>
    <row r="88" spans="1:1">
      <c r="A88" s="182"/>
    </row>
    <row r="89" spans="1:1">
      <c r="A89" s="182"/>
    </row>
    <row r="90" spans="1:1">
      <c r="A90" s="182"/>
    </row>
    <row r="91" spans="1:1">
      <c r="A91" s="182"/>
    </row>
    <row r="92" spans="1:1">
      <c r="A92" s="182"/>
    </row>
    <row r="93" spans="1:1">
      <c r="A93" s="182"/>
    </row>
    <row r="94" spans="1:1">
      <c r="A94" s="182"/>
    </row>
    <row r="95" spans="1:1">
      <c r="A95" s="182"/>
    </row>
    <row r="96" spans="1:1">
      <c r="A96" s="182"/>
    </row>
    <row r="97" spans="1:1">
      <c r="A97" s="182"/>
    </row>
    <row r="98" spans="1:1">
      <c r="A98" s="182"/>
    </row>
    <row r="99" spans="1:1">
      <c r="A99" s="182"/>
    </row>
    <row r="100" spans="1:1">
      <c r="A100" s="182"/>
    </row>
    <row r="101" spans="1:1">
      <c r="A101" s="182"/>
    </row>
    <row r="102" spans="1:1">
      <c r="A102" s="182"/>
    </row>
    <row r="103" spans="1:1">
      <c r="A103" s="182"/>
    </row>
    <row r="104" spans="1:1">
      <c r="A104" s="182"/>
    </row>
    <row r="105" spans="1:1">
      <c r="A105" s="182"/>
    </row>
    <row r="106" spans="1:1">
      <c r="A106" s="182"/>
    </row>
    <row r="107" spans="1:1">
      <c r="A107" s="182"/>
    </row>
    <row r="108" spans="1:1">
      <c r="A108" s="182"/>
    </row>
    <row r="109" spans="1:1">
      <c r="A109" s="182"/>
    </row>
    <row r="110" spans="1:1">
      <c r="A110" s="182"/>
    </row>
    <row r="111" spans="1:1">
      <c r="A111" s="182"/>
    </row>
    <row r="112" spans="1:1">
      <c r="A112" s="182"/>
    </row>
    <row r="113" spans="1:1">
      <c r="A113" s="182"/>
    </row>
    <row r="114" spans="1:1">
      <c r="A114" s="182"/>
    </row>
    <row r="115" spans="1:1">
      <c r="A115" s="182"/>
    </row>
    <row r="116" spans="1:1">
      <c r="A116" s="182"/>
    </row>
    <row r="117" spans="1:1">
      <c r="A117" s="182"/>
    </row>
    <row r="118" spans="1:1">
      <c r="A118" s="182"/>
    </row>
    <row r="119" spans="1:1">
      <c r="A119" s="182"/>
    </row>
    <row r="120" spans="1:1">
      <c r="A120" s="182"/>
    </row>
    <row r="121" spans="1:1">
      <c r="A121" s="182"/>
    </row>
    <row r="122" spans="1:1">
      <c r="A122" s="182"/>
    </row>
    <row r="123" spans="1:1">
      <c r="A123" s="182"/>
    </row>
    <row r="124" spans="1:1">
      <c r="A124" s="182"/>
    </row>
    <row r="125" spans="1:1">
      <c r="A125" s="182"/>
    </row>
    <row r="126" spans="1:1">
      <c r="A126" s="182"/>
    </row>
    <row r="127" spans="1:1">
      <c r="A127" s="182"/>
    </row>
    <row r="128" spans="1:1">
      <c r="A128" s="182"/>
    </row>
    <row r="129" spans="1:1">
      <c r="A129" s="182"/>
    </row>
    <row r="130" spans="1:1">
      <c r="A130" s="182"/>
    </row>
    <row r="131" spans="1:1">
      <c r="A131" s="182"/>
    </row>
    <row r="132" spans="1:1">
      <c r="A132" s="182"/>
    </row>
    <row r="133" spans="1:1">
      <c r="A133" s="182"/>
    </row>
    <row r="134" spans="1:1">
      <c r="A134" s="182"/>
    </row>
    <row r="135" spans="1:1">
      <c r="A135" s="182"/>
    </row>
    <row r="136" spans="1:1">
      <c r="A136" s="182"/>
    </row>
    <row r="137" spans="1:1">
      <c r="A137" s="182"/>
    </row>
    <row r="138" spans="1:1">
      <c r="A138" s="182"/>
    </row>
    <row r="139" spans="1:1">
      <c r="A139" s="182"/>
    </row>
    <row r="140" spans="1:1">
      <c r="A140" s="182"/>
    </row>
    <row r="141" spans="1:1">
      <c r="A141" s="182"/>
    </row>
    <row r="142" spans="1:1">
      <c r="A142" s="182"/>
    </row>
    <row r="143" spans="1:1">
      <c r="A143" s="182"/>
    </row>
    <row r="144" spans="1:1">
      <c r="A144" s="182"/>
    </row>
    <row r="145" spans="1:1">
      <c r="A145" s="182"/>
    </row>
    <row r="146" spans="1:1">
      <c r="A146" s="182"/>
    </row>
    <row r="147" spans="1:1">
      <c r="A147" s="182"/>
    </row>
    <row r="148" spans="1:1">
      <c r="A148" s="182"/>
    </row>
    <row r="149" spans="1:1">
      <c r="A149" s="182"/>
    </row>
    <row r="150" spans="1:1">
      <c r="A150" s="182"/>
    </row>
    <row r="151" spans="1:1">
      <c r="A151" s="182"/>
    </row>
    <row r="152" spans="1:1">
      <c r="A152" s="182"/>
    </row>
    <row r="153" spans="1:1">
      <c r="A153" s="182"/>
    </row>
    <row r="154" spans="1:1">
      <c r="A154" s="182"/>
    </row>
    <row r="155" spans="1:1">
      <c r="A155" s="182"/>
    </row>
    <row r="156" spans="1:1">
      <c r="A156" s="182"/>
    </row>
    <row r="157" spans="1:1">
      <c r="A157" s="182"/>
    </row>
    <row r="158" spans="1:1">
      <c r="A158" s="182"/>
    </row>
    <row r="159" spans="1:1">
      <c r="A159" s="182"/>
    </row>
    <row r="160" spans="1:1">
      <c r="A160" s="182"/>
    </row>
    <row r="161" spans="1:1">
      <c r="A161" s="182"/>
    </row>
    <row r="162" spans="1:1">
      <c r="A162" s="182"/>
    </row>
    <row r="163" spans="1:1">
      <c r="A163" s="182"/>
    </row>
    <row r="164" spans="1:1">
      <c r="A164" s="182"/>
    </row>
    <row r="165" spans="1:1">
      <c r="A165" s="182"/>
    </row>
    <row r="166" spans="1:1">
      <c r="A166" s="182"/>
    </row>
    <row r="167" spans="1:1">
      <c r="A167" s="182"/>
    </row>
    <row r="168" spans="1:1">
      <c r="A168" s="182"/>
    </row>
    <row r="169" spans="1:1">
      <c r="A169" s="182"/>
    </row>
    <row r="170" spans="1:1">
      <c r="A170" s="182"/>
    </row>
    <row r="171" spans="1:1">
      <c r="A171" s="182"/>
    </row>
    <row r="172" spans="1:1">
      <c r="A172" s="182"/>
    </row>
    <row r="173" spans="1:1">
      <c r="A173" s="182"/>
    </row>
    <row r="174" spans="1:1">
      <c r="A174" s="182"/>
    </row>
    <row r="175" spans="1:1">
      <c r="A175" s="182"/>
    </row>
    <row r="176" spans="1:1">
      <c r="A176" s="182"/>
    </row>
    <row r="177" spans="1:1">
      <c r="A177" s="182"/>
    </row>
    <row r="178" spans="1:1">
      <c r="A178" s="182"/>
    </row>
    <row r="179" spans="1:1">
      <c r="A179" s="182"/>
    </row>
    <row r="180" spans="1:1">
      <c r="A180" s="182"/>
    </row>
    <row r="181" spans="1:1">
      <c r="A181" s="182"/>
    </row>
    <row r="182" spans="1:1">
      <c r="A182" s="182"/>
    </row>
    <row r="183" spans="1:1">
      <c r="A183" s="182"/>
    </row>
    <row r="184" spans="1:1">
      <c r="A184" s="182"/>
    </row>
    <row r="185" spans="1:1">
      <c r="A185" s="182"/>
    </row>
    <row r="186" spans="1:1">
      <c r="A186" s="182"/>
    </row>
    <row r="187" spans="1:1">
      <c r="A187" s="182"/>
    </row>
    <row r="188" spans="1:1">
      <c r="A188" s="182"/>
    </row>
    <row r="189" spans="1:1">
      <c r="A189" s="182"/>
    </row>
    <row r="190" spans="1:1">
      <c r="A190" s="182"/>
    </row>
    <row r="191" spans="1:1">
      <c r="A191" s="182"/>
    </row>
    <row r="192" spans="1:1">
      <c r="A192" s="182"/>
    </row>
    <row r="193" spans="1:1">
      <c r="A193" s="182"/>
    </row>
    <row r="194" spans="1:1">
      <c r="A194" s="182"/>
    </row>
    <row r="195" spans="1:1">
      <c r="A195" s="182"/>
    </row>
    <row r="196" spans="1:1">
      <c r="A196" s="182"/>
    </row>
    <row r="197" spans="1:1">
      <c r="A197" s="182"/>
    </row>
    <row r="198" spans="1:1">
      <c r="A198" s="182"/>
    </row>
    <row r="199" spans="1:1">
      <c r="A199" s="182"/>
    </row>
    <row r="200" spans="1:1">
      <c r="A200" s="182"/>
    </row>
    <row r="201" spans="1:1">
      <c r="A201" s="182"/>
    </row>
    <row r="202" spans="1:1">
      <c r="A202" s="182"/>
    </row>
    <row r="203" spans="1:1">
      <c r="A203" s="182"/>
    </row>
    <row r="204" spans="1:1">
      <c r="A204" s="182"/>
    </row>
    <row r="205" spans="1:1">
      <c r="A205" s="182"/>
    </row>
    <row r="206" spans="1:1">
      <c r="A206" s="182"/>
    </row>
    <row r="207" spans="1:1">
      <c r="A207" s="182"/>
    </row>
    <row r="208" spans="1:1">
      <c r="A208" s="182"/>
    </row>
    <row r="209" spans="1:1">
      <c r="A209" s="182"/>
    </row>
    <row r="210" spans="1:1">
      <c r="A210" s="182"/>
    </row>
    <row r="211" spans="1:1">
      <c r="A211" s="182"/>
    </row>
    <row r="212" spans="1:1">
      <c r="A212" s="182"/>
    </row>
    <row r="213" spans="1:1">
      <c r="A213" s="182"/>
    </row>
    <row r="214" spans="1:1">
      <c r="A214" s="182"/>
    </row>
    <row r="215" spans="1:1">
      <c r="A215" s="182"/>
    </row>
    <row r="216" spans="1:1">
      <c r="A216" s="182"/>
    </row>
    <row r="217" spans="1:1">
      <c r="A217" s="182"/>
    </row>
    <row r="218" spans="1:1">
      <c r="A218" s="182"/>
    </row>
    <row r="219" spans="1:1">
      <c r="A219" s="182"/>
    </row>
    <row r="220" spans="1:1">
      <c r="A220" s="182"/>
    </row>
    <row r="221" spans="1:1">
      <c r="A221" s="182"/>
    </row>
    <row r="222" spans="1:1">
      <c r="A222" s="182"/>
    </row>
    <row r="223" spans="1:1">
      <c r="A223" s="182"/>
    </row>
    <row r="224" spans="1:1">
      <c r="A224" s="182"/>
    </row>
    <row r="225" spans="1:1">
      <c r="A225" s="182"/>
    </row>
    <row r="226" spans="1:1">
      <c r="A226" s="182"/>
    </row>
    <row r="227" spans="1:1">
      <c r="A227" s="182"/>
    </row>
    <row r="228" spans="1:1">
      <c r="A228" s="182"/>
    </row>
    <row r="229" spans="1:1">
      <c r="A229" s="182"/>
    </row>
    <row r="230" spans="1:1">
      <c r="A230" s="182"/>
    </row>
    <row r="231" spans="1:1">
      <c r="A231" s="182"/>
    </row>
    <row r="232" spans="1:1">
      <c r="A232" s="182"/>
    </row>
    <row r="233" spans="1:1">
      <c r="A233" s="182"/>
    </row>
    <row r="234" spans="1:1">
      <c r="A234" s="182"/>
    </row>
    <row r="235" spans="1:1">
      <c r="A235" s="182"/>
    </row>
    <row r="236" spans="1:1">
      <c r="A236" s="182"/>
    </row>
    <row r="237" spans="1:1">
      <c r="A237" s="182"/>
    </row>
    <row r="238" spans="1:1">
      <c r="A238" s="182"/>
    </row>
    <row r="239" spans="1:1">
      <c r="A239" s="182"/>
    </row>
    <row r="240" spans="1:1">
      <c r="A240" s="182"/>
    </row>
    <row r="241" spans="1:1">
      <c r="A241" s="182"/>
    </row>
    <row r="242" spans="1:1">
      <c r="A242" s="182"/>
    </row>
    <row r="243" spans="1:1">
      <c r="A243" s="182"/>
    </row>
    <row r="244" spans="1:1">
      <c r="A244" s="182"/>
    </row>
    <row r="245" spans="1:1">
      <c r="A245" s="182"/>
    </row>
    <row r="246" spans="1:1">
      <c r="A246" s="182"/>
    </row>
    <row r="247" spans="1:1">
      <c r="A247" s="182"/>
    </row>
    <row r="248" spans="1:1">
      <c r="A248" s="182"/>
    </row>
    <row r="249" spans="1:1">
      <c r="A249" s="182"/>
    </row>
    <row r="250" spans="1:1">
      <c r="A250" s="182"/>
    </row>
    <row r="251" spans="1:1">
      <c r="A251" s="182"/>
    </row>
    <row r="252" spans="1:1">
      <c r="A252" s="182"/>
    </row>
    <row r="253" spans="1:1">
      <c r="A253" s="182"/>
    </row>
    <row r="254" spans="1:1">
      <c r="A254" s="182"/>
    </row>
    <row r="255" spans="1:1">
      <c r="A255" s="182"/>
    </row>
    <row r="256" spans="1:1">
      <c r="A256" s="182"/>
    </row>
    <row r="257" spans="1:1">
      <c r="A257" s="182"/>
    </row>
    <row r="258" spans="1:1">
      <c r="A258" s="182"/>
    </row>
    <row r="259" spans="1:1">
      <c r="A259" s="182"/>
    </row>
    <row r="260" spans="1:1">
      <c r="A260" s="182"/>
    </row>
    <row r="261" spans="1:1">
      <c r="A261" s="182"/>
    </row>
    <row r="262" spans="1:1">
      <c r="A262" s="182"/>
    </row>
    <row r="263" spans="1:1">
      <c r="A263" s="182"/>
    </row>
    <row r="264" spans="1:1">
      <c r="A264" s="182"/>
    </row>
    <row r="265" spans="1:1">
      <c r="A265" s="182"/>
    </row>
    <row r="266" spans="1:1">
      <c r="A266" s="182"/>
    </row>
    <row r="267" spans="1:1">
      <c r="A267" s="182"/>
    </row>
    <row r="268" spans="1:1">
      <c r="A268" s="182"/>
    </row>
    <row r="269" spans="1:1">
      <c r="A269" s="182"/>
    </row>
    <row r="270" spans="1:1">
      <c r="A270" s="182"/>
    </row>
    <row r="271" spans="1:1">
      <c r="A271" s="182"/>
    </row>
    <row r="272" spans="1:1">
      <c r="A272" s="182"/>
    </row>
    <row r="273" spans="1:1">
      <c r="A273" s="182"/>
    </row>
    <row r="274" spans="1:1">
      <c r="A274" s="182"/>
    </row>
    <row r="275" spans="1:1">
      <c r="A275" s="182"/>
    </row>
    <row r="276" spans="1:1">
      <c r="A276" s="182"/>
    </row>
    <row r="277" spans="1:1">
      <c r="A277" s="182"/>
    </row>
    <row r="278" spans="1:1">
      <c r="A278" s="182"/>
    </row>
    <row r="279" spans="1:1">
      <c r="A279" s="182"/>
    </row>
    <row r="280" spans="1:1">
      <c r="A280" s="182"/>
    </row>
    <row r="281" spans="1:1">
      <c r="A281" s="182"/>
    </row>
    <row r="282" spans="1:1">
      <c r="A282" s="182"/>
    </row>
    <row r="283" spans="1:1">
      <c r="A283" s="182"/>
    </row>
    <row r="284" spans="1:1">
      <c r="A284" s="182"/>
    </row>
    <row r="285" spans="1:1">
      <c r="A285" s="182"/>
    </row>
    <row r="286" spans="1:1">
      <c r="A286" s="182"/>
    </row>
    <row r="287" spans="1:1">
      <c r="A287" s="182"/>
    </row>
    <row r="288" spans="1:1">
      <c r="A288" s="182"/>
    </row>
    <row r="289" spans="1:1">
      <c r="A289" s="182"/>
    </row>
    <row r="290" spans="1:1">
      <c r="A290" s="182"/>
    </row>
    <row r="291" spans="1:1">
      <c r="A291" s="182"/>
    </row>
    <row r="292" spans="1:1">
      <c r="A292" s="182"/>
    </row>
    <row r="293" spans="1:1">
      <c r="A293" s="182"/>
    </row>
    <row r="294" spans="1:1">
      <c r="A294" s="182"/>
    </row>
    <row r="295" spans="1:1">
      <c r="A295" s="182"/>
    </row>
    <row r="296" spans="1:1">
      <c r="A296" s="182"/>
    </row>
    <row r="297" spans="1:1">
      <c r="A297" s="182"/>
    </row>
    <row r="298" spans="1:1">
      <c r="A298" s="182"/>
    </row>
    <row r="299" spans="1:1">
      <c r="A299" s="182"/>
    </row>
    <row r="300" spans="1:1">
      <c r="A300" s="182"/>
    </row>
    <row r="301" spans="1:1">
      <c r="A301" s="182"/>
    </row>
    <row r="302" spans="1:1">
      <c r="A302" s="182"/>
    </row>
    <row r="303" spans="1:1">
      <c r="A303" s="182"/>
    </row>
    <row r="304" spans="1:1">
      <c r="A304" s="182"/>
    </row>
    <row r="305" spans="1:1">
      <c r="A305" s="182"/>
    </row>
    <row r="306" spans="1:1">
      <c r="A306" s="182"/>
    </row>
    <row r="307" spans="1:1">
      <c r="A307" s="182"/>
    </row>
    <row r="308" spans="1:1">
      <c r="A308" s="182"/>
    </row>
    <row r="309" spans="1:1">
      <c r="A309" s="182"/>
    </row>
    <row r="310" spans="1:1">
      <c r="A310" s="182"/>
    </row>
    <row r="311" spans="1:1">
      <c r="A311" s="182"/>
    </row>
    <row r="312" spans="1:1">
      <c r="A312" s="182"/>
    </row>
    <row r="313" spans="1:1">
      <c r="A313" s="182"/>
    </row>
    <row r="314" spans="1:1">
      <c r="A314" s="182"/>
    </row>
    <row r="315" spans="1:1">
      <c r="A315" s="182"/>
    </row>
    <row r="316" spans="1:1">
      <c r="A316" s="182"/>
    </row>
    <row r="317" spans="1:1">
      <c r="A317" s="182"/>
    </row>
    <row r="318" spans="1:1">
      <c r="A318" s="182"/>
    </row>
    <row r="319" spans="1:1">
      <c r="A319" s="182"/>
    </row>
    <row r="320" spans="1:1">
      <c r="A320" s="182"/>
    </row>
    <row r="321" spans="1:1">
      <c r="A321" s="182"/>
    </row>
    <row r="322" spans="1:1">
      <c r="A322" s="182"/>
    </row>
    <row r="323" spans="1:1">
      <c r="A323" s="182"/>
    </row>
    <row r="324" spans="1:1">
      <c r="A324" s="182"/>
    </row>
    <row r="325" spans="1:1">
      <c r="A325" s="182"/>
    </row>
    <row r="326" spans="1:1">
      <c r="A326" s="182"/>
    </row>
    <row r="327" spans="1:1">
      <c r="A327" s="182"/>
    </row>
    <row r="328" spans="1:1">
      <c r="A328" s="182"/>
    </row>
    <row r="329" spans="1:1">
      <c r="A329" s="182"/>
    </row>
    <row r="330" spans="1:1">
      <c r="A330" s="182"/>
    </row>
    <row r="331" spans="1:1">
      <c r="A331" s="182"/>
    </row>
    <row r="332" spans="1:1">
      <c r="A332" s="182"/>
    </row>
    <row r="333" spans="1:1">
      <c r="A333" s="182"/>
    </row>
    <row r="334" spans="1:1">
      <c r="A334" s="182"/>
    </row>
    <row r="335" spans="1:1">
      <c r="A335" s="182"/>
    </row>
    <row r="336" spans="1:1">
      <c r="A336" s="182"/>
    </row>
    <row r="337" spans="1:1">
      <c r="A337" s="182"/>
    </row>
    <row r="338" spans="1:1">
      <c r="A338" s="182"/>
    </row>
    <row r="339" spans="1:1">
      <c r="A339" s="182"/>
    </row>
    <row r="340" spans="1:1">
      <c r="A340" s="182"/>
    </row>
    <row r="341" spans="1:1">
      <c r="A341" s="182"/>
    </row>
    <row r="342" spans="1:1">
      <c r="A342" s="182"/>
    </row>
    <row r="343" spans="1:1">
      <c r="A343" s="182"/>
    </row>
    <row r="344" spans="1:1">
      <c r="A344" s="182"/>
    </row>
    <row r="345" spans="1:1">
      <c r="A345" s="182"/>
    </row>
    <row r="346" spans="1:1">
      <c r="A346" s="182"/>
    </row>
    <row r="347" spans="1:1">
      <c r="A347" s="182"/>
    </row>
    <row r="348" spans="1:1">
      <c r="A348" s="182"/>
    </row>
    <row r="349" spans="1:1">
      <c r="A349" s="182"/>
    </row>
    <row r="350" spans="1:1">
      <c r="A350" s="182"/>
    </row>
    <row r="351" spans="1:1">
      <c r="A351" s="182"/>
    </row>
    <row r="352" spans="1:1">
      <c r="A352" s="182"/>
    </row>
    <row r="353" spans="1:1">
      <c r="A353" s="182"/>
    </row>
    <row r="354" spans="1:1">
      <c r="A354" s="182"/>
    </row>
    <row r="355" spans="1:1">
      <c r="A355" s="182"/>
    </row>
    <row r="356" spans="1:1">
      <c r="A356" s="182"/>
    </row>
    <row r="357" spans="1:1">
      <c r="A357" s="182"/>
    </row>
    <row r="358" spans="1:1">
      <c r="A358" s="182"/>
    </row>
    <row r="359" spans="1:1">
      <c r="A359" s="182"/>
    </row>
    <row r="360" spans="1:1">
      <c r="A360" s="182"/>
    </row>
    <row r="361" spans="1:1">
      <c r="A361" s="182"/>
    </row>
    <row r="362" spans="1:1">
      <c r="A362" s="182"/>
    </row>
    <row r="363" spans="1:1">
      <c r="A363" s="182"/>
    </row>
    <row r="364" spans="1:1">
      <c r="A364" s="182"/>
    </row>
    <row r="365" spans="1:1">
      <c r="A365" s="182"/>
    </row>
    <row r="366" spans="1:1">
      <c r="A366" s="182"/>
    </row>
    <row r="367" spans="1:1">
      <c r="A367" s="182"/>
    </row>
    <row r="368" spans="1:1">
      <c r="A368" s="182"/>
    </row>
    <row r="369" spans="1:1">
      <c r="A369" s="182"/>
    </row>
    <row r="370" spans="1:1">
      <c r="A370" s="182"/>
    </row>
    <row r="371" spans="1:1">
      <c r="A371" s="182"/>
    </row>
    <row r="372" spans="1:1">
      <c r="A372" s="182"/>
    </row>
    <row r="373" spans="1:1">
      <c r="A373" s="182"/>
    </row>
    <row r="374" spans="1:1">
      <c r="A374" s="182"/>
    </row>
    <row r="375" spans="1:1">
      <c r="A375" s="182"/>
    </row>
    <row r="376" spans="1:1">
      <c r="A376" s="182"/>
    </row>
    <row r="377" spans="1:1">
      <c r="A377" s="182"/>
    </row>
    <row r="378" spans="1:1">
      <c r="A378" s="182"/>
    </row>
    <row r="379" spans="1:1">
      <c r="A379" s="182"/>
    </row>
    <row r="380" spans="1:1">
      <c r="A380" s="182"/>
    </row>
    <row r="381" spans="1:1">
      <c r="A381" s="182"/>
    </row>
    <row r="382" spans="1:1">
      <c r="A382" s="182"/>
    </row>
    <row r="383" spans="1:1">
      <c r="A383" s="182"/>
    </row>
    <row r="384" spans="1:1">
      <c r="A384" s="182"/>
    </row>
    <row r="385" spans="1:1">
      <c r="A385" s="182"/>
    </row>
    <row r="386" spans="1:1">
      <c r="A386" s="182"/>
    </row>
    <row r="387" spans="1:1">
      <c r="A387" s="182"/>
    </row>
    <row r="388" spans="1:1">
      <c r="A388" s="182"/>
    </row>
    <row r="389" spans="1:1">
      <c r="A389" s="182"/>
    </row>
    <row r="390" spans="1:1">
      <c r="A390" s="182"/>
    </row>
    <row r="391" spans="1:1">
      <c r="A391" s="182"/>
    </row>
    <row r="392" spans="1:1">
      <c r="A392" s="182"/>
    </row>
    <row r="393" spans="1:1">
      <c r="A393" s="182"/>
    </row>
    <row r="394" spans="1:1">
      <c r="A394" s="182"/>
    </row>
    <row r="395" spans="1:1">
      <c r="A395" s="182"/>
    </row>
    <row r="396" spans="1:1">
      <c r="A396" s="182"/>
    </row>
    <row r="397" spans="1:1">
      <c r="A397" s="182"/>
    </row>
    <row r="398" spans="1:1">
      <c r="A398" s="182"/>
    </row>
    <row r="399" spans="1:1">
      <c r="A399" s="182"/>
    </row>
    <row r="400" spans="1:1">
      <c r="A400" s="182"/>
    </row>
    <row r="401" spans="1:1">
      <c r="A401" s="182"/>
    </row>
    <row r="402" spans="1:1">
      <c r="A402" s="182"/>
    </row>
    <row r="403" spans="1:1">
      <c r="A403" s="182"/>
    </row>
    <row r="404" spans="1:1">
      <c r="A404" s="182"/>
    </row>
    <row r="405" spans="1:1">
      <c r="A405" s="182"/>
    </row>
    <row r="406" spans="1:1">
      <c r="A406" s="182"/>
    </row>
    <row r="407" spans="1:1">
      <c r="A407" s="182"/>
    </row>
    <row r="408" spans="1:1">
      <c r="A408" s="182"/>
    </row>
    <row r="409" spans="1:1">
      <c r="A409" s="182"/>
    </row>
    <row r="410" spans="1:1">
      <c r="A410" s="182"/>
    </row>
    <row r="411" spans="1:1">
      <c r="A411" s="182"/>
    </row>
    <row r="412" spans="1:1">
      <c r="A412" s="182"/>
    </row>
    <row r="413" spans="1:1">
      <c r="A413" s="182"/>
    </row>
    <row r="414" spans="1:1">
      <c r="A414" s="182"/>
    </row>
    <row r="415" spans="1:1">
      <c r="A415" s="182"/>
    </row>
    <row r="416" spans="1:1">
      <c r="A416" s="182"/>
    </row>
    <row r="417" spans="1:1">
      <c r="A417" s="182"/>
    </row>
    <row r="418" spans="1:1">
      <c r="A418" s="182"/>
    </row>
    <row r="419" spans="1:1">
      <c r="A419" s="182"/>
    </row>
    <row r="420" spans="1:1">
      <c r="A420" s="182"/>
    </row>
    <row r="421" spans="1:1">
      <c r="A421" s="182"/>
    </row>
    <row r="422" spans="1:1">
      <c r="A422" s="182"/>
    </row>
    <row r="423" spans="1:1">
      <c r="A423" s="182"/>
    </row>
    <row r="424" spans="1:1">
      <c r="A424" s="182"/>
    </row>
    <row r="425" spans="1:1">
      <c r="A425" s="182"/>
    </row>
    <row r="426" spans="1:1">
      <c r="A426" s="182"/>
    </row>
    <row r="427" spans="1:1">
      <c r="A427" s="182"/>
    </row>
    <row r="428" spans="1:1">
      <c r="A428" s="182"/>
    </row>
    <row r="429" spans="1:1">
      <c r="A429" s="182"/>
    </row>
    <row r="430" spans="1:1">
      <c r="A430" s="182"/>
    </row>
    <row r="431" spans="1:1">
      <c r="A431" s="182"/>
    </row>
    <row r="432" spans="1:1">
      <c r="A432" s="182"/>
    </row>
    <row r="433" spans="1:1">
      <c r="A433" s="182"/>
    </row>
    <row r="434" spans="1:1">
      <c r="A434" s="182"/>
    </row>
    <row r="435" spans="1:1">
      <c r="A435" s="182"/>
    </row>
    <row r="436" spans="1:1">
      <c r="A436" s="182"/>
    </row>
    <row r="437" spans="1:1">
      <c r="A437" s="182"/>
    </row>
    <row r="438" spans="1:1">
      <c r="A438" s="182"/>
    </row>
    <row r="439" spans="1:1">
      <c r="A439" s="182"/>
    </row>
    <row r="440" spans="1:1">
      <c r="A440" s="182"/>
    </row>
    <row r="441" spans="1:1">
      <c r="A441" s="182"/>
    </row>
    <row r="442" spans="1:1">
      <c r="A442" s="182"/>
    </row>
    <row r="443" spans="1:1">
      <c r="A443" s="182"/>
    </row>
    <row r="444" spans="1:1">
      <c r="A444" s="182"/>
    </row>
    <row r="445" spans="1:1">
      <c r="A445" s="182"/>
    </row>
    <row r="446" spans="1:1">
      <c r="A446" s="182"/>
    </row>
    <row r="447" spans="1:1">
      <c r="A447" s="182"/>
    </row>
    <row r="448" spans="1:1">
      <c r="A448" s="182"/>
    </row>
    <row r="449" spans="1:1">
      <c r="A449" s="182"/>
    </row>
    <row r="450" spans="1:1">
      <c r="A450" s="182"/>
    </row>
    <row r="451" spans="1:1">
      <c r="A451" s="182"/>
    </row>
    <row r="452" spans="1:1">
      <c r="A452" s="182"/>
    </row>
    <row r="453" spans="1:1">
      <c r="A453" s="182"/>
    </row>
    <row r="454" spans="1:1">
      <c r="A454" s="182"/>
    </row>
    <row r="455" spans="1:1">
      <c r="A455" s="182"/>
    </row>
    <row r="456" spans="1:1">
      <c r="A456" s="182"/>
    </row>
    <row r="457" spans="1:1">
      <c r="A457" s="182"/>
    </row>
    <row r="458" spans="1:1">
      <c r="A458" s="182"/>
    </row>
    <row r="459" spans="1:1">
      <c r="A459" s="182"/>
    </row>
    <row r="460" spans="1:1">
      <c r="A460" s="182"/>
    </row>
    <row r="461" spans="1:1">
      <c r="A461" s="182"/>
    </row>
    <row r="462" spans="1:1">
      <c r="A462" s="182"/>
    </row>
    <row r="463" spans="1:1">
      <c r="A463" s="182"/>
    </row>
    <row r="464" spans="1:1">
      <c r="A464" s="182"/>
    </row>
    <row r="465" spans="1:1">
      <c r="A465" s="182"/>
    </row>
    <row r="466" spans="1:1">
      <c r="A466" s="182"/>
    </row>
    <row r="467" spans="1:1">
      <c r="A467" s="182"/>
    </row>
    <row r="468" spans="1:1">
      <c r="A468" s="182"/>
    </row>
    <row r="469" spans="1:1">
      <c r="A469" s="182"/>
    </row>
    <row r="470" spans="1:1">
      <c r="A470" s="182"/>
    </row>
    <row r="471" spans="1:1">
      <c r="A471" s="182"/>
    </row>
    <row r="472" spans="1:1">
      <c r="A472" s="182"/>
    </row>
    <row r="473" spans="1:1">
      <c r="A473" s="182"/>
    </row>
    <row r="474" spans="1:1">
      <c r="A474" s="182"/>
    </row>
    <row r="475" spans="1:1">
      <c r="A475" s="182"/>
    </row>
    <row r="476" spans="1:1">
      <c r="A476" s="182"/>
    </row>
    <row r="477" spans="1:1">
      <c r="A477" s="182"/>
    </row>
    <row r="478" spans="1:1">
      <c r="A478" s="182"/>
    </row>
    <row r="479" spans="1:1">
      <c r="A479" s="182"/>
    </row>
    <row r="480" spans="1:1">
      <c r="A480" s="182"/>
    </row>
    <row r="481" spans="1:1">
      <c r="A481" s="182"/>
    </row>
    <row r="482" spans="1:1">
      <c r="A482" s="182"/>
    </row>
    <row r="483" spans="1:1">
      <c r="A483" s="182"/>
    </row>
    <row r="484" spans="1:1">
      <c r="A484" s="182"/>
    </row>
    <row r="485" spans="1:1">
      <c r="A485" s="182"/>
    </row>
    <row r="486" spans="1:1">
      <c r="A486" s="182"/>
    </row>
    <row r="487" spans="1:1">
      <c r="A487" s="182"/>
    </row>
    <row r="488" spans="1:1">
      <c r="A488" s="182"/>
    </row>
    <row r="489" spans="1:1">
      <c r="A489" s="182"/>
    </row>
    <row r="490" spans="1:1">
      <c r="A490" s="182"/>
    </row>
    <row r="491" spans="1:1">
      <c r="A491" s="182"/>
    </row>
    <row r="492" spans="1:1">
      <c r="A492" s="182"/>
    </row>
    <row r="493" spans="1:1">
      <c r="A493" s="182"/>
    </row>
    <row r="494" spans="1:1">
      <c r="A494" s="182"/>
    </row>
    <row r="495" spans="1:1">
      <c r="A495" s="182"/>
    </row>
    <row r="496" spans="1:1">
      <c r="A496" s="182"/>
    </row>
    <row r="497" spans="1:1">
      <c r="A497" s="182"/>
    </row>
    <row r="498" spans="1:1">
      <c r="A498" s="182"/>
    </row>
    <row r="499" spans="1:1">
      <c r="A499" s="182"/>
    </row>
    <row r="500" spans="1:1">
      <c r="A500" s="182"/>
    </row>
    <row r="501" spans="1:1">
      <c r="A501" s="182"/>
    </row>
    <row r="502" spans="1:1">
      <c r="A502" s="182"/>
    </row>
    <row r="503" spans="1:1">
      <c r="A503" s="182"/>
    </row>
    <row r="504" spans="1:1">
      <c r="A504" s="182"/>
    </row>
    <row r="505" spans="1:1">
      <c r="A505" s="182"/>
    </row>
    <row r="506" spans="1:1">
      <c r="A506" s="182"/>
    </row>
    <row r="507" spans="1:1">
      <c r="A507" s="182"/>
    </row>
    <row r="508" spans="1:1">
      <c r="A508" s="182"/>
    </row>
    <row r="509" spans="1:1">
      <c r="A509" s="182"/>
    </row>
    <row r="510" spans="1:1">
      <c r="A510" s="182"/>
    </row>
    <row r="511" spans="1:1">
      <c r="A511" s="182"/>
    </row>
    <row r="512" spans="1:1">
      <c r="A512" s="182"/>
    </row>
    <row r="513" spans="1:1">
      <c r="A513" s="182"/>
    </row>
    <row r="514" spans="1:1">
      <c r="A514" s="182"/>
    </row>
    <row r="515" spans="1:1">
      <c r="A515" s="182"/>
    </row>
    <row r="516" spans="1:1">
      <c r="A516" s="182"/>
    </row>
    <row r="517" spans="1:1">
      <c r="A517" s="182"/>
    </row>
    <row r="518" spans="1:1">
      <c r="A518" s="182"/>
    </row>
    <row r="519" spans="1:1">
      <c r="A519" s="182"/>
    </row>
    <row r="520" spans="1:1">
      <c r="A520" s="182"/>
    </row>
    <row r="521" spans="1:1">
      <c r="A521" s="182"/>
    </row>
    <row r="522" spans="1:1">
      <c r="A522" s="182"/>
    </row>
    <row r="523" spans="1:1">
      <c r="A523" s="182"/>
    </row>
    <row r="524" spans="1:1">
      <c r="A524" s="182"/>
    </row>
    <row r="525" spans="1:1">
      <c r="A525" s="182"/>
    </row>
    <row r="526" spans="1:1">
      <c r="A526" s="182"/>
    </row>
    <row r="527" spans="1:1">
      <c r="A527" s="182"/>
    </row>
    <row r="528" spans="1:1">
      <c r="A528" s="182"/>
    </row>
    <row r="529" spans="1:1">
      <c r="A529" s="182"/>
    </row>
    <row r="530" spans="1:1">
      <c r="A530" s="182"/>
    </row>
    <row r="531" spans="1:1">
      <c r="A531" s="182"/>
    </row>
    <row r="532" spans="1:1">
      <c r="A532" s="182"/>
    </row>
    <row r="533" spans="1:1">
      <c r="A533" s="182"/>
    </row>
    <row r="534" spans="1:1">
      <c r="A534" s="182"/>
    </row>
    <row r="535" spans="1:1">
      <c r="A535" s="182"/>
    </row>
    <row r="536" spans="1:1">
      <c r="A536" s="182"/>
    </row>
    <row r="537" spans="1:1">
      <c r="A537" s="182"/>
    </row>
    <row r="538" spans="1:1">
      <c r="A538" s="182"/>
    </row>
    <row r="539" spans="1:1">
      <c r="A539" s="182"/>
    </row>
    <row r="540" spans="1:1">
      <c r="A540" s="182"/>
    </row>
    <row r="541" spans="1:1">
      <c r="A541" s="182"/>
    </row>
    <row r="542" spans="1:1">
      <c r="A542" s="182"/>
    </row>
    <row r="543" spans="1:1">
      <c r="A543" s="182"/>
    </row>
    <row r="544" spans="1:1">
      <c r="A544" s="182"/>
    </row>
    <row r="545" spans="1:1">
      <c r="A545" s="182"/>
    </row>
    <row r="546" spans="1:1">
      <c r="A546" s="182"/>
    </row>
    <row r="547" spans="1:1">
      <c r="A547" s="182"/>
    </row>
    <row r="548" spans="1:1">
      <c r="A548" s="182"/>
    </row>
    <row r="549" spans="1:1">
      <c r="A549" s="182"/>
    </row>
    <row r="550" spans="1:1">
      <c r="A550" s="182"/>
    </row>
    <row r="551" spans="1:1">
      <c r="A551" s="182"/>
    </row>
    <row r="552" spans="1:1">
      <c r="A552" s="182"/>
    </row>
    <row r="553" spans="1:1">
      <c r="A553" s="182"/>
    </row>
    <row r="554" spans="1:1">
      <c r="A554" s="182"/>
    </row>
    <row r="555" spans="1:1">
      <c r="A555" s="182"/>
    </row>
    <row r="556" spans="1:1">
      <c r="A556" s="182"/>
    </row>
    <row r="557" spans="1:1">
      <c r="A557" s="182"/>
    </row>
    <row r="558" spans="1:1">
      <c r="A558" s="182"/>
    </row>
    <row r="559" spans="1:1">
      <c r="A559" s="182"/>
    </row>
    <row r="560" spans="1:1">
      <c r="A560" s="182"/>
    </row>
    <row r="561" spans="1:1">
      <c r="A561" s="182"/>
    </row>
    <row r="562" spans="1:1">
      <c r="A562" s="182"/>
    </row>
    <row r="563" spans="1:1">
      <c r="A563" s="182"/>
    </row>
    <row r="564" spans="1:1">
      <c r="A564" s="182"/>
    </row>
    <row r="565" spans="1:1">
      <c r="A565" s="182"/>
    </row>
    <row r="566" spans="1:1">
      <c r="A566" s="182"/>
    </row>
    <row r="567" spans="1:1">
      <c r="A567" s="182"/>
    </row>
    <row r="568" spans="1:1">
      <c r="A568" s="182"/>
    </row>
    <row r="569" spans="1:1">
      <c r="A569" s="182"/>
    </row>
    <row r="570" spans="1:1">
      <c r="A570" s="182"/>
    </row>
    <row r="571" spans="1:1">
      <c r="A571" s="182"/>
    </row>
    <row r="572" spans="1:1">
      <c r="A572" s="182"/>
    </row>
    <row r="573" spans="1:1">
      <c r="A573" s="182"/>
    </row>
    <row r="574" spans="1:1">
      <c r="A574" s="182"/>
    </row>
    <row r="575" spans="1:1">
      <c r="A575" s="182"/>
    </row>
    <row r="576" spans="1:1">
      <c r="A576" s="182"/>
    </row>
    <row r="577" spans="1:1">
      <c r="A577" s="182"/>
    </row>
    <row r="578" spans="1:1">
      <c r="A578" s="182"/>
    </row>
    <row r="579" spans="1:1">
      <c r="A579" s="182"/>
    </row>
    <row r="580" spans="1:1">
      <c r="A580" s="182"/>
    </row>
    <row r="581" spans="1:1">
      <c r="A581" s="182"/>
    </row>
    <row r="582" spans="1:1">
      <c r="A582" s="182"/>
    </row>
    <row r="583" spans="1:1">
      <c r="A583" s="182"/>
    </row>
    <row r="584" spans="1:1">
      <c r="A584" s="182"/>
    </row>
    <row r="585" spans="1:1">
      <c r="A585" s="182"/>
    </row>
    <row r="586" spans="1:1">
      <c r="A586" s="182"/>
    </row>
    <row r="587" spans="1:1">
      <c r="A587" s="182"/>
    </row>
    <row r="588" spans="1:1">
      <c r="A588" s="182"/>
    </row>
    <row r="589" spans="1:1">
      <c r="A589" s="182"/>
    </row>
    <row r="590" spans="1:1">
      <c r="A590" s="182"/>
    </row>
    <row r="591" spans="1:1">
      <c r="A591" s="182"/>
    </row>
    <row r="592" spans="1:1">
      <c r="A592" s="182"/>
    </row>
    <row r="593" spans="1:1">
      <c r="A593" s="182"/>
    </row>
    <row r="594" spans="1:1">
      <c r="A594" s="182"/>
    </row>
    <row r="595" spans="1:1">
      <c r="A595" s="182"/>
    </row>
    <row r="596" spans="1:1">
      <c r="A596" s="182"/>
    </row>
    <row r="597" spans="1:1">
      <c r="A597" s="182"/>
    </row>
    <row r="598" spans="1:1">
      <c r="A598" s="182"/>
    </row>
    <row r="599" spans="1:1">
      <c r="A599" s="182"/>
    </row>
    <row r="600" spans="1:1">
      <c r="A600" s="182"/>
    </row>
    <row r="601" spans="1:1">
      <c r="A601" s="182"/>
    </row>
    <row r="602" spans="1:1">
      <c r="A602" s="182"/>
    </row>
    <row r="603" spans="1:1">
      <c r="A603" s="182"/>
    </row>
    <row r="604" spans="1:1">
      <c r="A604" s="182"/>
    </row>
    <row r="605" spans="1:1">
      <c r="A605" s="182"/>
    </row>
    <row r="606" spans="1:1">
      <c r="A606" s="182"/>
    </row>
    <row r="607" spans="1:1">
      <c r="A607" s="182"/>
    </row>
    <row r="608" spans="1:1">
      <c r="A608" s="182"/>
    </row>
    <row r="609" spans="1:1">
      <c r="A609" s="182"/>
    </row>
    <row r="610" spans="1:1">
      <c r="A610" s="182"/>
    </row>
    <row r="611" spans="1:1">
      <c r="A611" s="182"/>
    </row>
    <row r="612" spans="1:1">
      <c r="A612" s="182"/>
    </row>
    <row r="613" spans="1:1">
      <c r="A613" s="182"/>
    </row>
    <row r="614" spans="1:1">
      <c r="A614" s="182"/>
    </row>
    <row r="615" spans="1:1">
      <c r="A615" s="182"/>
    </row>
    <row r="616" spans="1:1">
      <c r="A616" s="182"/>
    </row>
    <row r="617" spans="1:1">
      <c r="A617" s="182"/>
    </row>
    <row r="618" spans="1:1">
      <c r="A618" s="182"/>
    </row>
    <row r="619" spans="1:1">
      <c r="A619" s="182"/>
    </row>
    <row r="620" spans="1:1">
      <c r="A620" s="182"/>
    </row>
    <row r="621" spans="1:1">
      <c r="A621" s="182"/>
    </row>
    <row r="622" spans="1:1">
      <c r="A622" s="182"/>
    </row>
    <row r="623" spans="1:1">
      <c r="A623" s="182"/>
    </row>
    <row r="624" spans="1:1">
      <c r="A624" s="182"/>
    </row>
    <row r="625" spans="1:1">
      <c r="A625" s="182"/>
    </row>
    <row r="626" spans="1:1">
      <c r="A626" s="182"/>
    </row>
    <row r="627" spans="1:1">
      <c r="A627" s="182"/>
    </row>
    <row r="628" spans="1:1">
      <c r="A628" s="182"/>
    </row>
    <row r="629" spans="1:1">
      <c r="A629" s="182"/>
    </row>
    <row r="630" spans="1:1">
      <c r="A630" s="182"/>
    </row>
    <row r="631" spans="1:1">
      <c r="A631" s="182"/>
    </row>
    <row r="632" spans="1:1">
      <c r="A632" s="182"/>
    </row>
    <row r="633" spans="1:1">
      <c r="A633" s="182"/>
    </row>
    <row r="634" spans="1:1">
      <c r="A634" s="182"/>
    </row>
    <row r="635" spans="1:1">
      <c r="A635" s="182"/>
    </row>
    <row r="636" spans="1:1">
      <c r="A636" s="182"/>
    </row>
    <row r="637" spans="1:1">
      <c r="A637" s="182"/>
    </row>
    <row r="638" spans="1:1">
      <c r="A638" s="182"/>
    </row>
    <row r="639" spans="1:1">
      <c r="A639" s="182"/>
    </row>
    <row r="640" spans="1:1">
      <c r="A640" s="182"/>
    </row>
    <row r="641" spans="1:1">
      <c r="A641" s="182"/>
    </row>
    <row r="642" spans="1:1">
      <c r="A642" s="182"/>
    </row>
    <row r="643" spans="1:1">
      <c r="A643" s="182"/>
    </row>
    <row r="644" spans="1:1">
      <c r="A644" s="182"/>
    </row>
    <row r="645" spans="1:1">
      <c r="A645" s="182"/>
    </row>
    <row r="646" spans="1:1">
      <c r="A646" s="182"/>
    </row>
    <row r="647" spans="1:1">
      <c r="A647" s="182"/>
    </row>
    <row r="648" spans="1:1">
      <c r="A648" s="182"/>
    </row>
    <row r="649" spans="1:1">
      <c r="A649" s="182"/>
    </row>
    <row r="650" spans="1:1">
      <c r="A650" s="182"/>
    </row>
    <row r="651" spans="1:1">
      <c r="A651" s="182"/>
    </row>
    <row r="652" spans="1:1">
      <c r="A652" s="182"/>
    </row>
    <row r="653" spans="1:1">
      <c r="A653" s="182"/>
    </row>
    <row r="654" spans="1:1">
      <c r="A654" s="182"/>
    </row>
    <row r="655" spans="1:1">
      <c r="A655" s="182"/>
    </row>
    <row r="656" spans="1:1">
      <c r="A656" s="182"/>
    </row>
    <row r="657" spans="1:1">
      <c r="A657" s="182"/>
    </row>
    <row r="658" spans="1:1">
      <c r="A658" s="182"/>
    </row>
    <row r="659" spans="1:1">
      <c r="A659" s="182"/>
    </row>
    <row r="660" spans="1:1">
      <c r="A660" s="182"/>
    </row>
    <row r="661" spans="1:1">
      <c r="A661" s="182"/>
    </row>
    <row r="662" spans="1:1">
      <c r="A662" s="182"/>
    </row>
    <row r="663" spans="1:1">
      <c r="A663" s="182"/>
    </row>
    <row r="664" spans="1:1">
      <c r="A664" s="182"/>
    </row>
    <row r="665" spans="1:1">
      <c r="A665" s="182"/>
    </row>
    <row r="666" spans="1:1">
      <c r="A666" s="182"/>
    </row>
    <row r="667" spans="1:1">
      <c r="A667" s="182"/>
    </row>
    <row r="668" spans="1:1">
      <c r="A668" s="182"/>
    </row>
    <row r="669" spans="1:1">
      <c r="A669" s="182"/>
    </row>
    <row r="670" spans="1:1">
      <c r="A670" s="182"/>
    </row>
    <row r="671" spans="1:1">
      <c r="A671" s="182"/>
    </row>
    <row r="672" spans="1:1">
      <c r="A672" s="182"/>
    </row>
    <row r="673" spans="1:1">
      <c r="A673" s="182"/>
    </row>
    <row r="674" spans="1:1">
      <c r="A674" s="182"/>
    </row>
    <row r="675" spans="1:1">
      <c r="A675" s="182"/>
    </row>
    <row r="676" spans="1:1">
      <c r="A676" s="182"/>
    </row>
    <row r="677" spans="1:1">
      <c r="A677" s="182"/>
    </row>
    <row r="678" spans="1:1">
      <c r="A678" s="182"/>
    </row>
    <row r="679" spans="1:1">
      <c r="A679" s="182"/>
    </row>
    <row r="680" spans="1:1">
      <c r="A680" s="182"/>
    </row>
    <row r="681" spans="1:1">
      <c r="A681" s="182"/>
    </row>
    <row r="682" spans="1:1">
      <c r="A682" s="182"/>
    </row>
    <row r="683" spans="1:1">
      <c r="A683" s="182"/>
    </row>
    <row r="684" spans="1:1">
      <c r="A684" s="182"/>
    </row>
    <row r="685" spans="1:1">
      <c r="A685" s="182"/>
    </row>
    <row r="686" spans="1:1">
      <c r="A686" s="182"/>
    </row>
    <row r="687" spans="1:1">
      <c r="A687" s="182"/>
    </row>
    <row r="688" spans="1:1">
      <c r="A688" s="182"/>
    </row>
    <row r="689" spans="1:1">
      <c r="A689" s="182"/>
    </row>
    <row r="690" spans="1:1">
      <c r="A690" s="182"/>
    </row>
    <row r="691" spans="1:1">
      <c r="A691" s="182"/>
    </row>
    <row r="692" spans="1:1">
      <c r="A692" s="182"/>
    </row>
    <row r="693" spans="1:1">
      <c r="A693" s="182"/>
    </row>
    <row r="694" spans="1:1">
      <c r="A694" s="182"/>
    </row>
    <row r="695" spans="1:1">
      <c r="A695" s="182"/>
    </row>
    <row r="696" spans="1:1">
      <c r="A696" s="182"/>
    </row>
    <row r="697" spans="1:1">
      <c r="A697" s="182"/>
    </row>
    <row r="698" spans="1:1">
      <c r="A698" s="182"/>
    </row>
    <row r="699" spans="1:1">
      <c r="A699" s="182"/>
    </row>
    <row r="700" spans="1:1">
      <c r="A700" s="182"/>
    </row>
    <row r="701" spans="1:1">
      <c r="A701" s="182"/>
    </row>
    <row r="702" spans="1:1">
      <c r="A702" s="182"/>
    </row>
    <row r="703" spans="1:1">
      <c r="A703" s="182"/>
    </row>
    <row r="704" spans="1:1">
      <c r="A704" s="182"/>
    </row>
    <row r="705" spans="1:1">
      <c r="A705" s="182"/>
    </row>
    <row r="706" spans="1:1">
      <c r="A706" s="182"/>
    </row>
    <row r="707" spans="1:1">
      <c r="A707" s="182"/>
    </row>
    <row r="708" spans="1:1">
      <c r="A708" s="182"/>
    </row>
    <row r="709" spans="1:1">
      <c r="A709" s="182"/>
    </row>
    <row r="710" spans="1:1">
      <c r="A710" s="182"/>
    </row>
    <row r="711" spans="1:1">
      <c r="A711" s="182"/>
    </row>
    <row r="712" spans="1:1">
      <c r="A712" s="182"/>
    </row>
    <row r="713" spans="1:1">
      <c r="A713" s="182"/>
    </row>
    <row r="714" spans="1:1">
      <c r="A714" s="182"/>
    </row>
    <row r="715" spans="1:1">
      <c r="A715" s="182"/>
    </row>
    <row r="716" spans="1:1">
      <c r="A716" s="182"/>
    </row>
    <row r="717" spans="1:1">
      <c r="A717" s="182"/>
    </row>
    <row r="718" spans="1:1">
      <c r="A718" s="182"/>
    </row>
    <row r="719" spans="1:1">
      <c r="A719" s="182"/>
    </row>
    <row r="720" spans="1:1">
      <c r="A720" s="182"/>
    </row>
    <row r="721" spans="1:1">
      <c r="A721" s="182"/>
    </row>
    <row r="722" spans="1:1">
      <c r="A722" s="182"/>
    </row>
    <row r="723" spans="1:1">
      <c r="A723" s="182"/>
    </row>
    <row r="724" spans="1:1">
      <c r="A724" s="182"/>
    </row>
    <row r="725" spans="1:1">
      <c r="A725" s="182"/>
    </row>
    <row r="726" spans="1:1">
      <c r="A726" s="182"/>
    </row>
    <row r="727" spans="1:1">
      <c r="A727" s="182"/>
    </row>
    <row r="728" spans="1:1">
      <c r="A728" s="182"/>
    </row>
    <row r="729" spans="1:1">
      <c r="A729" s="182"/>
    </row>
    <row r="730" spans="1:1">
      <c r="A730" s="182"/>
    </row>
    <row r="731" spans="1:1">
      <c r="A731" s="182"/>
    </row>
    <row r="732" spans="1:1">
      <c r="A732" s="182"/>
    </row>
    <row r="733" spans="1:1">
      <c r="A733" s="182"/>
    </row>
    <row r="734" spans="1:1">
      <c r="A734" s="182"/>
    </row>
    <row r="735" spans="1:1">
      <c r="A735" s="182"/>
    </row>
    <row r="736" spans="1:1">
      <c r="A736" s="182"/>
    </row>
    <row r="737" spans="1:1">
      <c r="A737" s="182"/>
    </row>
    <row r="738" spans="1:1">
      <c r="A738" s="182"/>
    </row>
    <row r="739" spans="1:1">
      <c r="A739" s="182"/>
    </row>
    <row r="740" spans="1:1">
      <c r="A740" s="182"/>
    </row>
    <row r="741" spans="1:1">
      <c r="A741" s="182"/>
    </row>
    <row r="742" spans="1:1">
      <c r="A742" s="182"/>
    </row>
    <row r="743" spans="1:1">
      <c r="A743" s="182"/>
    </row>
    <row r="744" spans="1:1">
      <c r="A744" s="182"/>
    </row>
    <row r="745" spans="1:1">
      <c r="A745" s="182"/>
    </row>
    <row r="746" spans="1:1">
      <c r="A746" s="182"/>
    </row>
    <row r="747" spans="1:1">
      <c r="A747" s="182"/>
    </row>
    <row r="748" spans="1:1">
      <c r="A748" s="182"/>
    </row>
    <row r="749" spans="1:1">
      <c r="A749" s="182"/>
    </row>
    <row r="750" spans="1:1">
      <c r="A750" s="182"/>
    </row>
    <row r="751" spans="1:1">
      <c r="A751" s="182"/>
    </row>
    <row r="752" spans="1:1">
      <c r="A752" s="182"/>
    </row>
    <row r="753" spans="1:1">
      <c r="A753" s="182"/>
    </row>
    <row r="754" spans="1:1">
      <c r="A754" s="182"/>
    </row>
    <row r="755" spans="1:1">
      <c r="A755" s="182"/>
    </row>
    <row r="756" spans="1:1">
      <c r="A756" s="182"/>
    </row>
    <row r="757" spans="1:1">
      <c r="A757" s="182"/>
    </row>
    <row r="758" spans="1:1">
      <c r="A758" s="182"/>
    </row>
    <row r="759" spans="1:1">
      <c r="A759" s="182"/>
    </row>
    <row r="760" spans="1:1">
      <c r="A760" s="182"/>
    </row>
    <row r="761" spans="1:1">
      <c r="A761" s="182"/>
    </row>
    <row r="762" spans="1:1">
      <c r="A762" s="182"/>
    </row>
    <row r="763" spans="1:1">
      <c r="A763" s="182"/>
    </row>
    <row r="764" spans="1:1">
      <c r="A764" s="182"/>
    </row>
    <row r="765" spans="1:1">
      <c r="A765" s="182"/>
    </row>
    <row r="766" spans="1:1">
      <c r="A766" s="182"/>
    </row>
    <row r="767" spans="1:1">
      <c r="A767" s="182"/>
    </row>
    <row r="768" spans="1:1">
      <c r="A768" s="182"/>
    </row>
    <row r="769" spans="1:1">
      <c r="A769" s="182"/>
    </row>
    <row r="770" spans="1:1">
      <c r="A770" s="182"/>
    </row>
    <row r="771" spans="1:1">
      <c r="A771" s="182"/>
    </row>
    <row r="772" spans="1:1">
      <c r="A772" s="182"/>
    </row>
    <row r="773" spans="1:1">
      <c r="A773" s="182"/>
    </row>
    <row r="774" spans="1:1">
      <c r="A774" s="182"/>
    </row>
    <row r="775" spans="1:1">
      <c r="A775" s="182"/>
    </row>
    <row r="776" spans="1:1">
      <c r="A776" s="182"/>
    </row>
    <row r="777" spans="1:1">
      <c r="A777" s="182"/>
    </row>
    <row r="778" spans="1:1">
      <c r="A778" s="182"/>
    </row>
    <row r="779" spans="1:1">
      <c r="A779" s="182"/>
    </row>
    <row r="780" spans="1:1">
      <c r="A780" s="182"/>
    </row>
    <row r="781" spans="1:1">
      <c r="A781" s="182"/>
    </row>
    <row r="782" spans="1:1">
      <c r="A782" s="182"/>
    </row>
    <row r="783" spans="1:1">
      <c r="A783" s="182"/>
    </row>
    <row r="784" spans="1:1">
      <c r="A784" s="182"/>
    </row>
    <row r="785" spans="1:1">
      <c r="A785" s="182"/>
    </row>
    <row r="786" spans="1:1">
      <c r="A786" s="182"/>
    </row>
    <row r="787" spans="1:1">
      <c r="A787" s="182"/>
    </row>
    <row r="788" spans="1:1">
      <c r="A788" s="182"/>
    </row>
    <row r="789" spans="1:1">
      <c r="A789" s="182"/>
    </row>
    <row r="790" spans="1:1">
      <c r="A790" s="182"/>
    </row>
    <row r="791" spans="1:1">
      <c r="A791" s="182"/>
    </row>
    <row r="792" spans="1:1">
      <c r="A792" s="182"/>
    </row>
    <row r="793" spans="1:1">
      <c r="A793" s="182"/>
    </row>
    <row r="794" spans="1:1">
      <c r="A794" s="182"/>
    </row>
    <row r="795" spans="1:1">
      <c r="A795" s="182"/>
    </row>
    <row r="796" spans="1:1">
      <c r="A796" s="182"/>
    </row>
    <row r="797" spans="1:1">
      <c r="A797" s="182"/>
    </row>
    <row r="798" spans="1:1">
      <c r="A798" s="182"/>
    </row>
    <row r="799" spans="1:1">
      <c r="A799" s="182"/>
    </row>
    <row r="800" spans="1:1">
      <c r="A800" s="182"/>
    </row>
    <row r="801" spans="1:1">
      <c r="A801" s="182"/>
    </row>
    <row r="802" spans="1:1">
      <c r="A802" s="182"/>
    </row>
    <row r="803" spans="1:1">
      <c r="A803" s="182"/>
    </row>
    <row r="804" spans="1:1">
      <c r="A804" s="182"/>
    </row>
    <row r="805" spans="1:1">
      <c r="A805" s="182"/>
    </row>
    <row r="806" spans="1:1">
      <c r="A806" s="182"/>
    </row>
    <row r="807" spans="1:1">
      <c r="A807" s="182"/>
    </row>
    <row r="808" spans="1:1">
      <c r="A808" s="182"/>
    </row>
    <row r="809" spans="1:1">
      <c r="A809" s="182"/>
    </row>
    <row r="810" spans="1:1">
      <c r="A810" s="182"/>
    </row>
    <row r="811" spans="1:1">
      <c r="A811" s="182"/>
    </row>
    <row r="812" spans="1:1">
      <c r="A812" s="182"/>
    </row>
    <row r="813" spans="1:1">
      <c r="A813" s="182"/>
    </row>
    <row r="814" spans="1:1">
      <c r="A814" s="182"/>
    </row>
    <row r="815" spans="1:1">
      <c r="A815" s="182"/>
    </row>
    <row r="816" spans="1:1">
      <c r="A816" s="182"/>
    </row>
    <row r="817" spans="1:1">
      <c r="A817" s="182"/>
    </row>
    <row r="818" spans="1:1">
      <c r="A818" s="182"/>
    </row>
    <row r="819" spans="1:1">
      <c r="A819" s="182"/>
    </row>
    <row r="820" spans="1:1">
      <c r="A820" s="182"/>
    </row>
    <row r="821" spans="1:1">
      <c r="A821" s="182"/>
    </row>
    <row r="822" spans="1:1">
      <c r="A822" s="182"/>
    </row>
    <row r="823" spans="1:1">
      <c r="A823" s="182"/>
    </row>
    <row r="824" spans="1:1">
      <c r="A824" s="182"/>
    </row>
    <row r="825" spans="1:1">
      <c r="A825" s="182"/>
    </row>
    <row r="826" spans="1:1">
      <c r="A826" s="182"/>
    </row>
    <row r="827" spans="1:1">
      <c r="A827" s="182"/>
    </row>
    <row r="828" spans="1:1">
      <c r="A828" s="182"/>
    </row>
    <row r="829" spans="1:1">
      <c r="A829" s="182"/>
    </row>
    <row r="830" spans="1:1">
      <c r="A830" s="182"/>
    </row>
    <row r="831" spans="1:1">
      <c r="A831" s="182"/>
    </row>
    <row r="832" spans="1:1">
      <c r="A832" s="182"/>
    </row>
    <row r="833" spans="1:1">
      <c r="A833" s="182"/>
    </row>
    <row r="834" spans="1:1">
      <c r="A834" s="182"/>
    </row>
    <row r="835" spans="1:1">
      <c r="A835" s="182"/>
    </row>
    <row r="836" spans="1:1">
      <c r="A836" s="182"/>
    </row>
    <row r="837" spans="1:1">
      <c r="A837" s="182"/>
    </row>
    <row r="838" spans="1:1">
      <c r="A838" s="182"/>
    </row>
    <row r="839" spans="1:1">
      <c r="A839" s="182"/>
    </row>
    <row r="840" spans="1:1">
      <c r="A840" s="182"/>
    </row>
    <row r="841" spans="1:1">
      <c r="A841" s="182"/>
    </row>
    <row r="842" spans="1:1">
      <c r="A842" s="182"/>
    </row>
    <row r="843" spans="1:1">
      <c r="A843" s="182"/>
    </row>
    <row r="844" spans="1:1">
      <c r="A844" s="182"/>
    </row>
    <row r="845" spans="1:1">
      <c r="A845" s="182"/>
    </row>
    <row r="846" spans="1:1">
      <c r="A846" s="182"/>
    </row>
    <row r="847" spans="1:1">
      <c r="A847" s="182"/>
    </row>
    <row r="848" spans="1:1">
      <c r="A848" s="182"/>
    </row>
    <row r="849" spans="1:1">
      <c r="A849" s="182"/>
    </row>
    <row r="850" spans="1:1">
      <c r="A850" s="182"/>
    </row>
    <row r="851" spans="1:1">
      <c r="A851" s="182"/>
    </row>
    <row r="852" spans="1:1">
      <c r="A852" s="182"/>
    </row>
    <row r="853" spans="1:1">
      <c r="A853" s="182"/>
    </row>
    <row r="854" spans="1:1">
      <c r="A854" s="182"/>
    </row>
    <row r="855" spans="1:1">
      <c r="A855" s="182"/>
    </row>
    <row r="856" spans="1:1">
      <c r="A856" s="182"/>
    </row>
    <row r="857" spans="1:1">
      <c r="A857" s="182"/>
    </row>
    <row r="858" spans="1:1">
      <c r="A858" s="182"/>
    </row>
    <row r="859" spans="1:1">
      <c r="A859" s="182"/>
    </row>
    <row r="860" spans="1:1">
      <c r="A860" s="182"/>
    </row>
    <row r="861" spans="1:1">
      <c r="A861" s="182"/>
    </row>
    <row r="862" spans="1:1">
      <c r="A862" s="182"/>
    </row>
    <row r="863" spans="1:1">
      <c r="A863" s="182"/>
    </row>
    <row r="864" spans="1:1">
      <c r="A864" s="182"/>
    </row>
    <row r="865" spans="1:1">
      <c r="A865" s="182"/>
    </row>
    <row r="866" spans="1:1">
      <c r="A866" s="182"/>
    </row>
    <row r="867" spans="1:1">
      <c r="A867" s="182"/>
    </row>
    <row r="868" spans="1:1">
      <c r="A868" s="182"/>
    </row>
    <row r="869" spans="1:1">
      <c r="A869" s="182"/>
    </row>
    <row r="870" spans="1:1">
      <c r="A870" s="182"/>
    </row>
    <row r="871" spans="1:1">
      <c r="A871" s="182"/>
    </row>
    <row r="872" spans="1:1">
      <c r="A872" s="182"/>
    </row>
    <row r="873" spans="1:1">
      <c r="A873" s="182"/>
    </row>
    <row r="874" spans="1:1">
      <c r="A874" s="182"/>
    </row>
    <row r="875" spans="1:1">
      <c r="A875" s="182"/>
    </row>
    <row r="876" spans="1:1">
      <c r="A876" s="182"/>
    </row>
    <row r="877" spans="1:1">
      <c r="A877" s="182"/>
    </row>
    <row r="878" spans="1:1">
      <c r="A878" s="182"/>
    </row>
    <row r="879" spans="1:1">
      <c r="A879" s="182"/>
    </row>
    <row r="880" spans="1:1">
      <c r="A880" s="182"/>
    </row>
    <row r="881" spans="1:1">
      <c r="A881" s="182"/>
    </row>
    <row r="882" spans="1:1">
      <c r="A882" s="182"/>
    </row>
    <row r="883" spans="1:1">
      <c r="A883" s="182"/>
    </row>
    <row r="884" spans="1:1">
      <c r="A884" s="182"/>
    </row>
    <row r="885" spans="1:1">
      <c r="A885" s="182"/>
    </row>
    <row r="886" spans="1:1">
      <c r="A886" s="182"/>
    </row>
    <row r="887" spans="1:1">
      <c r="A887" s="182"/>
    </row>
    <row r="888" spans="1:1">
      <c r="A888" s="182"/>
    </row>
    <row r="889" spans="1:1">
      <c r="A889" s="182"/>
    </row>
    <row r="890" spans="1:1">
      <c r="A890" s="182"/>
    </row>
    <row r="891" spans="1:1">
      <c r="A891" s="182"/>
    </row>
    <row r="892" spans="1:1">
      <c r="A892" s="182"/>
    </row>
    <row r="893" spans="1:1">
      <c r="A893" s="182"/>
    </row>
    <row r="894" spans="1:1">
      <c r="A894" s="182"/>
    </row>
    <row r="895" spans="1:1">
      <c r="A895" s="182"/>
    </row>
    <row r="896" spans="1:1">
      <c r="A896" s="182"/>
    </row>
    <row r="897" spans="1:1">
      <c r="A897" s="182"/>
    </row>
    <row r="898" spans="1:1">
      <c r="A898" s="182"/>
    </row>
    <row r="899" spans="1:1">
      <c r="A899" s="182"/>
    </row>
    <row r="900" spans="1:1">
      <c r="A900" s="182"/>
    </row>
    <row r="901" spans="1:1">
      <c r="A901" s="182"/>
    </row>
    <row r="902" spans="1:1">
      <c r="A902" s="182"/>
    </row>
    <row r="903" spans="1:1">
      <c r="A903" s="182"/>
    </row>
    <row r="904" spans="1:1">
      <c r="A904" s="182"/>
    </row>
    <row r="905" spans="1:1">
      <c r="A905" s="182"/>
    </row>
    <row r="906" spans="1:1">
      <c r="A906" s="182"/>
    </row>
    <row r="907" spans="1:1">
      <c r="A907" s="182"/>
    </row>
    <row r="908" spans="1:1">
      <c r="A908" s="182"/>
    </row>
    <row r="909" spans="1:1">
      <c r="A909" s="182"/>
    </row>
    <row r="910" spans="1:1">
      <c r="A910" s="182"/>
    </row>
    <row r="911" spans="1:1">
      <c r="A911" s="182"/>
    </row>
    <row r="912" spans="1:1">
      <c r="A912" s="182"/>
    </row>
    <row r="913" spans="1:1">
      <c r="A913" s="182"/>
    </row>
    <row r="914" spans="1:1">
      <c r="A914" s="182"/>
    </row>
    <row r="915" spans="1:1">
      <c r="A915" s="182"/>
    </row>
    <row r="916" spans="1:1">
      <c r="A916" s="182"/>
    </row>
    <row r="917" spans="1:1">
      <c r="A917" s="182"/>
    </row>
    <row r="918" spans="1:1">
      <c r="A918" s="182"/>
    </row>
    <row r="919" spans="1:1">
      <c r="A919" s="182"/>
    </row>
    <row r="920" spans="1:1">
      <c r="A920" s="182"/>
    </row>
    <row r="921" spans="1:1">
      <c r="A921" s="182"/>
    </row>
    <row r="922" spans="1:1">
      <c r="A922" s="182"/>
    </row>
    <row r="923" spans="1:1">
      <c r="A923" s="182"/>
    </row>
    <row r="924" spans="1:1">
      <c r="A924" s="182"/>
    </row>
    <row r="925" spans="1:1">
      <c r="A925" s="182"/>
    </row>
    <row r="926" spans="1:1">
      <c r="A926" s="182"/>
    </row>
    <row r="927" spans="1:1">
      <c r="A927" s="182"/>
    </row>
    <row r="928" spans="1:1">
      <c r="A928" s="182"/>
    </row>
    <row r="929" spans="1:1">
      <c r="A929" s="182"/>
    </row>
    <row r="930" spans="1:1">
      <c r="A930" s="182"/>
    </row>
    <row r="931" spans="1:1">
      <c r="A931" s="182"/>
    </row>
    <row r="932" spans="1:1">
      <c r="A932" s="182"/>
    </row>
    <row r="933" spans="1:1">
      <c r="A933" s="182"/>
    </row>
    <row r="934" spans="1:1">
      <c r="A934" s="182"/>
    </row>
    <row r="935" spans="1:1">
      <c r="A935" s="182"/>
    </row>
    <row r="936" spans="1:1">
      <c r="A936" s="182"/>
    </row>
    <row r="937" spans="1:1">
      <c r="A937" s="182"/>
    </row>
    <row r="938" spans="1:1">
      <c r="A938" s="182"/>
    </row>
    <row r="939" spans="1:1">
      <c r="A939" s="182"/>
    </row>
    <row r="940" spans="1:1">
      <c r="A940" s="182"/>
    </row>
    <row r="941" spans="1:1">
      <c r="A941" s="182"/>
    </row>
    <row r="942" spans="1:1">
      <c r="A942" s="182"/>
    </row>
    <row r="943" spans="1:1">
      <c r="A943" s="182"/>
    </row>
    <row r="944" spans="1:1">
      <c r="A944" s="182"/>
    </row>
    <row r="945" spans="1:1">
      <c r="A945" s="182"/>
    </row>
    <row r="946" spans="1:1">
      <c r="A946" s="182"/>
    </row>
    <row r="947" spans="1:1">
      <c r="A947" s="182"/>
    </row>
    <row r="948" spans="1:1">
      <c r="A948" s="182"/>
    </row>
    <row r="949" spans="1:1">
      <c r="A949" s="182"/>
    </row>
    <row r="950" spans="1:1">
      <c r="A950" s="182"/>
    </row>
    <row r="951" spans="1:1">
      <c r="A951" s="182"/>
    </row>
    <row r="952" spans="1:1">
      <c r="A952" s="182"/>
    </row>
    <row r="953" spans="1:1">
      <c r="A953" s="182"/>
    </row>
    <row r="954" spans="1:1">
      <c r="A954" s="182"/>
    </row>
    <row r="955" spans="1:1">
      <c r="A955" s="182"/>
    </row>
    <row r="956" spans="1:1">
      <c r="A956" s="182"/>
    </row>
    <row r="957" spans="1:1">
      <c r="A957" s="182"/>
    </row>
    <row r="958" spans="1:1">
      <c r="A958" s="182"/>
    </row>
    <row r="959" spans="1:1">
      <c r="A959" s="182"/>
    </row>
    <row r="960" spans="1:1">
      <c r="A960" s="182"/>
    </row>
    <row r="961" spans="1:1">
      <c r="A961" s="182"/>
    </row>
    <row r="962" spans="1:1">
      <c r="A962" s="182"/>
    </row>
    <row r="963" spans="1:1">
      <c r="A963" s="182"/>
    </row>
    <row r="964" spans="1:1">
      <c r="A964" s="182"/>
    </row>
    <row r="965" spans="1:1">
      <c r="A965" s="182"/>
    </row>
    <row r="966" spans="1:1">
      <c r="A966" s="182"/>
    </row>
    <row r="967" spans="1:1">
      <c r="A967" s="182"/>
    </row>
    <row r="968" spans="1:1">
      <c r="A968" s="182"/>
    </row>
    <row r="969" spans="1:1">
      <c r="A969" s="182"/>
    </row>
    <row r="970" spans="1:1">
      <c r="A970" s="182"/>
    </row>
    <row r="971" spans="1:1">
      <c r="A971" s="182"/>
    </row>
    <row r="972" spans="1:1">
      <c r="A972" s="182"/>
    </row>
    <row r="973" spans="1:1">
      <c r="A973" s="182"/>
    </row>
    <row r="974" spans="1:1">
      <c r="A974" s="182"/>
    </row>
    <row r="975" spans="1:1">
      <c r="A975" s="182"/>
    </row>
    <row r="976" spans="1:1">
      <c r="A976" s="182"/>
    </row>
    <row r="977" spans="1:1">
      <c r="A977" s="182"/>
    </row>
    <row r="978" spans="1:1">
      <c r="A978" s="182"/>
    </row>
    <row r="979" spans="1:1">
      <c r="A979" s="182"/>
    </row>
    <row r="980" spans="1:1">
      <c r="A980" s="182"/>
    </row>
    <row r="981" spans="1:1">
      <c r="A981" s="182"/>
    </row>
    <row r="982" spans="1:1">
      <c r="A982" s="182"/>
    </row>
    <row r="983" spans="1:1">
      <c r="A983" s="182"/>
    </row>
    <row r="984" spans="1:1">
      <c r="A984" s="182"/>
    </row>
    <row r="985" spans="1:1">
      <c r="A985" s="182"/>
    </row>
    <row r="986" spans="1:1">
      <c r="A986" s="182"/>
    </row>
    <row r="987" spans="1:1">
      <c r="A987" s="182"/>
    </row>
    <row r="988" spans="1:1">
      <c r="A988" s="182"/>
    </row>
    <row r="989" spans="1:1">
      <c r="A989" s="182"/>
    </row>
    <row r="990" spans="1:1">
      <c r="A990" s="182"/>
    </row>
    <row r="991" spans="1:1">
      <c r="A991" s="182"/>
    </row>
    <row r="992" spans="1:1">
      <c r="A992" s="182"/>
    </row>
    <row r="993" spans="1:1">
      <c r="A993" s="182"/>
    </row>
    <row r="994" spans="1:1">
      <c r="A994" s="182"/>
    </row>
    <row r="995" spans="1:1">
      <c r="A995" s="182"/>
    </row>
    <row r="996" spans="1:1">
      <c r="A996" s="182"/>
    </row>
    <row r="997" spans="1:1">
      <c r="A997" s="182"/>
    </row>
    <row r="998" spans="1:1">
      <c r="A998" s="182"/>
    </row>
    <row r="999" spans="1:1">
      <c r="A999" s="182"/>
    </row>
  </sheetData>
  <hyperlinks>
    <hyperlink ref="A1" r:id="rId1" xr:uid="{00000000-0004-0000-0500-000000000000}"/>
    <hyperlink ref="A2" r:id="rId2" xr:uid="{00000000-0004-0000-0500-000001000000}"/>
    <hyperlink ref="A4" r:id="rId3" xr:uid="{00000000-0004-0000-0500-000002000000}"/>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9FC5E8"/>
  </sheetPr>
  <dimension ref="A1:U900"/>
  <sheetViews>
    <sheetView workbookViewId="0">
      <pane ySplit="2" topLeftCell="A3" activePane="bottomLeft" state="frozen"/>
      <selection pane="bottomLeft" activeCell="B4" sqref="B4"/>
    </sheetView>
  </sheetViews>
  <sheetFormatPr baseColWidth="10" defaultColWidth="14.5" defaultRowHeight="15" customHeight="1"/>
  <cols>
    <col min="1" max="1" width="10.83203125" customWidth="1"/>
    <col min="2" max="2" width="58.1640625" customWidth="1"/>
    <col min="3" max="3" width="23.5" customWidth="1"/>
    <col min="4" max="4" width="13.6640625" customWidth="1"/>
    <col min="5" max="5" width="19.5" customWidth="1"/>
    <col min="6" max="6" width="15.5" customWidth="1"/>
    <col min="7" max="7" width="19" customWidth="1"/>
    <col min="8" max="9" width="40.1640625" customWidth="1"/>
    <col min="10" max="21" width="8.6640625" customWidth="1"/>
  </cols>
  <sheetData>
    <row r="1" spans="1:21">
      <c r="A1" s="288" t="s">
        <v>404</v>
      </c>
      <c r="B1" s="289"/>
      <c r="C1" s="1" t="s">
        <v>405</v>
      </c>
      <c r="D1" s="3" t="s">
        <v>3</v>
      </c>
      <c r="E1" s="3" t="s">
        <v>4</v>
      </c>
      <c r="F1" s="1" t="s">
        <v>5</v>
      </c>
      <c r="G1" s="183" t="s">
        <v>6</v>
      </c>
      <c r="H1" s="5" t="s">
        <v>7</v>
      </c>
      <c r="I1" s="2" t="s">
        <v>8</v>
      </c>
      <c r="J1" s="6"/>
      <c r="K1" s="6"/>
      <c r="L1" s="6"/>
      <c r="M1" s="6"/>
      <c r="N1" s="6"/>
      <c r="O1" s="6"/>
      <c r="P1" s="6"/>
      <c r="Q1" s="6"/>
      <c r="R1" s="6"/>
      <c r="S1" s="6"/>
      <c r="T1" s="6"/>
      <c r="U1" s="6"/>
    </row>
    <row r="2" spans="1:21">
      <c r="A2" s="184" t="s">
        <v>9</v>
      </c>
      <c r="B2" s="185" t="s">
        <v>10</v>
      </c>
      <c r="C2" s="186" t="s">
        <v>406</v>
      </c>
      <c r="D2" s="186" t="s">
        <v>13</v>
      </c>
      <c r="E2" s="186" t="s">
        <v>14</v>
      </c>
      <c r="F2" s="186" t="s">
        <v>15</v>
      </c>
      <c r="G2" s="186" t="s">
        <v>16</v>
      </c>
      <c r="H2" s="187" t="s">
        <v>17</v>
      </c>
      <c r="I2" s="10" t="s">
        <v>18</v>
      </c>
      <c r="J2" s="6"/>
      <c r="K2" s="6"/>
      <c r="L2" s="6"/>
      <c r="M2" s="6"/>
      <c r="N2" s="6"/>
      <c r="O2" s="6"/>
      <c r="P2" s="6"/>
      <c r="Q2" s="6"/>
      <c r="R2" s="6"/>
      <c r="S2" s="6"/>
      <c r="T2" s="6"/>
      <c r="U2" s="6"/>
    </row>
    <row r="3" spans="1:21">
      <c r="A3" s="12" t="s">
        <v>407</v>
      </c>
      <c r="B3" s="188" t="s">
        <v>408</v>
      </c>
      <c r="C3" s="14" t="s">
        <v>409</v>
      </c>
      <c r="D3" s="13">
        <v>48</v>
      </c>
      <c r="E3" s="13" t="s">
        <v>410</v>
      </c>
      <c r="F3" s="13" t="s">
        <v>87</v>
      </c>
      <c r="G3" s="72">
        <v>0.22</v>
      </c>
      <c r="H3" s="17" t="s">
        <v>411</v>
      </c>
      <c r="I3" s="15"/>
      <c r="J3" s="87"/>
      <c r="K3" s="6"/>
      <c r="L3" s="6"/>
      <c r="M3" s="6"/>
      <c r="N3" s="6"/>
      <c r="O3" s="6"/>
      <c r="P3" s="6"/>
      <c r="Q3" s="6"/>
      <c r="R3" s="6"/>
      <c r="S3" s="6"/>
      <c r="T3" s="6"/>
      <c r="U3" s="6"/>
    </row>
    <row r="4" spans="1:21">
      <c r="A4" s="18" t="s">
        <v>412</v>
      </c>
      <c r="B4" s="189" t="s">
        <v>413</v>
      </c>
      <c r="C4" s="20" t="s">
        <v>409</v>
      </c>
      <c r="D4" s="19">
        <v>26</v>
      </c>
      <c r="E4" s="19" t="s">
        <v>410</v>
      </c>
      <c r="F4" s="19" t="s">
        <v>87</v>
      </c>
      <c r="G4" s="73">
        <v>0.2</v>
      </c>
      <c r="H4" s="23" t="s">
        <v>414</v>
      </c>
      <c r="I4" s="21"/>
      <c r="J4" s="87"/>
      <c r="K4" s="6"/>
      <c r="L4" s="6"/>
      <c r="M4" s="6"/>
      <c r="N4" s="6"/>
      <c r="O4" s="6"/>
      <c r="P4" s="6"/>
      <c r="Q4" s="6"/>
      <c r="R4" s="6"/>
      <c r="S4" s="6"/>
      <c r="T4" s="6"/>
      <c r="U4" s="6"/>
    </row>
    <row r="5" spans="1:21">
      <c r="A5" s="38" t="s">
        <v>415</v>
      </c>
      <c r="B5" s="190" t="s">
        <v>416</v>
      </c>
      <c r="C5" s="191" t="s">
        <v>409</v>
      </c>
      <c r="D5" s="39">
        <v>34</v>
      </c>
      <c r="E5" s="39" t="s">
        <v>410</v>
      </c>
      <c r="F5" s="39" t="s">
        <v>87</v>
      </c>
      <c r="G5" s="192">
        <v>0.21</v>
      </c>
      <c r="H5" s="43" t="s">
        <v>414</v>
      </c>
      <c r="I5" s="41"/>
      <c r="J5" s="87"/>
      <c r="K5" s="6"/>
      <c r="L5" s="6"/>
      <c r="M5" s="6"/>
      <c r="N5" s="6"/>
      <c r="O5" s="6"/>
      <c r="P5" s="6"/>
      <c r="Q5" s="6"/>
      <c r="R5" s="6"/>
      <c r="S5" s="6"/>
      <c r="T5" s="6"/>
      <c r="U5" s="6"/>
    </row>
    <row r="6" spans="1:21">
      <c r="A6" s="12" t="s">
        <v>417</v>
      </c>
      <c r="B6" s="188" t="s">
        <v>418</v>
      </c>
      <c r="C6" s="14" t="s">
        <v>419</v>
      </c>
      <c r="D6" s="13"/>
      <c r="E6" s="13"/>
      <c r="F6" s="13"/>
      <c r="G6" s="72"/>
      <c r="H6" s="13"/>
      <c r="I6" s="15"/>
      <c r="J6" s="87"/>
      <c r="K6" s="6"/>
      <c r="L6" s="6"/>
      <c r="M6" s="6"/>
      <c r="N6" s="6"/>
      <c r="O6" s="6"/>
      <c r="P6" s="6"/>
      <c r="Q6" s="6"/>
      <c r="R6" s="6"/>
      <c r="S6" s="6"/>
      <c r="T6" s="6"/>
      <c r="U6" s="6"/>
    </row>
    <row r="7" spans="1:21">
      <c r="A7" s="18" t="s">
        <v>420</v>
      </c>
      <c r="B7" s="189" t="s">
        <v>421</v>
      </c>
      <c r="C7" s="20" t="s">
        <v>419</v>
      </c>
      <c r="D7" s="19"/>
      <c r="E7" s="19"/>
      <c r="F7" s="19"/>
      <c r="G7" s="73"/>
      <c r="H7" s="19"/>
      <c r="I7" s="21"/>
      <c r="J7" s="87"/>
      <c r="K7" s="6"/>
      <c r="L7" s="6"/>
      <c r="M7" s="6"/>
      <c r="N7" s="6"/>
      <c r="O7" s="6"/>
      <c r="P7" s="6"/>
      <c r="Q7" s="6"/>
      <c r="R7" s="6"/>
      <c r="S7" s="6"/>
      <c r="T7" s="6"/>
      <c r="U7" s="6"/>
    </row>
    <row r="8" spans="1:21">
      <c r="A8" s="24" t="s">
        <v>422</v>
      </c>
      <c r="B8" s="193" t="s">
        <v>423</v>
      </c>
      <c r="C8" s="26" t="s">
        <v>419</v>
      </c>
      <c r="D8" s="25">
        <v>37</v>
      </c>
      <c r="E8" s="25" t="s">
        <v>22</v>
      </c>
      <c r="F8" s="25" t="s">
        <v>23</v>
      </c>
      <c r="G8" s="28">
        <v>0.1</v>
      </c>
      <c r="H8" s="25" t="s">
        <v>24</v>
      </c>
      <c r="I8" s="27"/>
      <c r="J8" s="87"/>
      <c r="K8" s="6"/>
      <c r="L8" s="6"/>
      <c r="M8" s="6"/>
      <c r="N8" s="6"/>
      <c r="O8" s="6"/>
      <c r="P8" s="6"/>
      <c r="Q8" s="6"/>
      <c r="R8" s="6"/>
      <c r="S8" s="6"/>
      <c r="T8" s="6"/>
      <c r="U8" s="6"/>
    </row>
    <row r="9" spans="1:21">
      <c r="A9" s="57" t="s">
        <v>424</v>
      </c>
      <c r="B9" s="194" t="s">
        <v>425</v>
      </c>
      <c r="C9" s="195" t="s">
        <v>426</v>
      </c>
      <c r="D9" s="58">
        <v>11</v>
      </c>
      <c r="E9" s="58" t="s">
        <v>410</v>
      </c>
      <c r="F9" s="58" t="s">
        <v>50</v>
      </c>
      <c r="G9" s="196">
        <v>0.5</v>
      </c>
      <c r="H9" s="58" t="s">
        <v>427</v>
      </c>
      <c r="I9" s="60"/>
      <c r="J9" s="87"/>
      <c r="K9" s="6"/>
      <c r="L9" s="6"/>
      <c r="M9" s="6"/>
      <c r="N9" s="6"/>
      <c r="O9" s="6"/>
      <c r="P9" s="6"/>
      <c r="Q9" s="6"/>
      <c r="R9" s="6"/>
      <c r="S9" s="6"/>
      <c r="T9" s="6"/>
      <c r="U9" s="6"/>
    </row>
    <row r="10" spans="1:21">
      <c r="A10" s="18" t="s">
        <v>428</v>
      </c>
      <c r="B10" s="189" t="s">
        <v>429</v>
      </c>
      <c r="C10" s="197" t="s">
        <v>426</v>
      </c>
      <c r="D10" s="19"/>
      <c r="E10" s="19"/>
      <c r="F10" s="19"/>
      <c r="G10" s="73"/>
      <c r="H10" s="19"/>
      <c r="I10" s="21"/>
      <c r="J10" s="87"/>
      <c r="K10" s="6"/>
      <c r="L10" s="6"/>
      <c r="M10" s="6"/>
      <c r="N10" s="6"/>
      <c r="O10" s="6"/>
      <c r="P10" s="6"/>
      <c r="Q10" s="6"/>
      <c r="R10" s="6"/>
      <c r="S10" s="6"/>
      <c r="T10" s="6"/>
      <c r="U10" s="6"/>
    </row>
    <row r="11" spans="1:21">
      <c r="A11" s="18" t="s">
        <v>430</v>
      </c>
      <c r="B11" s="189" t="s">
        <v>431</v>
      </c>
      <c r="C11" s="197" t="s">
        <v>426</v>
      </c>
      <c r="D11" s="19"/>
      <c r="E11" s="19"/>
      <c r="F11" s="19"/>
      <c r="G11" s="73"/>
      <c r="H11" s="19"/>
      <c r="I11" s="21"/>
      <c r="J11" s="87"/>
      <c r="K11" s="6"/>
      <c r="L11" s="6"/>
      <c r="M11" s="6"/>
      <c r="N11" s="6"/>
      <c r="O11" s="6"/>
      <c r="P11" s="6"/>
      <c r="Q11" s="6"/>
      <c r="R11" s="6"/>
      <c r="S11" s="6"/>
      <c r="T11" s="6"/>
      <c r="U11" s="6"/>
    </row>
    <row r="12" spans="1:21">
      <c r="A12" s="24" t="s">
        <v>432</v>
      </c>
      <c r="B12" s="193" t="s">
        <v>433</v>
      </c>
      <c r="C12" s="198" t="s">
        <v>426</v>
      </c>
      <c r="D12" s="25"/>
      <c r="E12" s="25"/>
      <c r="F12" s="25"/>
      <c r="G12" s="28"/>
      <c r="H12" s="25"/>
      <c r="I12" s="27"/>
      <c r="J12" s="87"/>
      <c r="K12" s="6"/>
      <c r="L12" s="6"/>
      <c r="M12" s="6"/>
      <c r="N12" s="6"/>
      <c r="O12" s="6"/>
      <c r="P12" s="6"/>
      <c r="Q12" s="6"/>
      <c r="R12" s="6"/>
      <c r="S12" s="6"/>
      <c r="T12" s="6"/>
      <c r="U12" s="6"/>
    </row>
    <row r="13" spans="1:21">
      <c r="A13" s="57" t="s">
        <v>434</v>
      </c>
      <c r="B13" s="194" t="s">
        <v>435</v>
      </c>
      <c r="C13" s="195" t="s">
        <v>436</v>
      </c>
      <c r="D13" s="58">
        <v>45</v>
      </c>
      <c r="E13" s="58" t="s">
        <v>410</v>
      </c>
      <c r="F13" s="58" t="s">
        <v>87</v>
      </c>
      <c r="G13" s="196">
        <v>0.2</v>
      </c>
      <c r="H13" s="199" t="s">
        <v>437</v>
      </c>
      <c r="I13" s="60"/>
      <c r="J13" s="6"/>
      <c r="K13" s="6"/>
      <c r="L13" s="6"/>
      <c r="M13" s="6"/>
      <c r="N13" s="6"/>
      <c r="O13" s="6"/>
      <c r="P13" s="6"/>
      <c r="Q13" s="6"/>
      <c r="R13" s="6"/>
      <c r="S13" s="6"/>
      <c r="T13" s="6"/>
      <c r="U13" s="6"/>
    </row>
    <row r="14" spans="1:21">
      <c r="A14" s="18" t="s">
        <v>438</v>
      </c>
      <c r="B14" s="189" t="s">
        <v>439</v>
      </c>
      <c r="C14" s="197" t="s">
        <v>436</v>
      </c>
      <c r="D14" s="19">
        <v>40</v>
      </c>
      <c r="E14" s="19" t="s">
        <v>410</v>
      </c>
      <c r="F14" s="19" t="s">
        <v>87</v>
      </c>
      <c r="G14" s="73">
        <v>0.2</v>
      </c>
      <c r="H14" s="23" t="s">
        <v>440</v>
      </c>
      <c r="I14" s="21"/>
      <c r="J14" s="6"/>
      <c r="K14" s="6"/>
      <c r="L14" s="6"/>
      <c r="M14" s="6"/>
      <c r="N14" s="6"/>
      <c r="O14" s="6"/>
      <c r="P14" s="6"/>
      <c r="Q14" s="6"/>
      <c r="R14" s="6"/>
      <c r="S14" s="6"/>
      <c r="T14" s="6"/>
      <c r="U14" s="6"/>
    </row>
    <row r="15" spans="1:21">
      <c r="A15" s="24" t="s">
        <v>441</v>
      </c>
      <c r="B15" s="193" t="s">
        <v>442</v>
      </c>
      <c r="C15" s="198" t="s">
        <v>436</v>
      </c>
      <c r="D15" s="25">
        <v>42</v>
      </c>
      <c r="E15" s="25" t="s">
        <v>410</v>
      </c>
      <c r="F15" s="25" t="s">
        <v>87</v>
      </c>
      <c r="G15" s="28">
        <v>0.2</v>
      </c>
      <c r="H15" s="29" t="s">
        <v>443</v>
      </c>
      <c r="I15" s="27"/>
      <c r="J15" s="6"/>
      <c r="K15" s="6"/>
      <c r="L15" s="6"/>
      <c r="M15" s="6"/>
      <c r="N15" s="6"/>
      <c r="O15" s="6"/>
      <c r="P15" s="6"/>
      <c r="Q15" s="6"/>
      <c r="R15" s="6"/>
      <c r="S15" s="6"/>
      <c r="T15" s="6"/>
      <c r="U15" s="6"/>
    </row>
    <row r="16" spans="1:21">
      <c r="A16" s="30" t="s">
        <v>444</v>
      </c>
      <c r="B16" s="200" t="s">
        <v>47</v>
      </c>
      <c r="C16" s="201" t="s">
        <v>445</v>
      </c>
      <c r="D16" s="31">
        <v>39</v>
      </c>
      <c r="E16" s="31" t="s">
        <v>22</v>
      </c>
      <c r="F16" s="31" t="s">
        <v>50</v>
      </c>
      <c r="G16" s="202">
        <v>0.33</v>
      </c>
      <c r="H16" s="35" t="s">
        <v>51</v>
      </c>
      <c r="I16" s="33"/>
      <c r="J16" s="6"/>
      <c r="K16" s="6"/>
      <c r="L16" s="6"/>
      <c r="M16" s="6"/>
      <c r="N16" s="6"/>
      <c r="O16" s="6"/>
      <c r="P16" s="6"/>
      <c r="Q16" s="6"/>
      <c r="R16" s="6"/>
      <c r="S16" s="6"/>
      <c r="T16" s="6"/>
      <c r="U16" s="6"/>
    </row>
    <row r="17" spans="1:21">
      <c r="A17" s="30" t="s">
        <v>446</v>
      </c>
      <c r="B17" s="200" t="s">
        <v>54</v>
      </c>
      <c r="C17" s="201" t="s">
        <v>445</v>
      </c>
      <c r="D17" s="31">
        <v>38</v>
      </c>
      <c r="E17" s="31" t="s">
        <v>22</v>
      </c>
      <c r="F17" s="31" t="s">
        <v>50</v>
      </c>
      <c r="G17" s="202">
        <v>0.3</v>
      </c>
      <c r="H17" s="35" t="s">
        <v>51</v>
      </c>
      <c r="I17" s="33"/>
      <c r="J17" s="6"/>
      <c r="K17" s="6"/>
      <c r="L17" s="6"/>
      <c r="M17" s="6"/>
      <c r="N17" s="6"/>
      <c r="O17" s="6"/>
      <c r="P17" s="6"/>
      <c r="Q17" s="6"/>
      <c r="R17" s="6"/>
      <c r="S17" s="6"/>
      <c r="T17" s="6"/>
      <c r="U17" s="6"/>
    </row>
    <row r="18" spans="1:21">
      <c r="A18" s="30" t="s">
        <v>447</v>
      </c>
      <c r="B18" s="200" t="s">
        <v>57</v>
      </c>
      <c r="C18" s="201" t="s">
        <v>445</v>
      </c>
      <c r="D18" s="31">
        <v>60</v>
      </c>
      <c r="E18" s="31" t="s">
        <v>22</v>
      </c>
      <c r="F18" s="31" t="s">
        <v>50</v>
      </c>
      <c r="G18" s="202">
        <v>0.45</v>
      </c>
      <c r="H18" s="35" t="s">
        <v>51</v>
      </c>
      <c r="I18" s="33"/>
      <c r="J18" s="6"/>
      <c r="K18" s="6"/>
      <c r="L18" s="6"/>
      <c r="M18" s="6"/>
      <c r="N18" s="6"/>
      <c r="O18" s="6"/>
      <c r="P18" s="6"/>
      <c r="Q18" s="6"/>
      <c r="R18" s="6"/>
      <c r="S18" s="6"/>
      <c r="T18" s="6"/>
      <c r="U18" s="6"/>
    </row>
    <row r="19" spans="1:21">
      <c r="A19" s="44" t="s">
        <v>448</v>
      </c>
      <c r="B19" s="203" t="s">
        <v>84</v>
      </c>
      <c r="C19" s="204" t="s">
        <v>449</v>
      </c>
      <c r="D19" s="45">
        <v>21</v>
      </c>
      <c r="E19" s="45" t="s">
        <v>22</v>
      </c>
      <c r="F19" s="45" t="s">
        <v>87</v>
      </c>
      <c r="G19" s="205">
        <v>0.2</v>
      </c>
      <c r="H19" s="49" t="s">
        <v>88</v>
      </c>
      <c r="I19" s="47"/>
      <c r="J19" s="87"/>
      <c r="K19" s="6"/>
      <c r="L19" s="6"/>
      <c r="M19" s="6"/>
      <c r="N19" s="6"/>
      <c r="O19" s="6"/>
      <c r="P19" s="6"/>
      <c r="Q19" s="6"/>
      <c r="R19" s="6"/>
      <c r="S19" s="6"/>
      <c r="T19" s="6"/>
      <c r="U19" s="6"/>
    </row>
    <row r="20" spans="1:21">
      <c r="A20" s="30" t="s">
        <v>450</v>
      </c>
      <c r="B20" s="200" t="s">
        <v>91</v>
      </c>
      <c r="C20" s="201" t="s">
        <v>449</v>
      </c>
      <c r="D20" s="31">
        <v>24</v>
      </c>
      <c r="E20" s="31" t="s">
        <v>22</v>
      </c>
      <c r="F20" s="31" t="s">
        <v>87</v>
      </c>
      <c r="G20" s="202">
        <v>0.2</v>
      </c>
      <c r="H20" s="35" t="s">
        <v>88</v>
      </c>
      <c r="I20" s="33"/>
      <c r="J20" s="87"/>
      <c r="K20" s="6"/>
      <c r="L20" s="6"/>
      <c r="M20" s="6"/>
      <c r="N20" s="6"/>
      <c r="O20" s="6"/>
      <c r="P20" s="6"/>
      <c r="Q20" s="6"/>
      <c r="R20" s="6"/>
      <c r="S20" s="6"/>
      <c r="T20" s="6"/>
      <c r="U20" s="6"/>
    </row>
    <row r="21" spans="1:21">
      <c r="A21" s="51" t="s">
        <v>451</v>
      </c>
      <c r="B21" s="206" t="s">
        <v>93</v>
      </c>
      <c r="C21" s="207" t="s">
        <v>449</v>
      </c>
      <c r="D21" s="52">
        <v>19</v>
      </c>
      <c r="E21" s="52" t="s">
        <v>22</v>
      </c>
      <c r="F21" s="52" t="s">
        <v>50</v>
      </c>
      <c r="G21" s="208">
        <v>0.1</v>
      </c>
      <c r="H21" s="56" t="s">
        <v>94</v>
      </c>
      <c r="I21" s="54"/>
      <c r="J21" s="87"/>
      <c r="K21" s="6"/>
      <c r="L21" s="6"/>
      <c r="M21" s="6"/>
      <c r="N21" s="6"/>
      <c r="O21" s="6"/>
      <c r="P21" s="6"/>
      <c r="Q21" s="6"/>
      <c r="R21" s="6"/>
      <c r="S21" s="6"/>
      <c r="T21" s="6"/>
      <c r="U21" s="6"/>
    </row>
    <row r="22" spans="1:21">
      <c r="A22" s="12" t="s">
        <v>452</v>
      </c>
      <c r="B22" s="188" t="s">
        <v>453</v>
      </c>
      <c r="C22" s="209" t="s">
        <v>454</v>
      </c>
      <c r="D22" s="13">
        <v>36</v>
      </c>
      <c r="E22" s="13" t="s">
        <v>45</v>
      </c>
      <c r="F22" s="13" t="s">
        <v>50</v>
      </c>
      <c r="G22" s="72">
        <v>0.2</v>
      </c>
      <c r="H22" s="17" t="s">
        <v>51</v>
      </c>
      <c r="I22" s="15"/>
      <c r="J22" s="6"/>
      <c r="K22" s="6"/>
      <c r="L22" s="6"/>
      <c r="M22" s="6"/>
      <c r="N22" s="6"/>
      <c r="O22" s="6"/>
      <c r="P22" s="6"/>
      <c r="Q22" s="6"/>
      <c r="R22" s="6"/>
      <c r="S22" s="6"/>
      <c r="T22" s="6"/>
      <c r="U22" s="6"/>
    </row>
    <row r="23" spans="1:21">
      <c r="A23" s="18" t="s">
        <v>455</v>
      </c>
      <c r="B23" s="189" t="s">
        <v>456</v>
      </c>
      <c r="C23" s="210" t="s">
        <v>454</v>
      </c>
      <c r="D23" s="19">
        <v>25</v>
      </c>
      <c r="E23" s="19" t="s">
        <v>457</v>
      </c>
      <c r="F23" s="19" t="s">
        <v>50</v>
      </c>
      <c r="G23" s="73">
        <v>0.5</v>
      </c>
      <c r="H23" s="23" t="s">
        <v>51</v>
      </c>
      <c r="I23" s="21"/>
      <c r="J23" s="6"/>
      <c r="K23" s="6"/>
      <c r="L23" s="6"/>
      <c r="M23" s="6"/>
      <c r="N23" s="6"/>
      <c r="O23" s="6"/>
      <c r="P23" s="6"/>
      <c r="Q23" s="6"/>
      <c r="R23" s="6"/>
      <c r="S23" s="6"/>
      <c r="T23" s="6"/>
      <c r="U23" s="6"/>
    </row>
    <row r="24" spans="1:21">
      <c r="A24" s="24" t="s">
        <v>458</v>
      </c>
      <c r="B24" s="193" t="s">
        <v>459</v>
      </c>
      <c r="C24" s="211" t="s">
        <v>454</v>
      </c>
      <c r="D24" s="25">
        <v>17</v>
      </c>
      <c r="E24" s="25" t="s">
        <v>45</v>
      </c>
      <c r="F24" s="25" t="s">
        <v>50</v>
      </c>
      <c r="G24" s="28">
        <v>0.3</v>
      </c>
      <c r="H24" s="29" t="s">
        <v>51</v>
      </c>
      <c r="I24" s="27"/>
      <c r="J24" s="6"/>
      <c r="K24" s="6"/>
      <c r="L24" s="6"/>
      <c r="M24" s="6"/>
      <c r="N24" s="6"/>
      <c r="O24" s="6"/>
      <c r="P24" s="6"/>
      <c r="Q24" s="6"/>
      <c r="R24" s="6"/>
      <c r="S24" s="6"/>
      <c r="T24" s="6"/>
      <c r="U24" s="6"/>
    </row>
    <row r="25" spans="1:21">
      <c r="A25" s="12" t="s">
        <v>460</v>
      </c>
      <c r="B25" s="188" t="s">
        <v>461</v>
      </c>
      <c r="C25" s="209" t="s">
        <v>462</v>
      </c>
      <c r="D25" s="13">
        <v>18</v>
      </c>
      <c r="E25" s="13" t="s">
        <v>410</v>
      </c>
      <c r="F25" s="13" t="s">
        <v>463</v>
      </c>
      <c r="G25" s="72">
        <v>0.2</v>
      </c>
      <c r="H25" s="17" t="s">
        <v>464</v>
      </c>
      <c r="I25" s="15"/>
      <c r="J25" s="6"/>
      <c r="K25" s="6"/>
      <c r="L25" s="6"/>
      <c r="M25" s="6"/>
      <c r="N25" s="6"/>
      <c r="O25" s="6"/>
      <c r="P25" s="6"/>
      <c r="Q25" s="6"/>
      <c r="R25" s="6"/>
      <c r="S25" s="6"/>
      <c r="T25" s="6"/>
      <c r="U25" s="6"/>
    </row>
    <row r="26" spans="1:21">
      <c r="A26" s="18" t="s">
        <v>465</v>
      </c>
      <c r="B26" s="189" t="s">
        <v>466</v>
      </c>
      <c r="C26" s="210" t="s">
        <v>462</v>
      </c>
      <c r="D26" s="19">
        <v>9</v>
      </c>
      <c r="E26" s="19" t="s">
        <v>410</v>
      </c>
      <c r="F26" s="19" t="s">
        <v>463</v>
      </c>
      <c r="G26" s="73">
        <v>0.2</v>
      </c>
      <c r="H26" s="23" t="s">
        <v>464</v>
      </c>
      <c r="I26" s="21"/>
      <c r="J26" s="6"/>
      <c r="K26" s="6"/>
      <c r="L26" s="6"/>
      <c r="M26" s="6"/>
      <c r="N26" s="6"/>
      <c r="O26" s="6"/>
      <c r="P26" s="6"/>
      <c r="Q26" s="6"/>
      <c r="R26" s="6"/>
      <c r="S26" s="6"/>
      <c r="T26" s="6"/>
      <c r="U26" s="6"/>
    </row>
    <row r="27" spans="1:21">
      <c r="A27" s="24" t="s">
        <v>467</v>
      </c>
      <c r="B27" s="193" t="s">
        <v>468</v>
      </c>
      <c r="C27" s="211" t="s">
        <v>462</v>
      </c>
      <c r="D27" s="25">
        <v>17</v>
      </c>
      <c r="E27" s="25" t="s">
        <v>410</v>
      </c>
      <c r="F27" s="25" t="s">
        <v>463</v>
      </c>
      <c r="G27" s="28">
        <v>0.2</v>
      </c>
      <c r="H27" s="29" t="s">
        <v>464</v>
      </c>
      <c r="I27" s="27"/>
      <c r="J27" s="6"/>
      <c r="K27" s="6"/>
      <c r="L27" s="6"/>
      <c r="M27" s="6"/>
      <c r="N27" s="6"/>
      <c r="O27" s="6"/>
      <c r="P27" s="6"/>
      <c r="Q27" s="6"/>
      <c r="R27" s="6"/>
      <c r="S27" s="6"/>
      <c r="T27" s="6"/>
      <c r="U27" s="6"/>
    </row>
    <row r="28" spans="1:21">
      <c r="A28" s="12" t="s">
        <v>469</v>
      </c>
      <c r="B28" s="188" t="s">
        <v>470</v>
      </c>
      <c r="C28" s="209" t="s">
        <v>471</v>
      </c>
      <c r="D28" s="13">
        <v>63</v>
      </c>
      <c r="E28" s="13" t="s">
        <v>45</v>
      </c>
      <c r="F28" s="13" t="s">
        <v>50</v>
      </c>
      <c r="G28" s="72">
        <v>0.1</v>
      </c>
      <c r="H28" s="17" t="s">
        <v>51</v>
      </c>
      <c r="I28" s="15"/>
      <c r="J28" s="6"/>
      <c r="K28" s="6"/>
      <c r="L28" s="6"/>
      <c r="M28" s="6"/>
      <c r="N28" s="6"/>
      <c r="O28" s="6"/>
      <c r="P28" s="6"/>
      <c r="Q28" s="6"/>
      <c r="R28" s="6"/>
      <c r="S28" s="6"/>
      <c r="T28" s="6"/>
      <c r="U28" s="6"/>
    </row>
    <row r="29" spans="1:21">
      <c r="A29" s="24" t="s">
        <v>472</v>
      </c>
      <c r="B29" s="193" t="s">
        <v>473</v>
      </c>
      <c r="C29" s="211" t="s">
        <v>471</v>
      </c>
      <c r="D29" s="25">
        <v>13</v>
      </c>
      <c r="E29" s="25" t="s">
        <v>45</v>
      </c>
      <c r="F29" s="25" t="s">
        <v>50</v>
      </c>
      <c r="G29" s="25" t="s">
        <v>474</v>
      </c>
      <c r="H29" s="29" t="s">
        <v>51</v>
      </c>
      <c r="I29" s="27"/>
      <c r="J29" s="6"/>
      <c r="K29" s="6"/>
      <c r="L29" s="6"/>
      <c r="M29" s="6"/>
      <c r="N29" s="6"/>
      <c r="O29" s="6"/>
      <c r="P29" s="6"/>
      <c r="Q29" s="6"/>
      <c r="R29" s="6"/>
      <c r="S29" s="6"/>
      <c r="T29" s="6"/>
      <c r="U29" s="6"/>
    </row>
    <row r="30" spans="1:21">
      <c r="A30" s="12" t="s">
        <v>475</v>
      </c>
      <c r="B30" s="188" t="s">
        <v>476</v>
      </c>
      <c r="C30" s="209" t="s">
        <v>477</v>
      </c>
      <c r="D30" s="13">
        <v>18</v>
      </c>
      <c r="E30" s="13" t="s">
        <v>45</v>
      </c>
      <c r="F30" s="13" t="s">
        <v>463</v>
      </c>
      <c r="G30" s="72">
        <v>0.1</v>
      </c>
      <c r="H30" s="17" t="s">
        <v>478</v>
      </c>
      <c r="I30" s="15"/>
      <c r="J30" s="6"/>
      <c r="K30" s="6"/>
      <c r="L30" s="6"/>
      <c r="M30" s="6"/>
      <c r="N30" s="6"/>
      <c r="O30" s="6"/>
      <c r="P30" s="6"/>
      <c r="Q30" s="6"/>
      <c r="R30" s="6"/>
      <c r="S30" s="6"/>
      <c r="T30" s="6"/>
      <c r="U30" s="6"/>
    </row>
    <row r="31" spans="1:21">
      <c r="A31" s="12" t="s">
        <v>479</v>
      </c>
      <c r="B31" s="188" t="s">
        <v>480</v>
      </c>
      <c r="C31" s="209" t="s">
        <v>481</v>
      </c>
      <c r="D31" s="13">
        <v>35</v>
      </c>
      <c r="E31" s="13" t="s">
        <v>410</v>
      </c>
      <c r="F31" s="13" t="s">
        <v>482</v>
      </c>
      <c r="G31" s="72">
        <v>0.31</v>
      </c>
      <c r="H31" s="17" t="s">
        <v>483</v>
      </c>
      <c r="I31" s="15"/>
      <c r="J31" s="6"/>
      <c r="K31" s="6"/>
      <c r="L31" s="6"/>
      <c r="M31" s="6"/>
      <c r="N31" s="6"/>
      <c r="O31" s="6"/>
      <c r="P31" s="6"/>
      <c r="Q31" s="6"/>
      <c r="R31" s="6"/>
      <c r="S31" s="6"/>
      <c r="T31" s="6"/>
      <c r="U31" s="6"/>
    </row>
    <row r="32" spans="1:21">
      <c r="A32" s="18" t="s">
        <v>484</v>
      </c>
      <c r="B32" s="189" t="s">
        <v>485</v>
      </c>
      <c r="C32" s="210" t="s">
        <v>481</v>
      </c>
      <c r="D32" s="19">
        <v>40</v>
      </c>
      <c r="E32" s="19" t="s">
        <v>410</v>
      </c>
      <c r="F32" s="19" t="s">
        <v>486</v>
      </c>
      <c r="G32" s="73">
        <v>0.25</v>
      </c>
      <c r="H32" s="23" t="s">
        <v>487</v>
      </c>
      <c r="I32" s="21"/>
      <c r="J32" s="6"/>
      <c r="K32" s="6"/>
      <c r="L32" s="6"/>
      <c r="M32" s="6"/>
      <c r="N32" s="6"/>
      <c r="O32" s="6"/>
      <c r="P32" s="6"/>
      <c r="Q32" s="6"/>
      <c r="R32" s="6"/>
      <c r="S32" s="6"/>
      <c r="T32" s="6"/>
      <c r="U32" s="6"/>
    </row>
    <row r="33" spans="1:21">
      <c r="A33" s="24" t="s">
        <v>488</v>
      </c>
      <c r="B33" s="193" t="s">
        <v>489</v>
      </c>
      <c r="C33" s="211" t="s">
        <v>481</v>
      </c>
      <c r="D33" s="25">
        <v>40</v>
      </c>
      <c r="E33" s="25" t="s">
        <v>410</v>
      </c>
      <c r="F33" s="25" t="s">
        <v>486</v>
      </c>
      <c r="G33" s="25" t="s">
        <v>490</v>
      </c>
      <c r="H33" s="29" t="s">
        <v>491</v>
      </c>
      <c r="I33" s="27"/>
      <c r="J33" s="6"/>
      <c r="K33" s="6"/>
      <c r="L33" s="6"/>
      <c r="M33" s="6"/>
      <c r="N33" s="6"/>
      <c r="O33" s="6"/>
      <c r="P33" s="6"/>
      <c r="Q33" s="6"/>
      <c r="R33" s="6"/>
      <c r="S33" s="6"/>
      <c r="T33" s="6"/>
      <c r="U33" s="6"/>
    </row>
    <row r="34" spans="1:21">
      <c r="A34" s="12" t="s">
        <v>492</v>
      </c>
      <c r="B34" s="188" t="s">
        <v>493</v>
      </c>
      <c r="C34" s="209" t="s">
        <v>494</v>
      </c>
      <c r="D34" s="13">
        <v>12</v>
      </c>
      <c r="E34" s="13" t="s">
        <v>22</v>
      </c>
      <c r="F34" s="13" t="s">
        <v>50</v>
      </c>
      <c r="G34" s="72">
        <v>0.2</v>
      </c>
      <c r="H34" s="17" t="s">
        <v>51</v>
      </c>
      <c r="I34" s="15"/>
      <c r="J34" s="6"/>
      <c r="K34" s="6"/>
      <c r="L34" s="6"/>
      <c r="M34" s="6"/>
      <c r="N34" s="6"/>
      <c r="O34" s="6"/>
      <c r="P34" s="6"/>
      <c r="Q34" s="6"/>
      <c r="R34" s="6"/>
      <c r="S34" s="6"/>
      <c r="T34" s="6"/>
      <c r="U34" s="6"/>
    </row>
    <row r="35" spans="1:21">
      <c r="A35" s="18" t="s">
        <v>495</v>
      </c>
      <c r="B35" s="189" t="s">
        <v>496</v>
      </c>
      <c r="C35" s="210" t="s">
        <v>494</v>
      </c>
      <c r="D35" s="19">
        <v>13</v>
      </c>
      <c r="E35" s="19" t="s">
        <v>22</v>
      </c>
      <c r="F35" s="19" t="s">
        <v>50</v>
      </c>
      <c r="G35" s="73">
        <v>0.2</v>
      </c>
      <c r="H35" s="23" t="s">
        <v>51</v>
      </c>
      <c r="I35" s="21"/>
      <c r="J35" s="6"/>
      <c r="K35" s="6"/>
      <c r="L35" s="6"/>
      <c r="M35" s="6"/>
      <c r="N35" s="6"/>
      <c r="O35" s="6"/>
      <c r="P35" s="6"/>
      <c r="Q35" s="6"/>
      <c r="R35" s="6"/>
      <c r="S35" s="6"/>
      <c r="T35" s="6"/>
      <c r="U35" s="6"/>
    </row>
    <row r="36" spans="1:21">
      <c r="A36" s="38" t="s">
        <v>497</v>
      </c>
      <c r="B36" s="190" t="s">
        <v>498</v>
      </c>
      <c r="C36" s="212" t="s">
        <v>494</v>
      </c>
      <c r="D36" s="39">
        <v>10</v>
      </c>
      <c r="E36" s="39" t="s">
        <v>22</v>
      </c>
      <c r="F36" s="39" t="s">
        <v>50</v>
      </c>
      <c r="G36" s="192">
        <v>0.2</v>
      </c>
      <c r="H36" s="43" t="s">
        <v>51</v>
      </c>
      <c r="I36" s="41"/>
      <c r="J36" s="6"/>
      <c r="K36" s="6"/>
      <c r="L36" s="6"/>
      <c r="M36" s="6"/>
      <c r="N36" s="6"/>
      <c r="O36" s="6"/>
      <c r="P36" s="6"/>
      <c r="Q36" s="6"/>
      <c r="R36" s="6"/>
      <c r="S36" s="6"/>
      <c r="T36" s="6"/>
      <c r="U36" s="6"/>
    </row>
    <row r="37" spans="1:21">
      <c r="A37" s="12" t="s">
        <v>499</v>
      </c>
      <c r="B37" s="188" t="s">
        <v>97</v>
      </c>
      <c r="C37" s="209" t="s">
        <v>500</v>
      </c>
      <c r="D37" s="13">
        <v>19</v>
      </c>
      <c r="E37" s="13" t="s">
        <v>99</v>
      </c>
      <c r="F37" s="13" t="s">
        <v>23</v>
      </c>
      <c r="G37" s="72">
        <v>0.3</v>
      </c>
      <c r="H37" s="13" t="s">
        <v>100</v>
      </c>
      <c r="I37" s="15"/>
      <c r="J37" s="87"/>
      <c r="K37" s="6"/>
      <c r="L37" s="6"/>
      <c r="M37" s="6"/>
      <c r="N37" s="6"/>
      <c r="O37" s="6"/>
      <c r="P37" s="6"/>
      <c r="Q37" s="6"/>
      <c r="R37" s="6"/>
      <c r="S37" s="6"/>
      <c r="T37" s="6"/>
      <c r="U37" s="6"/>
    </row>
    <row r="38" spans="1:21">
      <c r="A38" s="18" t="s">
        <v>501</v>
      </c>
      <c r="B38" s="189" t="s">
        <v>103</v>
      </c>
      <c r="C38" s="210" t="s">
        <v>500</v>
      </c>
      <c r="D38" s="19">
        <v>25</v>
      </c>
      <c r="E38" s="19" t="s">
        <v>104</v>
      </c>
      <c r="F38" s="19" t="s">
        <v>23</v>
      </c>
      <c r="G38" s="73">
        <v>0.3</v>
      </c>
      <c r="H38" s="19" t="s">
        <v>100</v>
      </c>
      <c r="I38" s="21"/>
      <c r="J38" s="87"/>
      <c r="K38" s="6"/>
      <c r="L38" s="6"/>
      <c r="M38" s="6"/>
      <c r="N38" s="6"/>
      <c r="O38" s="6"/>
      <c r="P38" s="6"/>
      <c r="Q38" s="6"/>
      <c r="R38" s="6"/>
      <c r="S38" s="6"/>
      <c r="T38" s="6"/>
      <c r="U38" s="6"/>
    </row>
    <row r="39" spans="1:21">
      <c r="A39" s="24" t="s">
        <v>502</v>
      </c>
      <c r="B39" s="193" t="s">
        <v>106</v>
      </c>
      <c r="C39" s="211" t="s">
        <v>500</v>
      </c>
      <c r="D39" s="25">
        <v>16</v>
      </c>
      <c r="E39" s="25" t="s">
        <v>99</v>
      </c>
      <c r="F39" s="25" t="s">
        <v>50</v>
      </c>
      <c r="G39" s="28">
        <v>0.3</v>
      </c>
      <c r="H39" s="25" t="s">
        <v>107</v>
      </c>
      <c r="I39" s="27"/>
      <c r="J39" s="87"/>
      <c r="K39" s="6"/>
      <c r="L39" s="6"/>
      <c r="M39" s="6"/>
      <c r="N39" s="6"/>
      <c r="O39" s="6"/>
      <c r="P39" s="6"/>
      <c r="Q39" s="6"/>
      <c r="R39" s="6"/>
      <c r="S39" s="6"/>
      <c r="T39" s="6"/>
      <c r="U39" s="6"/>
    </row>
    <row r="40" spans="1:21">
      <c r="A40" s="51" t="s">
        <v>503</v>
      </c>
      <c r="B40" s="206" t="s">
        <v>504</v>
      </c>
      <c r="C40" s="213" t="s">
        <v>505</v>
      </c>
      <c r="D40" s="52"/>
      <c r="E40" s="52"/>
      <c r="F40" s="52"/>
      <c r="G40" s="208"/>
      <c r="H40" s="56"/>
      <c r="I40" s="54"/>
      <c r="J40" s="6"/>
      <c r="K40" s="6"/>
      <c r="L40" s="6"/>
      <c r="M40" s="6"/>
      <c r="N40" s="6"/>
      <c r="O40" s="6"/>
      <c r="P40" s="6"/>
      <c r="Q40" s="6"/>
      <c r="R40" s="6"/>
      <c r="S40" s="6"/>
      <c r="T40" s="6"/>
      <c r="U40" s="6"/>
    </row>
    <row r="41" spans="1:21">
      <c r="A41" s="64" t="s">
        <v>506</v>
      </c>
      <c r="B41" s="214" t="s">
        <v>215</v>
      </c>
      <c r="C41" s="215" t="s">
        <v>507</v>
      </c>
      <c r="D41" s="216">
        <v>22</v>
      </c>
      <c r="E41" s="216" t="s">
        <v>22</v>
      </c>
      <c r="F41" s="216" t="s">
        <v>50</v>
      </c>
      <c r="G41" s="217">
        <v>0.3</v>
      </c>
      <c r="H41" s="218" t="s">
        <v>175</v>
      </c>
      <c r="I41" s="219"/>
      <c r="J41" s="87"/>
      <c r="K41" s="6"/>
      <c r="L41" s="6"/>
      <c r="M41" s="6"/>
      <c r="N41" s="6"/>
      <c r="O41" s="6"/>
      <c r="P41" s="6"/>
      <c r="Q41" s="6"/>
      <c r="R41" s="6"/>
      <c r="S41" s="6"/>
      <c r="T41" s="6"/>
      <c r="U41" s="6"/>
    </row>
    <row r="42" spans="1:21">
      <c r="A42" s="106"/>
      <c r="B42" s="220"/>
      <c r="C42" s="106"/>
      <c r="D42" s="106"/>
      <c r="E42" s="106"/>
      <c r="F42" s="106"/>
      <c r="G42" s="221"/>
      <c r="H42" s="221"/>
      <c r="I42" s="221"/>
      <c r="J42" s="6"/>
      <c r="K42" s="6"/>
      <c r="L42" s="6"/>
      <c r="M42" s="6"/>
      <c r="N42" s="6"/>
      <c r="O42" s="6"/>
      <c r="P42" s="6"/>
      <c r="Q42" s="6"/>
      <c r="R42" s="6"/>
      <c r="S42" s="6"/>
      <c r="T42" s="6"/>
      <c r="U42" s="6"/>
    </row>
    <row r="43" spans="1:21">
      <c r="A43" s="82"/>
      <c r="B43" s="83"/>
      <c r="C43" s="82"/>
      <c r="D43" s="82"/>
      <c r="E43" s="82"/>
      <c r="F43" s="82"/>
      <c r="G43" s="222"/>
      <c r="H43" s="222"/>
      <c r="I43" s="222"/>
      <c r="J43" s="6"/>
      <c r="K43" s="6"/>
      <c r="L43" s="6"/>
      <c r="M43" s="6"/>
      <c r="N43" s="6"/>
      <c r="O43" s="6"/>
      <c r="P43" s="6"/>
      <c r="Q43" s="6"/>
      <c r="R43" s="6"/>
      <c r="S43" s="6"/>
      <c r="T43" s="6"/>
      <c r="U43" s="6"/>
    </row>
    <row r="44" spans="1:21">
      <c r="A44" s="82"/>
      <c r="B44" s="83"/>
      <c r="C44" s="82"/>
      <c r="D44" s="82"/>
      <c r="E44" s="82"/>
      <c r="F44" s="82"/>
      <c r="G44" s="222"/>
      <c r="H44" s="222"/>
      <c r="I44" s="222"/>
      <c r="J44" s="6"/>
      <c r="K44" s="6"/>
      <c r="L44" s="6"/>
      <c r="M44" s="6"/>
      <c r="N44" s="6"/>
      <c r="O44" s="6"/>
      <c r="P44" s="6"/>
      <c r="Q44" s="6"/>
      <c r="R44" s="6"/>
      <c r="S44" s="6"/>
      <c r="T44" s="6"/>
      <c r="U44" s="6"/>
    </row>
    <row r="45" spans="1:21">
      <c r="A45" s="82"/>
      <c r="B45" s="83"/>
      <c r="C45" s="82"/>
      <c r="D45" s="82"/>
      <c r="E45" s="82"/>
      <c r="F45" s="82"/>
      <c r="G45" s="222"/>
      <c r="H45" s="222"/>
      <c r="I45" s="222"/>
      <c r="J45" s="6"/>
      <c r="K45" s="6"/>
      <c r="L45" s="6"/>
      <c r="M45" s="6"/>
      <c r="N45" s="6"/>
      <c r="O45" s="6"/>
      <c r="P45" s="6"/>
      <c r="Q45" s="6"/>
      <c r="R45" s="6"/>
      <c r="S45" s="6"/>
      <c r="T45" s="6"/>
      <c r="U45" s="6"/>
    </row>
    <row r="46" spans="1:21">
      <c r="A46" s="82"/>
      <c r="B46" s="83"/>
      <c r="C46" s="82"/>
      <c r="D46" s="82"/>
      <c r="E46" s="82"/>
      <c r="F46" s="82"/>
      <c r="G46" s="222"/>
      <c r="H46" s="222"/>
      <c r="I46" s="222"/>
      <c r="J46" s="6"/>
      <c r="K46" s="6"/>
      <c r="L46" s="6"/>
      <c r="M46" s="6"/>
      <c r="N46" s="6"/>
      <c r="O46" s="6"/>
      <c r="P46" s="6"/>
      <c r="Q46" s="6"/>
      <c r="R46" s="6"/>
      <c r="S46" s="6"/>
      <c r="T46" s="6"/>
      <c r="U46" s="6"/>
    </row>
    <row r="47" spans="1:21">
      <c r="A47" s="82"/>
      <c r="B47" s="83"/>
      <c r="C47" s="82"/>
      <c r="D47" s="82"/>
      <c r="E47" s="82"/>
      <c r="F47" s="82"/>
      <c r="G47" s="222"/>
      <c r="H47" s="222"/>
      <c r="I47" s="222"/>
      <c r="J47" s="6"/>
      <c r="K47" s="6"/>
      <c r="L47" s="6"/>
      <c r="M47" s="6"/>
      <c r="N47" s="6"/>
      <c r="O47" s="6"/>
      <c r="P47" s="6"/>
      <c r="Q47" s="6"/>
      <c r="R47" s="6"/>
      <c r="S47" s="6"/>
      <c r="T47" s="6"/>
      <c r="U47" s="6"/>
    </row>
    <row r="48" spans="1:21">
      <c r="A48" s="82"/>
      <c r="B48" s="83"/>
      <c r="C48" s="82"/>
      <c r="D48" s="82"/>
      <c r="E48" s="82"/>
      <c r="F48" s="82"/>
      <c r="G48" s="222"/>
      <c r="H48" s="222"/>
      <c r="I48" s="222"/>
      <c r="J48" s="6"/>
      <c r="K48" s="6"/>
      <c r="L48" s="6"/>
      <c r="M48" s="6"/>
      <c r="N48" s="6"/>
      <c r="O48" s="6"/>
      <c r="P48" s="6"/>
      <c r="Q48" s="6"/>
      <c r="R48" s="6"/>
      <c r="S48" s="6"/>
      <c r="T48" s="6"/>
      <c r="U48" s="6"/>
    </row>
    <row r="49" spans="1:21">
      <c r="A49" s="82"/>
      <c r="B49" s="83"/>
      <c r="C49" s="82"/>
      <c r="D49" s="82"/>
      <c r="E49" s="82"/>
      <c r="F49" s="82"/>
      <c r="G49" s="222"/>
      <c r="H49" s="222"/>
      <c r="I49" s="222"/>
      <c r="J49" s="6"/>
      <c r="K49" s="6"/>
      <c r="L49" s="6"/>
      <c r="M49" s="6"/>
      <c r="N49" s="6"/>
      <c r="O49" s="6"/>
      <c r="P49" s="6"/>
      <c r="Q49" s="6"/>
      <c r="R49" s="6"/>
      <c r="S49" s="6"/>
      <c r="T49" s="6"/>
      <c r="U49" s="6"/>
    </row>
    <row r="50" spans="1:21">
      <c r="A50" s="82"/>
      <c r="B50" s="83"/>
      <c r="C50" s="82"/>
      <c r="D50" s="82"/>
      <c r="E50" s="82"/>
      <c r="F50" s="82"/>
      <c r="G50" s="222"/>
      <c r="H50" s="222"/>
      <c r="I50" s="222"/>
      <c r="J50" s="6"/>
      <c r="K50" s="6"/>
      <c r="L50" s="6"/>
      <c r="M50" s="6"/>
      <c r="N50" s="6"/>
      <c r="O50" s="6"/>
      <c r="P50" s="6"/>
      <c r="Q50" s="6"/>
      <c r="R50" s="6"/>
      <c r="S50" s="6"/>
      <c r="T50" s="6"/>
      <c r="U50" s="6"/>
    </row>
    <row r="51" spans="1:21">
      <c r="A51" s="82"/>
      <c r="B51" s="83"/>
      <c r="C51" s="82"/>
      <c r="D51" s="82"/>
      <c r="E51" s="82"/>
      <c r="F51" s="82"/>
      <c r="G51" s="222"/>
      <c r="H51" s="222"/>
      <c r="I51" s="222"/>
      <c r="J51" s="6"/>
      <c r="K51" s="6"/>
      <c r="L51" s="6"/>
      <c r="M51" s="6"/>
      <c r="N51" s="6"/>
      <c r="O51" s="6"/>
      <c r="P51" s="6"/>
      <c r="Q51" s="6"/>
      <c r="R51" s="6"/>
      <c r="S51" s="6"/>
      <c r="T51" s="6"/>
      <c r="U51" s="6"/>
    </row>
    <row r="52" spans="1:21">
      <c r="A52" s="82"/>
      <c r="B52" s="83"/>
      <c r="C52" s="82"/>
      <c r="D52" s="82"/>
      <c r="E52" s="82"/>
      <c r="F52" s="82"/>
      <c r="G52" s="222"/>
      <c r="H52" s="222"/>
      <c r="I52" s="222"/>
      <c r="J52" s="6"/>
      <c r="K52" s="6"/>
      <c r="L52" s="6"/>
      <c r="M52" s="6"/>
      <c r="N52" s="6"/>
      <c r="O52" s="6"/>
      <c r="P52" s="6"/>
      <c r="Q52" s="6"/>
      <c r="R52" s="6"/>
      <c r="S52" s="6"/>
      <c r="T52" s="6"/>
      <c r="U52" s="6"/>
    </row>
    <row r="53" spans="1:21">
      <c r="A53" s="82"/>
      <c r="B53" s="83"/>
      <c r="C53" s="82"/>
      <c r="D53" s="82"/>
      <c r="E53" s="82"/>
      <c r="F53" s="82"/>
      <c r="G53" s="222"/>
      <c r="H53" s="222"/>
      <c r="I53" s="222"/>
      <c r="J53" s="6"/>
      <c r="K53" s="6"/>
      <c r="L53" s="6"/>
      <c r="M53" s="6"/>
      <c r="N53" s="6"/>
      <c r="O53" s="6"/>
      <c r="P53" s="6"/>
      <c r="Q53" s="6"/>
      <c r="R53" s="6"/>
      <c r="S53" s="6"/>
      <c r="T53" s="6"/>
      <c r="U53" s="6"/>
    </row>
    <row r="54" spans="1:21">
      <c r="A54" s="82"/>
      <c r="B54" s="83"/>
      <c r="C54" s="82"/>
      <c r="D54" s="82"/>
      <c r="E54" s="82"/>
      <c r="F54" s="82"/>
      <c r="G54" s="222"/>
      <c r="H54" s="222"/>
      <c r="I54" s="222"/>
      <c r="J54" s="6"/>
      <c r="K54" s="6"/>
      <c r="L54" s="6"/>
      <c r="M54" s="6"/>
      <c r="N54" s="6"/>
      <c r="O54" s="6"/>
      <c r="P54" s="6"/>
      <c r="Q54" s="6"/>
      <c r="R54" s="6"/>
      <c r="S54" s="6"/>
      <c r="T54" s="6"/>
      <c r="U54" s="6"/>
    </row>
    <row r="55" spans="1:21">
      <c r="A55" s="82"/>
      <c r="B55" s="83"/>
      <c r="C55" s="82"/>
      <c r="D55" s="82"/>
      <c r="E55" s="82"/>
      <c r="F55" s="82"/>
      <c r="G55" s="222"/>
      <c r="H55" s="222"/>
      <c r="I55" s="222"/>
      <c r="J55" s="6"/>
      <c r="K55" s="6"/>
      <c r="L55" s="6"/>
      <c r="M55" s="6"/>
      <c r="N55" s="6"/>
      <c r="O55" s="6"/>
      <c r="P55" s="6"/>
      <c r="Q55" s="6"/>
      <c r="R55" s="6"/>
      <c r="S55" s="6"/>
      <c r="T55" s="6"/>
      <c r="U55" s="6"/>
    </row>
    <row r="56" spans="1:21">
      <c r="A56" s="82"/>
      <c r="B56" s="83"/>
      <c r="C56" s="82"/>
      <c r="D56" s="82"/>
      <c r="E56" s="82"/>
      <c r="F56" s="82"/>
      <c r="G56" s="222"/>
      <c r="H56" s="222"/>
      <c r="I56" s="222"/>
      <c r="J56" s="6"/>
      <c r="K56" s="6"/>
      <c r="L56" s="6"/>
      <c r="M56" s="6"/>
      <c r="N56" s="6"/>
      <c r="O56" s="6"/>
      <c r="P56" s="6"/>
      <c r="Q56" s="6"/>
      <c r="R56" s="6"/>
      <c r="S56" s="6"/>
      <c r="T56" s="6"/>
      <c r="U56" s="6"/>
    </row>
    <row r="57" spans="1:21">
      <c r="A57" s="82"/>
      <c r="B57" s="83"/>
      <c r="C57" s="82"/>
      <c r="D57" s="82"/>
      <c r="E57" s="82"/>
      <c r="F57" s="82"/>
      <c r="G57" s="222"/>
      <c r="H57" s="222"/>
      <c r="I57" s="222"/>
      <c r="J57" s="6"/>
      <c r="K57" s="6"/>
      <c r="L57" s="6"/>
      <c r="M57" s="6"/>
      <c r="N57" s="6"/>
      <c r="O57" s="6"/>
      <c r="P57" s="6"/>
      <c r="Q57" s="6"/>
      <c r="R57" s="6"/>
      <c r="S57" s="6"/>
      <c r="T57" s="6"/>
      <c r="U57" s="6"/>
    </row>
    <row r="58" spans="1:21">
      <c r="A58" s="82"/>
      <c r="B58" s="83"/>
      <c r="C58" s="82"/>
      <c r="D58" s="82"/>
      <c r="E58" s="82"/>
      <c r="F58" s="82"/>
      <c r="G58" s="222"/>
      <c r="H58" s="222"/>
      <c r="I58" s="222"/>
      <c r="J58" s="6"/>
      <c r="K58" s="6"/>
      <c r="L58" s="6"/>
      <c r="M58" s="6"/>
      <c r="N58" s="6"/>
      <c r="O58" s="6"/>
      <c r="P58" s="6"/>
      <c r="Q58" s="6"/>
      <c r="R58" s="6"/>
      <c r="S58" s="6"/>
      <c r="T58" s="6"/>
      <c r="U58" s="6"/>
    </row>
    <row r="59" spans="1:21">
      <c r="A59" s="82"/>
      <c r="B59" s="83"/>
      <c r="C59" s="82"/>
      <c r="D59" s="82"/>
      <c r="E59" s="82"/>
      <c r="F59" s="82"/>
      <c r="G59" s="222"/>
      <c r="H59" s="222"/>
      <c r="I59" s="222"/>
      <c r="J59" s="6"/>
      <c r="K59" s="6"/>
      <c r="L59" s="6"/>
      <c r="M59" s="6"/>
      <c r="N59" s="6"/>
      <c r="O59" s="6"/>
      <c r="P59" s="6"/>
      <c r="Q59" s="6"/>
      <c r="R59" s="6"/>
      <c r="S59" s="6"/>
      <c r="T59" s="6"/>
      <c r="U59" s="6"/>
    </row>
    <row r="60" spans="1:21">
      <c r="A60" s="82"/>
      <c r="B60" s="83"/>
      <c r="C60" s="82"/>
      <c r="D60" s="82"/>
      <c r="E60" s="82"/>
      <c r="F60" s="82"/>
      <c r="G60" s="222"/>
      <c r="H60" s="222"/>
      <c r="I60" s="222"/>
      <c r="J60" s="6"/>
      <c r="K60" s="6"/>
      <c r="L60" s="6"/>
      <c r="M60" s="6"/>
      <c r="N60" s="6"/>
      <c r="O60" s="6"/>
      <c r="P60" s="6"/>
      <c r="Q60" s="6"/>
      <c r="R60" s="6"/>
      <c r="S60" s="6"/>
      <c r="T60" s="6"/>
      <c r="U60" s="6"/>
    </row>
    <row r="61" spans="1:21">
      <c r="A61" s="82"/>
      <c r="B61" s="83"/>
      <c r="C61" s="82"/>
      <c r="D61" s="82"/>
      <c r="E61" s="82"/>
      <c r="F61" s="82"/>
      <c r="G61" s="222"/>
      <c r="H61" s="222"/>
      <c r="I61" s="222"/>
      <c r="J61" s="6"/>
      <c r="K61" s="6"/>
      <c r="L61" s="6"/>
      <c r="M61" s="6"/>
      <c r="N61" s="6"/>
      <c r="O61" s="6"/>
      <c r="P61" s="6"/>
      <c r="Q61" s="6"/>
      <c r="R61" s="6"/>
      <c r="S61" s="6"/>
      <c r="T61" s="6"/>
      <c r="U61" s="6"/>
    </row>
    <row r="62" spans="1:21">
      <c r="A62" s="82"/>
      <c r="B62" s="83"/>
      <c r="C62" s="82"/>
      <c r="D62" s="82"/>
      <c r="E62" s="82"/>
      <c r="F62" s="82"/>
      <c r="G62" s="222"/>
      <c r="H62" s="222"/>
      <c r="I62" s="222"/>
      <c r="J62" s="6"/>
      <c r="K62" s="6"/>
      <c r="L62" s="6"/>
      <c r="M62" s="6"/>
      <c r="N62" s="6"/>
      <c r="O62" s="6"/>
      <c r="P62" s="6"/>
      <c r="Q62" s="6"/>
      <c r="R62" s="6"/>
      <c r="S62" s="6"/>
      <c r="T62" s="6"/>
      <c r="U62" s="6"/>
    </row>
    <row r="63" spans="1:21">
      <c r="A63" s="82"/>
      <c r="B63" s="83"/>
      <c r="C63" s="82"/>
      <c r="D63" s="82"/>
      <c r="E63" s="82"/>
      <c r="F63" s="82"/>
      <c r="G63" s="222"/>
      <c r="H63" s="222"/>
      <c r="I63" s="222"/>
      <c r="J63" s="6"/>
      <c r="K63" s="6"/>
      <c r="L63" s="6"/>
      <c r="M63" s="6"/>
      <c r="N63" s="6"/>
      <c r="O63" s="6"/>
      <c r="P63" s="6"/>
      <c r="Q63" s="6"/>
      <c r="R63" s="6"/>
      <c r="S63" s="6"/>
      <c r="T63" s="6"/>
      <c r="U63" s="6"/>
    </row>
    <row r="64" spans="1:21">
      <c r="A64" s="82"/>
      <c r="B64" s="83"/>
      <c r="C64" s="82"/>
      <c r="D64" s="82"/>
      <c r="E64" s="82"/>
      <c r="F64" s="82"/>
      <c r="G64" s="222"/>
      <c r="H64" s="222"/>
      <c r="I64" s="222"/>
      <c r="J64" s="6"/>
      <c r="K64" s="6"/>
      <c r="L64" s="6"/>
      <c r="M64" s="6"/>
      <c r="N64" s="6"/>
      <c r="O64" s="6"/>
      <c r="P64" s="6"/>
      <c r="Q64" s="6"/>
      <c r="R64" s="6"/>
      <c r="S64" s="6"/>
      <c r="T64" s="6"/>
      <c r="U64" s="6"/>
    </row>
    <row r="65" spans="1:21">
      <c r="A65" s="82"/>
      <c r="B65" s="83"/>
      <c r="C65" s="82"/>
      <c r="D65" s="82"/>
      <c r="E65" s="82"/>
      <c r="F65" s="82"/>
      <c r="G65" s="222"/>
      <c r="H65" s="222"/>
      <c r="I65" s="222"/>
      <c r="J65" s="6"/>
      <c r="K65" s="6"/>
      <c r="L65" s="6"/>
      <c r="M65" s="6"/>
      <c r="N65" s="6"/>
      <c r="O65" s="6"/>
      <c r="P65" s="6"/>
      <c r="Q65" s="6"/>
      <c r="R65" s="6"/>
      <c r="S65" s="6"/>
      <c r="T65" s="6"/>
      <c r="U65" s="6"/>
    </row>
    <row r="66" spans="1:21">
      <c r="A66" s="82"/>
      <c r="B66" s="83"/>
      <c r="C66" s="82"/>
      <c r="D66" s="82"/>
      <c r="E66" s="82"/>
      <c r="F66" s="82"/>
      <c r="G66" s="222"/>
      <c r="H66" s="222"/>
      <c r="I66" s="222"/>
      <c r="J66" s="6"/>
      <c r="K66" s="6"/>
      <c r="L66" s="6"/>
      <c r="M66" s="6"/>
      <c r="N66" s="6"/>
      <c r="O66" s="6"/>
      <c r="P66" s="6"/>
      <c r="Q66" s="6"/>
      <c r="R66" s="6"/>
      <c r="S66" s="6"/>
      <c r="T66" s="6"/>
      <c r="U66" s="6"/>
    </row>
    <row r="67" spans="1:21">
      <c r="A67" s="82"/>
      <c r="B67" s="83"/>
      <c r="C67" s="82"/>
      <c r="D67" s="82"/>
      <c r="E67" s="82"/>
      <c r="F67" s="82"/>
      <c r="G67" s="222"/>
      <c r="H67" s="222"/>
      <c r="I67" s="222"/>
      <c r="J67" s="6"/>
      <c r="K67" s="6"/>
      <c r="L67" s="6"/>
      <c r="M67" s="6"/>
      <c r="N67" s="6"/>
      <c r="O67" s="6"/>
      <c r="P67" s="6"/>
      <c r="Q67" s="6"/>
      <c r="R67" s="6"/>
      <c r="S67" s="6"/>
      <c r="T67" s="6"/>
      <c r="U67" s="6"/>
    </row>
    <row r="68" spans="1:21">
      <c r="A68" s="82"/>
      <c r="B68" s="83"/>
      <c r="C68" s="82"/>
      <c r="D68" s="82"/>
      <c r="E68" s="82"/>
      <c r="F68" s="82"/>
      <c r="G68" s="222"/>
      <c r="H68" s="222"/>
      <c r="I68" s="222"/>
      <c r="J68" s="6"/>
      <c r="K68" s="6"/>
      <c r="L68" s="6"/>
      <c r="M68" s="6"/>
      <c r="N68" s="6"/>
      <c r="O68" s="6"/>
      <c r="P68" s="6"/>
      <c r="Q68" s="6"/>
      <c r="R68" s="6"/>
      <c r="S68" s="6"/>
      <c r="T68" s="6"/>
      <c r="U68" s="6"/>
    </row>
    <row r="69" spans="1:21">
      <c r="A69" s="82"/>
      <c r="B69" s="83"/>
      <c r="C69" s="82"/>
      <c r="D69" s="82"/>
      <c r="E69" s="82"/>
      <c r="F69" s="82"/>
      <c r="G69" s="222"/>
      <c r="H69" s="222"/>
      <c r="I69" s="222"/>
      <c r="J69" s="6"/>
      <c r="K69" s="6"/>
      <c r="L69" s="6"/>
      <c r="M69" s="6"/>
      <c r="N69" s="6"/>
      <c r="O69" s="6"/>
      <c r="P69" s="6"/>
      <c r="Q69" s="6"/>
      <c r="R69" s="6"/>
      <c r="S69" s="6"/>
      <c r="T69" s="6"/>
      <c r="U69" s="6"/>
    </row>
    <row r="70" spans="1:21">
      <c r="A70" s="82"/>
      <c r="B70" s="83"/>
      <c r="C70" s="82"/>
      <c r="D70" s="82"/>
      <c r="E70" s="82"/>
      <c r="F70" s="82"/>
      <c r="G70" s="222"/>
      <c r="H70" s="222"/>
      <c r="I70" s="222"/>
      <c r="J70" s="6"/>
      <c r="K70" s="6"/>
      <c r="L70" s="6"/>
      <c r="M70" s="6"/>
      <c r="N70" s="6"/>
      <c r="O70" s="6"/>
      <c r="P70" s="6"/>
      <c r="Q70" s="6"/>
      <c r="R70" s="6"/>
      <c r="S70" s="6"/>
      <c r="T70" s="6"/>
      <c r="U70" s="6"/>
    </row>
    <row r="71" spans="1:21">
      <c r="A71" s="82"/>
      <c r="B71" s="83"/>
      <c r="C71" s="82"/>
      <c r="D71" s="82"/>
      <c r="E71" s="82"/>
      <c r="F71" s="82"/>
      <c r="G71" s="222"/>
      <c r="H71" s="222"/>
      <c r="I71" s="222"/>
      <c r="J71" s="6"/>
      <c r="K71" s="6"/>
      <c r="L71" s="6"/>
      <c r="M71" s="6"/>
      <c r="N71" s="6"/>
      <c r="O71" s="6"/>
      <c r="P71" s="6"/>
      <c r="Q71" s="6"/>
      <c r="R71" s="6"/>
      <c r="S71" s="6"/>
      <c r="T71" s="6"/>
      <c r="U71" s="6"/>
    </row>
    <row r="72" spans="1:21">
      <c r="A72" s="82"/>
      <c r="B72" s="83"/>
      <c r="C72" s="82"/>
      <c r="D72" s="82"/>
      <c r="E72" s="82"/>
      <c r="F72" s="82"/>
      <c r="G72" s="222"/>
      <c r="H72" s="222"/>
      <c r="I72" s="222"/>
      <c r="J72" s="6"/>
      <c r="K72" s="6"/>
      <c r="L72" s="6"/>
      <c r="M72" s="6"/>
      <c r="N72" s="6"/>
      <c r="O72" s="6"/>
      <c r="P72" s="6"/>
      <c r="Q72" s="6"/>
      <c r="R72" s="6"/>
      <c r="S72" s="6"/>
      <c r="T72" s="6"/>
      <c r="U72" s="6"/>
    </row>
    <row r="73" spans="1:21">
      <c r="A73" s="82"/>
      <c r="B73" s="83"/>
      <c r="C73" s="82"/>
      <c r="D73" s="82"/>
      <c r="E73" s="82"/>
      <c r="F73" s="82"/>
      <c r="G73" s="222"/>
      <c r="H73" s="222"/>
      <c r="I73" s="222"/>
      <c r="J73" s="6"/>
      <c r="K73" s="6"/>
      <c r="L73" s="6"/>
      <c r="M73" s="6"/>
      <c r="N73" s="6"/>
      <c r="O73" s="6"/>
      <c r="P73" s="6"/>
      <c r="Q73" s="6"/>
      <c r="R73" s="6"/>
      <c r="S73" s="6"/>
      <c r="T73" s="6"/>
      <c r="U73" s="6"/>
    </row>
    <row r="74" spans="1:21">
      <c r="A74" s="82"/>
      <c r="B74" s="83"/>
      <c r="C74" s="82"/>
      <c r="D74" s="82"/>
      <c r="E74" s="82"/>
      <c r="F74" s="82"/>
      <c r="G74" s="222"/>
      <c r="H74" s="222"/>
      <c r="I74" s="222"/>
      <c r="J74" s="6"/>
      <c r="K74" s="6"/>
      <c r="L74" s="6"/>
      <c r="M74" s="6"/>
      <c r="N74" s="6"/>
      <c r="O74" s="6"/>
      <c r="P74" s="6"/>
      <c r="Q74" s="6"/>
      <c r="R74" s="6"/>
      <c r="S74" s="6"/>
      <c r="T74" s="6"/>
      <c r="U74" s="6"/>
    </row>
    <row r="75" spans="1:21">
      <c r="A75" s="82"/>
      <c r="B75" s="83"/>
      <c r="C75" s="82"/>
      <c r="D75" s="82"/>
      <c r="E75" s="82"/>
      <c r="F75" s="82"/>
      <c r="G75" s="222"/>
      <c r="H75" s="222"/>
      <c r="I75" s="222"/>
      <c r="J75" s="6"/>
      <c r="K75" s="6"/>
      <c r="L75" s="6"/>
      <c r="M75" s="6"/>
      <c r="N75" s="6"/>
      <c r="O75" s="6"/>
      <c r="P75" s="6"/>
      <c r="Q75" s="6"/>
      <c r="R75" s="6"/>
      <c r="S75" s="6"/>
      <c r="T75" s="6"/>
      <c r="U75" s="6"/>
    </row>
    <row r="76" spans="1:21">
      <c r="A76" s="82"/>
      <c r="B76" s="83"/>
      <c r="C76" s="82"/>
      <c r="D76" s="82"/>
      <c r="E76" s="82"/>
      <c r="F76" s="82"/>
      <c r="G76" s="222"/>
      <c r="H76" s="222"/>
      <c r="I76" s="222"/>
      <c r="J76" s="6"/>
      <c r="K76" s="6"/>
      <c r="L76" s="6"/>
      <c r="M76" s="6"/>
      <c r="N76" s="6"/>
      <c r="O76" s="6"/>
      <c r="P76" s="6"/>
      <c r="Q76" s="6"/>
      <c r="R76" s="6"/>
      <c r="S76" s="6"/>
      <c r="T76" s="6"/>
      <c r="U76" s="6"/>
    </row>
    <row r="77" spans="1:21">
      <c r="A77" s="82"/>
      <c r="B77" s="83"/>
      <c r="C77" s="82"/>
      <c r="D77" s="82"/>
      <c r="E77" s="82"/>
      <c r="F77" s="82"/>
      <c r="G77" s="222"/>
      <c r="H77" s="222"/>
      <c r="I77" s="222"/>
      <c r="J77" s="6"/>
      <c r="K77" s="6"/>
      <c r="L77" s="6"/>
      <c r="M77" s="6"/>
      <c r="N77" s="6"/>
      <c r="O77" s="6"/>
      <c r="P77" s="6"/>
      <c r="Q77" s="6"/>
      <c r="R77" s="6"/>
      <c r="S77" s="6"/>
      <c r="T77" s="6"/>
      <c r="U77" s="6"/>
    </row>
    <row r="78" spans="1:21">
      <c r="A78" s="82"/>
      <c r="B78" s="83"/>
      <c r="C78" s="82"/>
      <c r="D78" s="82"/>
      <c r="E78" s="82"/>
      <c r="F78" s="82"/>
      <c r="G78" s="222"/>
      <c r="H78" s="222"/>
      <c r="I78" s="222"/>
      <c r="J78" s="6"/>
      <c r="K78" s="6"/>
      <c r="L78" s="6"/>
      <c r="M78" s="6"/>
      <c r="N78" s="6"/>
      <c r="O78" s="6"/>
      <c r="P78" s="6"/>
      <c r="Q78" s="6"/>
      <c r="R78" s="6"/>
      <c r="S78" s="6"/>
      <c r="T78" s="6"/>
      <c r="U78" s="6"/>
    </row>
    <row r="79" spans="1:21">
      <c r="A79" s="82"/>
      <c r="B79" s="83"/>
      <c r="C79" s="82"/>
      <c r="D79" s="82"/>
      <c r="E79" s="82"/>
      <c r="F79" s="82"/>
      <c r="G79" s="222"/>
      <c r="H79" s="222"/>
      <c r="I79" s="222"/>
      <c r="J79" s="6"/>
      <c r="K79" s="6"/>
      <c r="L79" s="6"/>
      <c r="M79" s="6"/>
      <c r="N79" s="6"/>
      <c r="O79" s="6"/>
      <c r="P79" s="6"/>
      <c r="Q79" s="6"/>
      <c r="R79" s="6"/>
      <c r="S79" s="6"/>
      <c r="T79" s="6"/>
      <c r="U79" s="6"/>
    </row>
    <row r="80" spans="1:21">
      <c r="A80" s="82"/>
      <c r="B80" s="83"/>
      <c r="C80" s="82"/>
      <c r="D80" s="82"/>
      <c r="E80" s="82"/>
      <c r="F80" s="82"/>
      <c r="G80" s="222"/>
      <c r="H80" s="222"/>
      <c r="I80" s="222"/>
      <c r="J80" s="6"/>
      <c r="K80" s="6"/>
      <c r="L80" s="6"/>
      <c r="M80" s="6"/>
      <c r="N80" s="6"/>
      <c r="O80" s="6"/>
      <c r="P80" s="6"/>
      <c r="Q80" s="6"/>
      <c r="R80" s="6"/>
      <c r="S80" s="6"/>
      <c r="T80" s="6"/>
      <c r="U80" s="6"/>
    </row>
    <row r="81" spans="1:21">
      <c r="A81" s="82"/>
      <c r="B81" s="83"/>
      <c r="C81" s="82"/>
      <c r="D81" s="82"/>
      <c r="E81" s="82"/>
      <c r="F81" s="82"/>
      <c r="G81" s="222"/>
      <c r="H81" s="222"/>
      <c r="I81" s="222"/>
      <c r="J81" s="6"/>
      <c r="K81" s="6"/>
      <c r="L81" s="6"/>
      <c r="M81" s="6"/>
      <c r="N81" s="6"/>
      <c r="O81" s="6"/>
      <c r="P81" s="6"/>
      <c r="Q81" s="6"/>
      <c r="R81" s="6"/>
      <c r="S81" s="6"/>
      <c r="T81" s="6"/>
      <c r="U81" s="6"/>
    </row>
    <row r="82" spans="1:21">
      <c r="A82" s="82"/>
      <c r="B82" s="83"/>
      <c r="C82" s="82"/>
      <c r="D82" s="82"/>
      <c r="E82" s="82"/>
      <c r="F82" s="82"/>
      <c r="G82" s="222"/>
      <c r="H82" s="222"/>
      <c r="I82" s="222"/>
      <c r="J82" s="6"/>
      <c r="K82" s="6"/>
      <c r="L82" s="6"/>
      <c r="M82" s="6"/>
      <c r="N82" s="6"/>
      <c r="O82" s="6"/>
      <c r="P82" s="6"/>
      <c r="Q82" s="6"/>
      <c r="R82" s="6"/>
      <c r="S82" s="6"/>
      <c r="T82" s="6"/>
      <c r="U82" s="6"/>
    </row>
    <row r="83" spans="1:21">
      <c r="A83" s="82"/>
      <c r="B83" s="83"/>
      <c r="C83" s="82"/>
      <c r="D83" s="82"/>
      <c r="E83" s="82"/>
      <c r="F83" s="82"/>
      <c r="G83" s="222"/>
      <c r="H83" s="222"/>
      <c r="I83" s="222"/>
      <c r="J83" s="6"/>
      <c r="K83" s="6"/>
      <c r="L83" s="6"/>
      <c r="M83" s="6"/>
      <c r="N83" s="6"/>
      <c r="O83" s="6"/>
      <c r="P83" s="6"/>
      <c r="Q83" s="6"/>
      <c r="R83" s="6"/>
      <c r="S83" s="6"/>
      <c r="T83" s="6"/>
      <c r="U83" s="6"/>
    </row>
    <row r="84" spans="1:21">
      <c r="A84" s="82"/>
      <c r="B84" s="83"/>
      <c r="C84" s="82"/>
      <c r="D84" s="82"/>
      <c r="E84" s="82"/>
      <c r="F84" s="82"/>
      <c r="G84" s="222"/>
      <c r="H84" s="222"/>
      <c r="I84" s="222"/>
      <c r="J84" s="6"/>
      <c r="K84" s="6"/>
      <c r="L84" s="6"/>
      <c r="M84" s="6"/>
      <c r="N84" s="6"/>
      <c r="O84" s="6"/>
      <c r="P84" s="6"/>
      <c r="Q84" s="6"/>
      <c r="R84" s="6"/>
      <c r="S84" s="6"/>
      <c r="T84" s="6"/>
      <c r="U84" s="6"/>
    </row>
    <row r="85" spans="1:21">
      <c r="A85" s="82"/>
      <c r="B85" s="83"/>
      <c r="C85" s="82"/>
      <c r="D85" s="82"/>
      <c r="E85" s="82"/>
      <c r="F85" s="82"/>
      <c r="G85" s="222"/>
      <c r="H85" s="222"/>
      <c r="I85" s="222"/>
      <c r="J85" s="6"/>
      <c r="K85" s="6"/>
      <c r="L85" s="6"/>
      <c r="M85" s="6"/>
      <c r="N85" s="6"/>
      <c r="O85" s="6"/>
      <c r="P85" s="6"/>
      <c r="Q85" s="6"/>
      <c r="R85" s="6"/>
      <c r="S85" s="6"/>
      <c r="T85" s="6"/>
      <c r="U85" s="6"/>
    </row>
    <row r="86" spans="1:21">
      <c r="A86" s="82"/>
      <c r="B86" s="83"/>
      <c r="C86" s="82"/>
      <c r="D86" s="82"/>
      <c r="E86" s="82"/>
      <c r="F86" s="82"/>
      <c r="G86" s="222"/>
      <c r="H86" s="222"/>
      <c r="I86" s="222"/>
      <c r="J86" s="6"/>
      <c r="K86" s="6"/>
      <c r="L86" s="6"/>
      <c r="M86" s="6"/>
      <c r="N86" s="6"/>
      <c r="O86" s="6"/>
      <c r="P86" s="6"/>
      <c r="Q86" s="6"/>
      <c r="R86" s="6"/>
      <c r="S86" s="6"/>
      <c r="T86" s="6"/>
      <c r="U86" s="6"/>
    </row>
    <row r="87" spans="1:21">
      <c r="A87" s="82"/>
      <c r="B87" s="83"/>
      <c r="C87" s="82"/>
      <c r="D87" s="82"/>
      <c r="E87" s="82"/>
      <c r="F87" s="82"/>
      <c r="G87" s="222"/>
      <c r="H87" s="222"/>
      <c r="I87" s="222"/>
      <c r="J87" s="6"/>
      <c r="K87" s="6"/>
      <c r="L87" s="6"/>
      <c r="M87" s="6"/>
      <c r="N87" s="6"/>
      <c r="O87" s="6"/>
      <c r="P87" s="6"/>
      <c r="Q87" s="6"/>
      <c r="R87" s="6"/>
      <c r="S87" s="6"/>
      <c r="T87" s="6"/>
      <c r="U87" s="6"/>
    </row>
    <row r="88" spans="1:21">
      <c r="A88" s="82"/>
      <c r="B88" s="83"/>
      <c r="C88" s="82"/>
      <c r="D88" s="82"/>
      <c r="E88" s="82"/>
      <c r="F88" s="82"/>
      <c r="G88" s="222"/>
      <c r="H88" s="222"/>
      <c r="I88" s="222"/>
      <c r="J88" s="6"/>
      <c r="K88" s="6"/>
      <c r="L88" s="6"/>
      <c r="M88" s="6"/>
      <c r="N88" s="6"/>
      <c r="O88" s="6"/>
      <c r="P88" s="6"/>
      <c r="Q88" s="6"/>
      <c r="R88" s="6"/>
      <c r="S88" s="6"/>
      <c r="T88" s="6"/>
      <c r="U88" s="6"/>
    </row>
    <row r="89" spans="1:21">
      <c r="A89" s="82"/>
      <c r="B89" s="83"/>
      <c r="C89" s="82"/>
      <c r="D89" s="82"/>
      <c r="E89" s="82"/>
      <c r="F89" s="82"/>
      <c r="G89" s="222"/>
      <c r="H89" s="222"/>
      <c r="I89" s="222"/>
      <c r="J89" s="6"/>
      <c r="K89" s="6"/>
      <c r="L89" s="6"/>
      <c r="M89" s="6"/>
      <c r="N89" s="6"/>
      <c r="O89" s="6"/>
      <c r="P89" s="6"/>
      <c r="Q89" s="6"/>
      <c r="R89" s="6"/>
      <c r="S89" s="6"/>
      <c r="T89" s="6"/>
      <c r="U89" s="6"/>
    </row>
    <row r="90" spans="1:21">
      <c r="A90" s="82"/>
      <c r="B90" s="83"/>
      <c r="C90" s="82"/>
      <c r="D90" s="82"/>
      <c r="E90" s="82"/>
      <c r="F90" s="82"/>
      <c r="G90" s="222"/>
      <c r="H90" s="222"/>
      <c r="I90" s="222"/>
      <c r="J90" s="6"/>
      <c r="K90" s="6"/>
      <c r="L90" s="6"/>
      <c r="M90" s="6"/>
      <c r="N90" s="6"/>
      <c r="O90" s="6"/>
      <c r="P90" s="6"/>
      <c r="Q90" s="6"/>
      <c r="R90" s="6"/>
      <c r="S90" s="6"/>
      <c r="T90" s="6"/>
      <c r="U90" s="6"/>
    </row>
    <row r="91" spans="1:21">
      <c r="A91" s="82"/>
      <c r="B91" s="83"/>
      <c r="C91" s="82"/>
      <c r="D91" s="82"/>
      <c r="E91" s="82"/>
      <c r="F91" s="82"/>
      <c r="G91" s="222"/>
      <c r="H91" s="222"/>
      <c r="I91" s="222"/>
      <c r="J91" s="6"/>
      <c r="K91" s="6"/>
      <c r="L91" s="6"/>
      <c r="M91" s="6"/>
      <c r="N91" s="6"/>
      <c r="O91" s="6"/>
      <c r="P91" s="6"/>
      <c r="Q91" s="6"/>
      <c r="R91" s="6"/>
      <c r="S91" s="6"/>
      <c r="T91" s="6"/>
      <c r="U91" s="6"/>
    </row>
    <row r="92" spans="1:21">
      <c r="A92" s="82"/>
      <c r="B92" s="83"/>
      <c r="C92" s="82"/>
      <c r="D92" s="82"/>
      <c r="E92" s="82"/>
      <c r="F92" s="82"/>
      <c r="G92" s="222"/>
      <c r="H92" s="222"/>
      <c r="I92" s="222"/>
      <c r="J92" s="6"/>
      <c r="K92" s="6"/>
      <c r="L92" s="6"/>
      <c r="M92" s="6"/>
      <c r="N92" s="6"/>
      <c r="O92" s="6"/>
      <c r="P92" s="6"/>
      <c r="Q92" s="6"/>
      <c r="R92" s="6"/>
      <c r="S92" s="6"/>
      <c r="T92" s="6"/>
      <c r="U92" s="6"/>
    </row>
    <row r="93" spans="1:21">
      <c r="A93" s="82"/>
      <c r="B93" s="83"/>
      <c r="C93" s="82"/>
      <c r="D93" s="82"/>
      <c r="E93" s="82"/>
      <c r="F93" s="82"/>
      <c r="G93" s="222"/>
      <c r="H93" s="222"/>
      <c r="I93" s="222"/>
      <c r="J93" s="6"/>
      <c r="K93" s="6"/>
      <c r="L93" s="6"/>
      <c r="M93" s="6"/>
      <c r="N93" s="6"/>
      <c r="O93" s="6"/>
      <c r="P93" s="6"/>
      <c r="Q93" s="6"/>
      <c r="R93" s="6"/>
      <c r="S93" s="6"/>
      <c r="T93" s="6"/>
      <c r="U93" s="6"/>
    </row>
    <row r="94" spans="1:21">
      <c r="A94" s="82"/>
      <c r="B94" s="83"/>
      <c r="C94" s="82"/>
      <c r="D94" s="82"/>
      <c r="E94" s="82"/>
      <c r="F94" s="82"/>
      <c r="G94" s="222"/>
      <c r="H94" s="222"/>
      <c r="I94" s="222"/>
      <c r="J94" s="6"/>
      <c r="K94" s="6"/>
      <c r="L94" s="6"/>
      <c r="M94" s="6"/>
      <c r="N94" s="6"/>
      <c r="O94" s="6"/>
      <c r="P94" s="6"/>
      <c r="Q94" s="6"/>
      <c r="R94" s="6"/>
      <c r="S94" s="6"/>
      <c r="T94" s="6"/>
      <c r="U94" s="6"/>
    </row>
    <row r="95" spans="1:21">
      <c r="A95" s="82"/>
      <c r="B95" s="83"/>
      <c r="C95" s="82"/>
      <c r="D95" s="82"/>
      <c r="E95" s="82"/>
      <c r="F95" s="82"/>
      <c r="G95" s="222"/>
      <c r="H95" s="222"/>
      <c r="I95" s="222"/>
      <c r="J95" s="6"/>
      <c r="K95" s="6"/>
      <c r="L95" s="6"/>
      <c r="M95" s="6"/>
      <c r="N95" s="6"/>
      <c r="O95" s="6"/>
      <c r="P95" s="6"/>
      <c r="Q95" s="6"/>
      <c r="R95" s="6"/>
      <c r="S95" s="6"/>
      <c r="T95" s="6"/>
      <c r="U95" s="6"/>
    </row>
    <row r="96" spans="1:21">
      <c r="A96" s="82"/>
      <c r="B96" s="83"/>
      <c r="C96" s="82"/>
      <c r="D96" s="82"/>
      <c r="E96" s="82"/>
      <c r="F96" s="82"/>
      <c r="G96" s="222"/>
      <c r="H96" s="222"/>
      <c r="I96" s="222"/>
      <c r="J96" s="6"/>
      <c r="K96" s="6"/>
      <c r="L96" s="6"/>
      <c r="M96" s="6"/>
      <c r="N96" s="6"/>
      <c r="O96" s="6"/>
      <c r="P96" s="6"/>
      <c r="Q96" s="6"/>
      <c r="R96" s="6"/>
      <c r="S96" s="6"/>
      <c r="T96" s="6"/>
      <c r="U96" s="6"/>
    </row>
    <row r="97" spans="1:21">
      <c r="A97" s="82"/>
      <c r="B97" s="83"/>
      <c r="C97" s="82"/>
      <c r="D97" s="82"/>
      <c r="E97" s="82"/>
      <c r="F97" s="82"/>
      <c r="G97" s="222"/>
      <c r="H97" s="222"/>
      <c r="I97" s="222"/>
      <c r="J97" s="6"/>
      <c r="K97" s="6"/>
      <c r="L97" s="6"/>
      <c r="M97" s="6"/>
      <c r="N97" s="6"/>
      <c r="O97" s="6"/>
      <c r="P97" s="6"/>
      <c r="Q97" s="6"/>
      <c r="R97" s="6"/>
      <c r="S97" s="6"/>
      <c r="T97" s="6"/>
      <c r="U97" s="6"/>
    </row>
    <row r="98" spans="1:21">
      <c r="A98" s="82"/>
      <c r="B98" s="83"/>
      <c r="C98" s="82"/>
      <c r="D98" s="82"/>
      <c r="E98" s="82"/>
      <c r="F98" s="82"/>
      <c r="G98" s="222"/>
      <c r="H98" s="222"/>
      <c r="I98" s="222"/>
      <c r="J98" s="6"/>
      <c r="K98" s="6"/>
      <c r="L98" s="6"/>
      <c r="M98" s="6"/>
      <c r="N98" s="6"/>
      <c r="O98" s="6"/>
      <c r="P98" s="6"/>
      <c r="Q98" s="6"/>
      <c r="R98" s="6"/>
      <c r="S98" s="6"/>
      <c r="T98" s="6"/>
      <c r="U98" s="6"/>
    </row>
    <row r="99" spans="1:21">
      <c r="A99" s="82"/>
      <c r="B99" s="83"/>
      <c r="C99" s="82"/>
      <c r="D99" s="82"/>
      <c r="E99" s="82"/>
      <c r="F99" s="82"/>
      <c r="G99" s="222"/>
      <c r="H99" s="222"/>
      <c r="I99" s="222"/>
      <c r="J99" s="6"/>
      <c r="K99" s="6"/>
      <c r="L99" s="6"/>
      <c r="M99" s="6"/>
      <c r="N99" s="6"/>
      <c r="O99" s="6"/>
      <c r="P99" s="6"/>
      <c r="Q99" s="6"/>
      <c r="R99" s="6"/>
      <c r="S99" s="6"/>
      <c r="T99" s="6"/>
      <c r="U99" s="6"/>
    </row>
    <row r="100" spans="1:21">
      <c r="A100" s="82"/>
      <c r="B100" s="83"/>
      <c r="C100" s="82"/>
      <c r="D100" s="82"/>
      <c r="E100" s="82"/>
      <c r="F100" s="82"/>
      <c r="G100" s="222"/>
      <c r="H100" s="222"/>
      <c r="I100" s="222"/>
      <c r="J100" s="6"/>
      <c r="K100" s="6"/>
      <c r="L100" s="6"/>
      <c r="M100" s="6"/>
      <c r="N100" s="6"/>
      <c r="O100" s="6"/>
      <c r="P100" s="6"/>
      <c r="Q100" s="6"/>
      <c r="R100" s="6"/>
      <c r="S100" s="6"/>
      <c r="T100" s="6"/>
      <c r="U100" s="6"/>
    </row>
    <row r="101" spans="1:21">
      <c r="A101" s="82"/>
      <c r="B101" s="83"/>
      <c r="C101" s="82"/>
      <c r="D101" s="82"/>
      <c r="E101" s="82"/>
      <c r="F101" s="82"/>
      <c r="G101" s="222"/>
      <c r="H101" s="222"/>
      <c r="I101" s="222"/>
      <c r="J101" s="6"/>
      <c r="K101" s="6"/>
      <c r="L101" s="6"/>
      <c r="M101" s="6"/>
      <c r="N101" s="6"/>
      <c r="O101" s="6"/>
      <c r="P101" s="6"/>
      <c r="Q101" s="6"/>
      <c r="R101" s="6"/>
      <c r="S101" s="6"/>
      <c r="T101" s="6"/>
      <c r="U101" s="6"/>
    </row>
    <row r="102" spans="1:21">
      <c r="A102" s="82"/>
      <c r="B102" s="83"/>
      <c r="C102" s="82"/>
      <c r="D102" s="82"/>
      <c r="E102" s="82"/>
      <c r="F102" s="82"/>
      <c r="G102" s="222"/>
      <c r="H102" s="222"/>
      <c r="I102" s="222"/>
      <c r="J102" s="6"/>
      <c r="K102" s="6"/>
      <c r="L102" s="6"/>
      <c r="M102" s="6"/>
      <c r="N102" s="6"/>
      <c r="O102" s="6"/>
      <c r="P102" s="6"/>
      <c r="Q102" s="6"/>
      <c r="R102" s="6"/>
      <c r="S102" s="6"/>
      <c r="T102" s="6"/>
      <c r="U102" s="6"/>
    </row>
    <row r="103" spans="1:21">
      <c r="A103" s="82"/>
      <c r="B103" s="83"/>
      <c r="C103" s="82"/>
      <c r="D103" s="82"/>
      <c r="E103" s="82"/>
      <c r="F103" s="82"/>
      <c r="G103" s="222"/>
      <c r="H103" s="222"/>
      <c r="I103" s="222"/>
      <c r="J103" s="6"/>
      <c r="K103" s="6"/>
      <c r="L103" s="6"/>
      <c r="M103" s="6"/>
      <c r="N103" s="6"/>
      <c r="O103" s="6"/>
      <c r="P103" s="6"/>
      <c r="Q103" s="6"/>
      <c r="R103" s="6"/>
      <c r="S103" s="6"/>
      <c r="T103" s="6"/>
      <c r="U103" s="6"/>
    </row>
    <row r="104" spans="1:21">
      <c r="A104" s="82"/>
      <c r="B104" s="83"/>
      <c r="C104" s="82"/>
      <c r="D104" s="82"/>
      <c r="E104" s="82"/>
      <c r="F104" s="82"/>
      <c r="G104" s="222"/>
      <c r="H104" s="222"/>
      <c r="I104" s="222"/>
      <c r="J104" s="6"/>
      <c r="K104" s="6"/>
      <c r="L104" s="6"/>
      <c r="M104" s="6"/>
      <c r="N104" s="6"/>
      <c r="O104" s="6"/>
      <c r="P104" s="6"/>
      <c r="Q104" s="6"/>
      <c r="R104" s="6"/>
      <c r="S104" s="6"/>
      <c r="T104" s="6"/>
      <c r="U104" s="6"/>
    </row>
    <row r="105" spans="1:21">
      <c r="A105" s="82"/>
      <c r="B105" s="83"/>
      <c r="C105" s="82"/>
      <c r="D105" s="82"/>
      <c r="E105" s="82"/>
      <c r="F105" s="82"/>
      <c r="G105" s="222"/>
      <c r="H105" s="222"/>
      <c r="I105" s="222"/>
      <c r="J105" s="6"/>
      <c r="K105" s="6"/>
      <c r="L105" s="6"/>
      <c r="M105" s="6"/>
      <c r="N105" s="6"/>
      <c r="O105" s="6"/>
      <c r="P105" s="6"/>
      <c r="Q105" s="6"/>
      <c r="R105" s="6"/>
      <c r="S105" s="6"/>
      <c r="T105" s="6"/>
      <c r="U105" s="6"/>
    </row>
    <row r="106" spans="1:21">
      <c r="A106" s="82"/>
      <c r="B106" s="83"/>
      <c r="C106" s="82"/>
      <c r="D106" s="82"/>
      <c r="E106" s="82"/>
      <c r="F106" s="82"/>
      <c r="G106" s="222"/>
      <c r="H106" s="222"/>
      <c r="I106" s="222"/>
      <c r="J106" s="6"/>
      <c r="K106" s="6"/>
      <c r="L106" s="6"/>
      <c r="M106" s="6"/>
      <c r="N106" s="6"/>
      <c r="O106" s="6"/>
      <c r="P106" s="6"/>
      <c r="Q106" s="6"/>
      <c r="R106" s="6"/>
      <c r="S106" s="6"/>
      <c r="T106" s="6"/>
      <c r="U106" s="6"/>
    </row>
    <row r="107" spans="1:21">
      <c r="A107" s="82"/>
      <c r="B107" s="83"/>
      <c r="C107" s="82"/>
      <c r="D107" s="82"/>
      <c r="E107" s="82"/>
      <c r="F107" s="82"/>
      <c r="G107" s="222"/>
      <c r="H107" s="222"/>
      <c r="I107" s="222"/>
      <c r="J107" s="6"/>
      <c r="K107" s="6"/>
      <c r="L107" s="6"/>
      <c r="M107" s="6"/>
      <c r="N107" s="6"/>
      <c r="O107" s="6"/>
      <c r="P107" s="6"/>
      <c r="Q107" s="6"/>
      <c r="R107" s="6"/>
      <c r="S107" s="6"/>
      <c r="T107" s="6"/>
      <c r="U107" s="6"/>
    </row>
    <row r="108" spans="1:21">
      <c r="A108" s="82"/>
      <c r="B108" s="83"/>
      <c r="C108" s="82"/>
      <c r="D108" s="82"/>
      <c r="E108" s="82"/>
      <c r="F108" s="82"/>
      <c r="G108" s="222"/>
      <c r="H108" s="222"/>
      <c r="I108" s="222"/>
      <c r="J108" s="6"/>
      <c r="K108" s="6"/>
      <c r="L108" s="6"/>
      <c r="M108" s="6"/>
      <c r="N108" s="6"/>
      <c r="O108" s="6"/>
      <c r="P108" s="6"/>
      <c r="Q108" s="6"/>
      <c r="R108" s="6"/>
      <c r="S108" s="6"/>
      <c r="T108" s="6"/>
      <c r="U108" s="6"/>
    </row>
    <row r="109" spans="1:21">
      <c r="A109" s="82"/>
      <c r="B109" s="83"/>
      <c r="C109" s="82"/>
      <c r="D109" s="82"/>
      <c r="E109" s="82"/>
      <c r="F109" s="82"/>
      <c r="G109" s="222"/>
      <c r="H109" s="222"/>
      <c r="I109" s="222"/>
      <c r="J109" s="6"/>
      <c r="K109" s="6"/>
      <c r="L109" s="6"/>
      <c r="M109" s="6"/>
      <c r="N109" s="6"/>
      <c r="O109" s="6"/>
      <c r="P109" s="6"/>
      <c r="Q109" s="6"/>
      <c r="R109" s="6"/>
      <c r="S109" s="6"/>
      <c r="T109" s="6"/>
      <c r="U109" s="6"/>
    </row>
    <row r="110" spans="1:21">
      <c r="A110" s="82"/>
      <c r="B110" s="83"/>
      <c r="C110" s="82"/>
      <c r="D110" s="82"/>
      <c r="E110" s="82"/>
      <c r="F110" s="82"/>
      <c r="G110" s="222"/>
      <c r="H110" s="222"/>
      <c r="I110" s="222"/>
      <c r="J110" s="6"/>
      <c r="K110" s="6"/>
      <c r="L110" s="6"/>
      <c r="M110" s="6"/>
      <c r="N110" s="6"/>
      <c r="O110" s="6"/>
      <c r="P110" s="6"/>
      <c r="Q110" s="6"/>
      <c r="R110" s="6"/>
      <c r="S110" s="6"/>
      <c r="T110" s="6"/>
      <c r="U110" s="6"/>
    </row>
    <row r="111" spans="1:21">
      <c r="A111" s="82"/>
      <c r="B111" s="83"/>
      <c r="C111" s="82"/>
      <c r="D111" s="82"/>
      <c r="E111" s="82"/>
      <c r="F111" s="82"/>
      <c r="G111" s="222"/>
      <c r="H111" s="222"/>
      <c r="I111" s="222"/>
      <c r="J111" s="6"/>
      <c r="K111" s="6"/>
      <c r="L111" s="6"/>
      <c r="M111" s="6"/>
      <c r="N111" s="6"/>
      <c r="O111" s="6"/>
      <c r="P111" s="6"/>
      <c r="Q111" s="6"/>
      <c r="R111" s="6"/>
      <c r="S111" s="6"/>
      <c r="T111" s="6"/>
      <c r="U111" s="6"/>
    </row>
    <row r="112" spans="1:21">
      <c r="A112" s="82"/>
      <c r="B112" s="83"/>
      <c r="C112" s="82"/>
      <c r="D112" s="82"/>
      <c r="E112" s="82"/>
      <c r="F112" s="82"/>
      <c r="G112" s="222"/>
      <c r="H112" s="222"/>
      <c r="I112" s="222"/>
      <c r="J112" s="6"/>
      <c r="K112" s="6"/>
      <c r="L112" s="6"/>
      <c r="M112" s="6"/>
      <c r="N112" s="6"/>
      <c r="O112" s="6"/>
      <c r="P112" s="6"/>
      <c r="Q112" s="6"/>
      <c r="R112" s="6"/>
      <c r="S112" s="6"/>
      <c r="T112" s="6"/>
      <c r="U112" s="6"/>
    </row>
    <row r="113" spans="1:21">
      <c r="A113" s="82"/>
      <c r="B113" s="83"/>
      <c r="C113" s="82"/>
      <c r="D113" s="82"/>
      <c r="E113" s="82"/>
      <c r="F113" s="82"/>
      <c r="G113" s="222"/>
      <c r="H113" s="222"/>
      <c r="I113" s="222"/>
      <c r="J113" s="6"/>
      <c r="K113" s="6"/>
      <c r="L113" s="6"/>
      <c r="M113" s="6"/>
      <c r="N113" s="6"/>
      <c r="O113" s="6"/>
      <c r="P113" s="6"/>
      <c r="Q113" s="6"/>
      <c r="R113" s="6"/>
      <c r="S113" s="6"/>
      <c r="T113" s="6"/>
      <c r="U113" s="6"/>
    </row>
    <row r="114" spans="1:21">
      <c r="A114" s="82"/>
      <c r="B114" s="83"/>
      <c r="C114" s="82"/>
      <c r="D114" s="82"/>
      <c r="E114" s="82"/>
      <c r="F114" s="82"/>
      <c r="G114" s="222"/>
      <c r="H114" s="222"/>
      <c r="I114" s="222"/>
      <c r="J114" s="6"/>
      <c r="K114" s="6"/>
      <c r="L114" s="6"/>
      <c r="M114" s="6"/>
      <c r="N114" s="6"/>
      <c r="O114" s="6"/>
      <c r="P114" s="6"/>
      <c r="Q114" s="6"/>
      <c r="R114" s="6"/>
      <c r="S114" s="6"/>
      <c r="T114" s="6"/>
      <c r="U114" s="6"/>
    </row>
    <row r="115" spans="1:21">
      <c r="A115" s="82"/>
      <c r="B115" s="83"/>
      <c r="C115" s="82"/>
      <c r="D115" s="82"/>
      <c r="E115" s="82"/>
      <c r="F115" s="82"/>
      <c r="G115" s="222"/>
      <c r="H115" s="222"/>
      <c r="I115" s="222"/>
      <c r="J115" s="6"/>
      <c r="K115" s="6"/>
      <c r="L115" s="6"/>
      <c r="M115" s="6"/>
      <c r="N115" s="6"/>
      <c r="O115" s="6"/>
      <c r="P115" s="6"/>
      <c r="Q115" s="6"/>
      <c r="R115" s="6"/>
      <c r="S115" s="6"/>
      <c r="T115" s="6"/>
      <c r="U115" s="6"/>
    </row>
    <row r="116" spans="1:21">
      <c r="A116" s="82"/>
      <c r="B116" s="83"/>
      <c r="C116" s="82"/>
      <c r="D116" s="82"/>
      <c r="E116" s="82"/>
      <c r="F116" s="82"/>
      <c r="G116" s="222"/>
      <c r="H116" s="222"/>
      <c r="I116" s="222"/>
      <c r="J116" s="6"/>
      <c r="K116" s="6"/>
      <c r="L116" s="6"/>
      <c r="M116" s="6"/>
      <c r="N116" s="6"/>
      <c r="O116" s="6"/>
      <c r="P116" s="6"/>
      <c r="Q116" s="6"/>
      <c r="R116" s="6"/>
      <c r="S116" s="6"/>
      <c r="T116" s="6"/>
      <c r="U116" s="6"/>
    </row>
    <row r="117" spans="1:21">
      <c r="A117" s="82"/>
      <c r="B117" s="83"/>
      <c r="C117" s="82"/>
      <c r="D117" s="82"/>
      <c r="E117" s="82"/>
      <c r="F117" s="82"/>
      <c r="G117" s="222"/>
      <c r="H117" s="222"/>
      <c r="I117" s="222"/>
      <c r="J117" s="6"/>
      <c r="K117" s="6"/>
      <c r="L117" s="6"/>
      <c r="M117" s="6"/>
      <c r="N117" s="6"/>
      <c r="O117" s="6"/>
      <c r="P117" s="6"/>
      <c r="Q117" s="6"/>
      <c r="R117" s="6"/>
      <c r="S117" s="6"/>
      <c r="T117" s="6"/>
      <c r="U117" s="6"/>
    </row>
    <row r="118" spans="1:21">
      <c r="A118" s="82"/>
      <c r="B118" s="83"/>
      <c r="C118" s="82"/>
      <c r="D118" s="82"/>
      <c r="E118" s="82"/>
      <c r="F118" s="82"/>
      <c r="G118" s="222"/>
      <c r="H118" s="222"/>
      <c r="I118" s="222"/>
      <c r="J118" s="6"/>
      <c r="K118" s="6"/>
      <c r="L118" s="6"/>
      <c r="M118" s="6"/>
      <c r="N118" s="6"/>
      <c r="O118" s="6"/>
      <c r="P118" s="6"/>
      <c r="Q118" s="6"/>
      <c r="R118" s="6"/>
      <c r="S118" s="6"/>
      <c r="T118" s="6"/>
      <c r="U118" s="6"/>
    </row>
    <row r="119" spans="1:21">
      <c r="A119" s="82"/>
      <c r="B119" s="83"/>
      <c r="C119" s="82"/>
      <c r="D119" s="82"/>
      <c r="E119" s="82"/>
      <c r="F119" s="82"/>
      <c r="G119" s="222"/>
      <c r="H119" s="222"/>
      <c r="I119" s="222"/>
      <c r="J119" s="6"/>
      <c r="K119" s="6"/>
      <c r="L119" s="6"/>
      <c r="M119" s="6"/>
      <c r="N119" s="6"/>
      <c r="O119" s="6"/>
      <c r="P119" s="6"/>
      <c r="Q119" s="6"/>
      <c r="R119" s="6"/>
      <c r="S119" s="6"/>
      <c r="T119" s="6"/>
      <c r="U119" s="6"/>
    </row>
    <row r="120" spans="1:21">
      <c r="A120" s="82"/>
      <c r="B120" s="83"/>
      <c r="C120" s="82"/>
      <c r="D120" s="82"/>
      <c r="E120" s="82"/>
      <c r="F120" s="82"/>
      <c r="G120" s="222"/>
      <c r="H120" s="222"/>
      <c r="I120" s="222"/>
      <c r="J120" s="6"/>
      <c r="K120" s="6"/>
      <c r="L120" s="6"/>
      <c r="M120" s="6"/>
      <c r="N120" s="6"/>
      <c r="O120" s="6"/>
      <c r="P120" s="6"/>
      <c r="Q120" s="6"/>
      <c r="R120" s="6"/>
      <c r="S120" s="6"/>
      <c r="T120" s="6"/>
      <c r="U120" s="6"/>
    </row>
    <row r="121" spans="1:21">
      <c r="A121" s="82"/>
      <c r="B121" s="83"/>
      <c r="C121" s="82"/>
      <c r="D121" s="82"/>
      <c r="E121" s="82"/>
      <c r="F121" s="82"/>
      <c r="G121" s="222"/>
      <c r="H121" s="222"/>
      <c r="I121" s="222"/>
      <c r="J121" s="6"/>
      <c r="K121" s="6"/>
      <c r="L121" s="6"/>
      <c r="M121" s="6"/>
      <c r="N121" s="6"/>
      <c r="O121" s="6"/>
      <c r="P121" s="6"/>
      <c r="Q121" s="6"/>
      <c r="R121" s="6"/>
      <c r="S121" s="6"/>
      <c r="T121" s="6"/>
      <c r="U121" s="6"/>
    </row>
    <row r="122" spans="1:21">
      <c r="A122" s="82"/>
      <c r="B122" s="83"/>
      <c r="C122" s="82"/>
      <c r="D122" s="82"/>
      <c r="E122" s="82"/>
      <c r="F122" s="82"/>
      <c r="G122" s="222"/>
      <c r="H122" s="222"/>
      <c r="I122" s="222"/>
      <c r="J122" s="6"/>
      <c r="K122" s="6"/>
      <c r="L122" s="6"/>
      <c r="M122" s="6"/>
      <c r="N122" s="6"/>
      <c r="O122" s="6"/>
      <c r="P122" s="6"/>
      <c r="Q122" s="6"/>
      <c r="R122" s="6"/>
      <c r="S122" s="6"/>
      <c r="T122" s="6"/>
      <c r="U122" s="6"/>
    </row>
    <row r="123" spans="1:21">
      <c r="A123" s="82"/>
      <c r="B123" s="83"/>
      <c r="C123" s="82"/>
      <c r="D123" s="82"/>
      <c r="E123" s="82"/>
      <c r="F123" s="82"/>
      <c r="G123" s="222"/>
      <c r="H123" s="222"/>
      <c r="I123" s="222"/>
      <c r="J123" s="6"/>
      <c r="K123" s="6"/>
      <c r="L123" s="6"/>
      <c r="M123" s="6"/>
      <c r="N123" s="6"/>
      <c r="O123" s="6"/>
      <c r="P123" s="6"/>
      <c r="Q123" s="6"/>
      <c r="R123" s="6"/>
      <c r="S123" s="6"/>
      <c r="T123" s="6"/>
      <c r="U123" s="6"/>
    </row>
    <row r="124" spans="1:21">
      <c r="A124" s="82"/>
      <c r="B124" s="83"/>
      <c r="C124" s="82"/>
      <c r="D124" s="82"/>
      <c r="E124" s="82"/>
      <c r="F124" s="82"/>
      <c r="G124" s="222"/>
      <c r="H124" s="222"/>
      <c r="I124" s="222"/>
      <c r="J124" s="6"/>
      <c r="K124" s="6"/>
      <c r="L124" s="6"/>
      <c r="M124" s="6"/>
      <c r="N124" s="6"/>
      <c r="O124" s="6"/>
      <c r="P124" s="6"/>
      <c r="Q124" s="6"/>
      <c r="R124" s="6"/>
      <c r="S124" s="6"/>
      <c r="T124" s="6"/>
      <c r="U124" s="6"/>
    </row>
    <row r="125" spans="1:21">
      <c r="A125" s="82"/>
      <c r="B125" s="83"/>
      <c r="C125" s="82"/>
      <c r="D125" s="82"/>
      <c r="E125" s="82"/>
      <c r="F125" s="82"/>
      <c r="G125" s="222"/>
      <c r="H125" s="222"/>
      <c r="I125" s="222"/>
      <c r="J125" s="6"/>
      <c r="K125" s="6"/>
      <c r="L125" s="6"/>
      <c r="M125" s="6"/>
      <c r="N125" s="6"/>
      <c r="O125" s="6"/>
      <c r="P125" s="6"/>
      <c r="Q125" s="6"/>
      <c r="R125" s="6"/>
      <c r="S125" s="6"/>
      <c r="T125" s="6"/>
      <c r="U125" s="6"/>
    </row>
    <row r="126" spans="1:21">
      <c r="A126" s="82"/>
      <c r="B126" s="83"/>
      <c r="C126" s="82"/>
      <c r="D126" s="82"/>
      <c r="E126" s="82"/>
      <c r="F126" s="82"/>
      <c r="G126" s="222"/>
      <c r="H126" s="222"/>
      <c r="I126" s="222"/>
      <c r="J126" s="6"/>
      <c r="K126" s="6"/>
      <c r="L126" s="6"/>
      <c r="M126" s="6"/>
      <c r="N126" s="6"/>
      <c r="O126" s="6"/>
      <c r="P126" s="6"/>
      <c r="Q126" s="6"/>
      <c r="R126" s="6"/>
      <c r="S126" s="6"/>
      <c r="T126" s="6"/>
      <c r="U126" s="6"/>
    </row>
    <row r="127" spans="1:21">
      <c r="A127" s="82"/>
      <c r="B127" s="83"/>
      <c r="C127" s="82"/>
      <c r="D127" s="82"/>
      <c r="E127" s="82"/>
      <c r="F127" s="82"/>
      <c r="G127" s="222"/>
      <c r="H127" s="222"/>
      <c r="I127" s="222"/>
      <c r="J127" s="6"/>
      <c r="K127" s="6"/>
      <c r="L127" s="6"/>
      <c r="M127" s="6"/>
      <c r="N127" s="6"/>
      <c r="O127" s="6"/>
      <c r="P127" s="6"/>
      <c r="Q127" s="6"/>
      <c r="R127" s="6"/>
      <c r="S127" s="6"/>
      <c r="T127" s="6"/>
      <c r="U127" s="6"/>
    </row>
    <row r="128" spans="1:21">
      <c r="A128" s="82"/>
      <c r="B128" s="83"/>
      <c r="C128" s="82"/>
      <c r="D128" s="82"/>
      <c r="E128" s="82"/>
      <c r="F128" s="82"/>
      <c r="G128" s="222"/>
      <c r="H128" s="222"/>
      <c r="I128" s="222"/>
      <c r="J128" s="6"/>
      <c r="K128" s="6"/>
      <c r="L128" s="6"/>
      <c r="M128" s="6"/>
      <c r="N128" s="6"/>
      <c r="O128" s="6"/>
      <c r="P128" s="6"/>
      <c r="Q128" s="6"/>
      <c r="R128" s="6"/>
      <c r="S128" s="6"/>
      <c r="T128" s="6"/>
      <c r="U128" s="6"/>
    </row>
    <row r="129" spans="1:21">
      <c r="A129" s="82"/>
      <c r="B129" s="83"/>
      <c r="C129" s="82"/>
      <c r="D129" s="82"/>
      <c r="E129" s="82"/>
      <c r="F129" s="82"/>
      <c r="G129" s="222"/>
      <c r="H129" s="222"/>
      <c r="I129" s="222"/>
      <c r="J129" s="6"/>
      <c r="K129" s="6"/>
      <c r="L129" s="6"/>
      <c r="M129" s="6"/>
      <c r="N129" s="6"/>
      <c r="O129" s="6"/>
      <c r="P129" s="6"/>
      <c r="Q129" s="6"/>
      <c r="R129" s="6"/>
      <c r="S129" s="6"/>
      <c r="T129" s="6"/>
      <c r="U129" s="6"/>
    </row>
    <row r="130" spans="1:21">
      <c r="A130" s="82"/>
      <c r="B130" s="83"/>
      <c r="C130" s="82"/>
      <c r="D130" s="82"/>
      <c r="E130" s="82"/>
      <c r="F130" s="82"/>
      <c r="G130" s="222"/>
      <c r="H130" s="222"/>
      <c r="I130" s="222"/>
      <c r="J130" s="6"/>
      <c r="K130" s="6"/>
      <c r="L130" s="6"/>
      <c r="M130" s="6"/>
      <c r="N130" s="6"/>
      <c r="O130" s="6"/>
      <c r="P130" s="6"/>
      <c r="Q130" s="6"/>
      <c r="R130" s="6"/>
      <c r="S130" s="6"/>
      <c r="T130" s="6"/>
      <c r="U130" s="6"/>
    </row>
    <row r="131" spans="1:21">
      <c r="A131" s="82"/>
      <c r="B131" s="83"/>
      <c r="C131" s="82"/>
      <c r="D131" s="82"/>
      <c r="E131" s="82"/>
      <c r="F131" s="82"/>
      <c r="G131" s="222"/>
      <c r="H131" s="222"/>
      <c r="I131" s="222"/>
      <c r="J131" s="6"/>
      <c r="K131" s="6"/>
      <c r="L131" s="6"/>
      <c r="M131" s="6"/>
      <c r="N131" s="6"/>
      <c r="O131" s="6"/>
      <c r="P131" s="6"/>
      <c r="Q131" s="6"/>
      <c r="R131" s="6"/>
      <c r="S131" s="6"/>
      <c r="T131" s="6"/>
      <c r="U131" s="6"/>
    </row>
    <row r="132" spans="1:21">
      <c r="A132" s="82"/>
      <c r="B132" s="83"/>
      <c r="C132" s="82"/>
      <c r="D132" s="82"/>
      <c r="E132" s="82"/>
      <c r="F132" s="82"/>
      <c r="G132" s="222"/>
      <c r="H132" s="222"/>
      <c r="I132" s="222"/>
      <c r="J132" s="6"/>
      <c r="K132" s="6"/>
      <c r="L132" s="6"/>
      <c r="M132" s="6"/>
      <c r="N132" s="6"/>
      <c r="O132" s="6"/>
      <c r="P132" s="6"/>
      <c r="Q132" s="6"/>
      <c r="R132" s="6"/>
      <c r="S132" s="6"/>
      <c r="T132" s="6"/>
      <c r="U132" s="6"/>
    </row>
    <row r="133" spans="1:21">
      <c r="A133" s="82"/>
      <c r="B133" s="83"/>
      <c r="C133" s="82"/>
      <c r="D133" s="82"/>
      <c r="E133" s="82"/>
      <c r="F133" s="82"/>
      <c r="G133" s="222"/>
      <c r="H133" s="222"/>
      <c r="I133" s="222"/>
      <c r="J133" s="6"/>
      <c r="K133" s="6"/>
      <c r="L133" s="6"/>
      <c r="M133" s="6"/>
      <c r="N133" s="6"/>
      <c r="O133" s="6"/>
      <c r="P133" s="6"/>
      <c r="Q133" s="6"/>
      <c r="R133" s="6"/>
      <c r="S133" s="6"/>
      <c r="T133" s="6"/>
      <c r="U133" s="6"/>
    </row>
    <row r="134" spans="1:21">
      <c r="A134" s="82"/>
      <c r="B134" s="83"/>
      <c r="C134" s="82"/>
      <c r="D134" s="82"/>
      <c r="E134" s="82"/>
      <c r="F134" s="82"/>
      <c r="G134" s="222"/>
      <c r="H134" s="222"/>
      <c r="I134" s="222"/>
      <c r="J134" s="6"/>
      <c r="K134" s="6"/>
      <c r="L134" s="6"/>
      <c r="M134" s="6"/>
      <c r="N134" s="6"/>
      <c r="O134" s="6"/>
      <c r="P134" s="6"/>
      <c r="Q134" s="6"/>
      <c r="R134" s="6"/>
      <c r="S134" s="6"/>
      <c r="T134" s="6"/>
      <c r="U134" s="6"/>
    </row>
    <row r="135" spans="1:21">
      <c r="A135" s="82"/>
      <c r="B135" s="83"/>
      <c r="C135" s="82"/>
      <c r="D135" s="82"/>
      <c r="E135" s="82"/>
      <c r="F135" s="82"/>
      <c r="G135" s="222"/>
      <c r="H135" s="222"/>
      <c r="I135" s="222"/>
      <c r="J135" s="6"/>
      <c r="K135" s="6"/>
      <c r="L135" s="6"/>
      <c r="M135" s="6"/>
      <c r="N135" s="6"/>
      <c r="O135" s="6"/>
      <c r="P135" s="6"/>
      <c r="Q135" s="6"/>
      <c r="R135" s="6"/>
      <c r="S135" s="6"/>
      <c r="T135" s="6"/>
      <c r="U135" s="6"/>
    </row>
    <row r="136" spans="1:21">
      <c r="A136" s="82"/>
      <c r="B136" s="83"/>
      <c r="C136" s="82"/>
      <c r="D136" s="82"/>
      <c r="E136" s="82"/>
      <c r="F136" s="82"/>
      <c r="G136" s="222"/>
      <c r="H136" s="222"/>
      <c r="I136" s="222"/>
      <c r="J136" s="6"/>
      <c r="K136" s="6"/>
      <c r="L136" s="6"/>
      <c r="M136" s="6"/>
      <c r="N136" s="6"/>
      <c r="O136" s="6"/>
      <c r="P136" s="6"/>
      <c r="Q136" s="6"/>
      <c r="R136" s="6"/>
      <c r="S136" s="6"/>
      <c r="T136" s="6"/>
      <c r="U136" s="6"/>
    </row>
    <row r="137" spans="1:21">
      <c r="A137" s="82"/>
      <c r="B137" s="83"/>
      <c r="C137" s="82"/>
      <c r="D137" s="82"/>
      <c r="E137" s="82"/>
      <c r="F137" s="82"/>
      <c r="G137" s="222"/>
      <c r="H137" s="222"/>
      <c r="I137" s="222"/>
      <c r="J137" s="6"/>
      <c r="K137" s="6"/>
      <c r="L137" s="6"/>
      <c r="M137" s="6"/>
      <c r="N137" s="6"/>
      <c r="O137" s="6"/>
      <c r="P137" s="6"/>
      <c r="Q137" s="6"/>
      <c r="R137" s="6"/>
      <c r="S137" s="6"/>
      <c r="T137" s="6"/>
      <c r="U137" s="6"/>
    </row>
    <row r="138" spans="1:21">
      <c r="A138" s="82"/>
      <c r="B138" s="83"/>
      <c r="C138" s="82"/>
      <c r="D138" s="82"/>
      <c r="E138" s="82"/>
      <c r="F138" s="82"/>
      <c r="G138" s="222"/>
      <c r="H138" s="222"/>
      <c r="I138" s="222"/>
      <c r="J138" s="6"/>
      <c r="K138" s="6"/>
      <c r="L138" s="6"/>
      <c r="M138" s="6"/>
      <c r="N138" s="6"/>
      <c r="O138" s="6"/>
      <c r="P138" s="6"/>
      <c r="Q138" s="6"/>
      <c r="R138" s="6"/>
      <c r="S138" s="6"/>
      <c r="T138" s="6"/>
      <c r="U138" s="6"/>
    </row>
    <row r="139" spans="1:21">
      <c r="A139" s="82"/>
      <c r="B139" s="83"/>
      <c r="C139" s="82"/>
      <c r="D139" s="82"/>
      <c r="E139" s="82"/>
      <c r="F139" s="82"/>
      <c r="G139" s="222"/>
      <c r="H139" s="222"/>
      <c r="I139" s="222"/>
      <c r="J139" s="6"/>
      <c r="K139" s="6"/>
      <c r="L139" s="6"/>
      <c r="M139" s="6"/>
      <c r="N139" s="6"/>
      <c r="O139" s="6"/>
      <c r="P139" s="6"/>
      <c r="Q139" s="6"/>
      <c r="R139" s="6"/>
      <c r="S139" s="6"/>
      <c r="T139" s="6"/>
      <c r="U139" s="6"/>
    </row>
    <row r="140" spans="1:21">
      <c r="A140" s="82"/>
      <c r="B140" s="83"/>
      <c r="C140" s="82"/>
      <c r="D140" s="82"/>
      <c r="E140" s="82"/>
      <c r="F140" s="82"/>
      <c r="G140" s="222"/>
      <c r="H140" s="222"/>
      <c r="I140" s="222"/>
      <c r="J140" s="6"/>
      <c r="K140" s="6"/>
      <c r="L140" s="6"/>
      <c r="M140" s="6"/>
      <c r="N140" s="6"/>
      <c r="O140" s="6"/>
      <c r="P140" s="6"/>
      <c r="Q140" s="6"/>
      <c r="R140" s="6"/>
      <c r="S140" s="6"/>
      <c r="T140" s="6"/>
      <c r="U140" s="6"/>
    </row>
    <row r="141" spans="1:21">
      <c r="A141" s="82"/>
      <c r="B141" s="83"/>
      <c r="C141" s="82"/>
      <c r="D141" s="82"/>
      <c r="E141" s="82"/>
      <c r="F141" s="82"/>
      <c r="G141" s="222"/>
      <c r="H141" s="222"/>
      <c r="I141" s="222"/>
      <c r="J141" s="6"/>
      <c r="K141" s="6"/>
      <c r="L141" s="6"/>
      <c r="M141" s="6"/>
      <c r="N141" s="6"/>
      <c r="O141" s="6"/>
      <c r="P141" s="6"/>
      <c r="Q141" s="6"/>
      <c r="R141" s="6"/>
      <c r="S141" s="6"/>
      <c r="T141" s="6"/>
      <c r="U141" s="6"/>
    </row>
    <row r="142" spans="1:21">
      <c r="A142" s="82"/>
      <c r="B142" s="83"/>
      <c r="C142" s="82"/>
      <c r="D142" s="82"/>
      <c r="E142" s="82"/>
      <c r="F142" s="82"/>
      <c r="G142" s="222"/>
      <c r="H142" s="222"/>
      <c r="I142" s="222"/>
      <c r="J142" s="6"/>
      <c r="K142" s="6"/>
      <c r="L142" s="6"/>
      <c r="M142" s="6"/>
      <c r="N142" s="6"/>
      <c r="O142" s="6"/>
      <c r="P142" s="6"/>
      <c r="Q142" s="6"/>
      <c r="R142" s="6"/>
      <c r="S142" s="6"/>
      <c r="T142" s="6"/>
      <c r="U142" s="6"/>
    </row>
    <row r="143" spans="1:21">
      <c r="A143" s="82"/>
      <c r="B143" s="83"/>
      <c r="C143" s="82"/>
      <c r="D143" s="82"/>
      <c r="E143" s="82"/>
      <c r="F143" s="82"/>
      <c r="G143" s="222"/>
      <c r="H143" s="222"/>
      <c r="I143" s="222"/>
      <c r="J143" s="6"/>
      <c r="K143" s="6"/>
      <c r="L143" s="6"/>
      <c r="M143" s="6"/>
      <c r="N143" s="6"/>
      <c r="O143" s="6"/>
      <c r="P143" s="6"/>
      <c r="Q143" s="6"/>
      <c r="R143" s="6"/>
      <c r="S143" s="6"/>
      <c r="T143" s="6"/>
      <c r="U143" s="6"/>
    </row>
    <row r="144" spans="1:21">
      <c r="A144" s="82"/>
      <c r="B144" s="83"/>
      <c r="C144" s="82"/>
      <c r="D144" s="82"/>
      <c r="E144" s="82"/>
      <c r="F144" s="82"/>
      <c r="G144" s="222"/>
      <c r="H144" s="222"/>
      <c r="I144" s="222"/>
      <c r="J144" s="6"/>
      <c r="K144" s="6"/>
      <c r="L144" s="6"/>
      <c r="M144" s="6"/>
      <c r="N144" s="6"/>
      <c r="O144" s="6"/>
      <c r="P144" s="6"/>
      <c r="Q144" s="6"/>
      <c r="R144" s="6"/>
      <c r="S144" s="6"/>
      <c r="T144" s="6"/>
      <c r="U144" s="6"/>
    </row>
    <row r="145" spans="1:21">
      <c r="A145" s="82"/>
      <c r="B145" s="83"/>
      <c r="C145" s="82"/>
      <c r="D145" s="82"/>
      <c r="E145" s="82"/>
      <c r="F145" s="82"/>
      <c r="G145" s="222"/>
      <c r="H145" s="222"/>
      <c r="I145" s="222"/>
      <c r="J145" s="6"/>
      <c r="K145" s="6"/>
      <c r="L145" s="6"/>
      <c r="M145" s="6"/>
      <c r="N145" s="6"/>
      <c r="O145" s="6"/>
      <c r="P145" s="6"/>
      <c r="Q145" s="6"/>
      <c r="R145" s="6"/>
      <c r="S145" s="6"/>
      <c r="T145" s="6"/>
      <c r="U145" s="6"/>
    </row>
    <row r="146" spans="1:21">
      <c r="A146" s="82"/>
      <c r="B146" s="83"/>
      <c r="C146" s="82"/>
      <c r="D146" s="82"/>
      <c r="E146" s="82"/>
      <c r="F146" s="82"/>
      <c r="G146" s="222"/>
      <c r="H146" s="222"/>
      <c r="I146" s="222"/>
      <c r="J146" s="6"/>
      <c r="K146" s="6"/>
      <c r="L146" s="6"/>
      <c r="M146" s="6"/>
      <c r="N146" s="6"/>
      <c r="O146" s="6"/>
      <c r="P146" s="6"/>
      <c r="Q146" s="6"/>
      <c r="R146" s="6"/>
      <c r="S146" s="6"/>
      <c r="T146" s="6"/>
      <c r="U146" s="6"/>
    </row>
    <row r="147" spans="1:21">
      <c r="A147" s="82"/>
      <c r="B147" s="83"/>
      <c r="C147" s="82"/>
      <c r="D147" s="82"/>
      <c r="E147" s="82"/>
      <c r="F147" s="82"/>
      <c r="G147" s="222"/>
      <c r="H147" s="222"/>
      <c r="I147" s="222"/>
      <c r="J147" s="6"/>
      <c r="K147" s="6"/>
      <c r="L147" s="6"/>
      <c r="M147" s="6"/>
      <c r="N147" s="6"/>
      <c r="O147" s="6"/>
      <c r="P147" s="6"/>
      <c r="Q147" s="6"/>
      <c r="R147" s="6"/>
      <c r="S147" s="6"/>
      <c r="T147" s="6"/>
      <c r="U147" s="6"/>
    </row>
    <row r="148" spans="1:21">
      <c r="A148" s="82"/>
      <c r="B148" s="83"/>
      <c r="C148" s="82"/>
      <c r="D148" s="82"/>
      <c r="E148" s="82"/>
      <c r="F148" s="82"/>
      <c r="G148" s="222"/>
      <c r="H148" s="222"/>
      <c r="I148" s="222"/>
      <c r="J148" s="6"/>
      <c r="K148" s="6"/>
      <c r="L148" s="6"/>
      <c r="M148" s="6"/>
      <c r="N148" s="6"/>
      <c r="O148" s="6"/>
      <c r="P148" s="6"/>
      <c r="Q148" s="6"/>
      <c r="R148" s="6"/>
      <c r="S148" s="6"/>
      <c r="T148" s="6"/>
      <c r="U148" s="6"/>
    </row>
    <row r="149" spans="1:21">
      <c r="A149" s="82"/>
      <c r="B149" s="83"/>
      <c r="C149" s="82"/>
      <c r="D149" s="82"/>
      <c r="E149" s="82"/>
      <c r="F149" s="82"/>
      <c r="G149" s="222"/>
      <c r="H149" s="222"/>
      <c r="I149" s="222"/>
      <c r="J149" s="6"/>
      <c r="K149" s="6"/>
      <c r="L149" s="6"/>
      <c r="M149" s="6"/>
      <c r="N149" s="6"/>
      <c r="O149" s="6"/>
      <c r="P149" s="6"/>
      <c r="Q149" s="6"/>
      <c r="R149" s="6"/>
      <c r="S149" s="6"/>
      <c r="T149" s="6"/>
      <c r="U149" s="6"/>
    </row>
    <row r="150" spans="1:21">
      <c r="A150" s="82"/>
      <c r="B150" s="83"/>
      <c r="C150" s="82"/>
      <c r="D150" s="82"/>
      <c r="E150" s="82"/>
      <c r="F150" s="82"/>
      <c r="G150" s="222"/>
      <c r="H150" s="222"/>
      <c r="I150" s="222"/>
      <c r="J150" s="6"/>
      <c r="K150" s="6"/>
      <c r="L150" s="6"/>
      <c r="M150" s="6"/>
      <c r="N150" s="6"/>
      <c r="O150" s="6"/>
      <c r="P150" s="6"/>
      <c r="Q150" s="6"/>
      <c r="R150" s="6"/>
      <c r="S150" s="6"/>
      <c r="T150" s="6"/>
      <c r="U150" s="6"/>
    </row>
    <row r="151" spans="1:21">
      <c r="A151" s="82"/>
      <c r="B151" s="83"/>
      <c r="C151" s="82"/>
      <c r="D151" s="82"/>
      <c r="E151" s="82"/>
      <c r="F151" s="82"/>
      <c r="G151" s="222"/>
      <c r="H151" s="222"/>
      <c r="I151" s="222"/>
      <c r="J151" s="6"/>
      <c r="K151" s="6"/>
      <c r="L151" s="6"/>
      <c r="M151" s="6"/>
      <c r="N151" s="6"/>
      <c r="O151" s="6"/>
      <c r="P151" s="6"/>
      <c r="Q151" s="6"/>
      <c r="R151" s="6"/>
      <c r="S151" s="6"/>
      <c r="T151" s="6"/>
      <c r="U151" s="6"/>
    </row>
    <row r="152" spans="1:21">
      <c r="A152" s="82"/>
      <c r="B152" s="83"/>
      <c r="C152" s="82"/>
      <c r="D152" s="82"/>
      <c r="E152" s="82"/>
      <c r="F152" s="82"/>
      <c r="G152" s="222"/>
      <c r="H152" s="222"/>
      <c r="I152" s="222"/>
      <c r="J152" s="6"/>
      <c r="K152" s="6"/>
      <c r="L152" s="6"/>
      <c r="M152" s="6"/>
      <c r="N152" s="6"/>
      <c r="O152" s="6"/>
      <c r="P152" s="6"/>
      <c r="Q152" s="6"/>
      <c r="R152" s="6"/>
      <c r="S152" s="6"/>
      <c r="T152" s="6"/>
      <c r="U152" s="6"/>
    </row>
    <row r="153" spans="1:21">
      <c r="A153" s="82"/>
      <c r="B153" s="83"/>
      <c r="C153" s="82"/>
      <c r="D153" s="82"/>
      <c r="E153" s="82"/>
      <c r="F153" s="82"/>
      <c r="G153" s="222"/>
      <c r="H153" s="222"/>
      <c r="I153" s="222"/>
      <c r="J153" s="6"/>
      <c r="K153" s="6"/>
      <c r="L153" s="6"/>
      <c r="M153" s="6"/>
      <c r="N153" s="6"/>
      <c r="O153" s="6"/>
      <c r="P153" s="6"/>
      <c r="Q153" s="6"/>
      <c r="R153" s="6"/>
      <c r="S153" s="6"/>
      <c r="T153" s="6"/>
      <c r="U153" s="6"/>
    </row>
    <row r="154" spans="1:21">
      <c r="A154" s="82"/>
      <c r="B154" s="83"/>
      <c r="C154" s="82"/>
      <c r="D154" s="82"/>
      <c r="E154" s="82"/>
      <c r="F154" s="82"/>
      <c r="G154" s="222"/>
      <c r="H154" s="222"/>
      <c r="I154" s="222"/>
      <c r="J154" s="6"/>
      <c r="K154" s="6"/>
      <c r="L154" s="6"/>
      <c r="M154" s="6"/>
      <c r="N154" s="6"/>
      <c r="O154" s="6"/>
      <c r="P154" s="6"/>
      <c r="Q154" s="6"/>
      <c r="R154" s="6"/>
      <c r="S154" s="6"/>
      <c r="T154" s="6"/>
      <c r="U154" s="6"/>
    </row>
    <row r="155" spans="1:21">
      <c r="A155" s="82"/>
      <c r="B155" s="83"/>
      <c r="C155" s="82"/>
      <c r="D155" s="82"/>
      <c r="E155" s="82"/>
      <c r="F155" s="82"/>
      <c r="G155" s="222"/>
      <c r="H155" s="222"/>
      <c r="I155" s="222"/>
      <c r="J155" s="6"/>
      <c r="K155" s="6"/>
      <c r="L155" s="6"/>
      <c r="M155" s="6"/>
      <c r="N155" s="6"/>
      <c r="O155" s="6"/>
      <c r="P155" s="6"/>
      <c r="Q155" s="6"/>
      <c r="R155" s="6"/>
      <c r="S155" s="6"/>
      <c r="T155" s="6"/>
      <c r="U155" s="6"/>
    </row>
    <row r="156" spans="1:21">
      <c r="A156" s="82"/>
      <c r="B156" s="83"/>
      <c r="C156" s="82"/>
      <c r="D156" s="82"/>
      <c r="E156" s="82"/>
      <c r="F156" s="82"/>
      <c r="G156" s="222"/>
      <c r="H156" s="222"/>
      <c r="I156" s="222"/>
      <c r="J156" s="6"/>
      <c r="K156" s="6"/>
      <c r="L156" s="6"/>
      <c r="M156" s="6"/>
      <c r="N156" s="6"/>
      <c r="O156" s="6"/>
      <c r="P156" s="6"/>
      <c r="Q156" s="6"/>
      <c r="R156" s="6"/>
      <c r="S156" s="6"/>
      <c r="T156" s="6"/>
      <c r="U156" s="6"/>
    </row>
    <row r="157" spans="1:21">
      <c r="A157" s="82"/>
      <c r="B157" s="83"/>
      <c r="C157" s="82"/>
      <c r="D157" s="82"/>
      <c r="E157" s="82"/>
      <c r="F157" s="82"/>
      <c r="G157" s="222"/>
      <c r="H157" s="222"/>
      <c r="I157" s="222"/>
      <c r="J157" s="6"/>
      <c r="K157" s="6"/>
      <c r="L157" s="6"/>
      <c r="M157" s="6"/>
      <c r="N157" s="6"/>
      <c r="O157" s="6"/>
      <c r="P157" s="6"/>
      <c r="Q157" s="6"/>
      <c r="R157" s="6"/>
      <c r="S157" s="6"/>
      <c r="T157" s="6"/>
      <c r="U157" s="6"/>
    </row>
    <row r="158" spans="1:21">
      <c r="A158" s="82"/>
      <c r="B158" s="83"/>
      <c r="C158" s="82"/>
      <c r="D158" s="82"/>
      <c r="E158" s="82"/>
      <c r="F158" s="82"/>
      <c r="G158" s="222"/>
      <c r="H158" s="222"/>
      <c r="I158" s="222"/>
      <c r="J158" s="6"/>
      <c r="K158" s="6"/>
      <c r="L158" s="6"/>
      <c r="M158" s="6"/>
      <c r="N158" s="6"/>
      <c r="O158" s="6"/>
      <c r="P158" s="6"/>
      <c r="Q158" s="6"/>
      <c r="R158" s="6"/>
      <c r="S158" s="6"/>
      <c r="T158" s="6"/>
      <c r="U158" s="6"/>
    </row>
    <row r="159" spans="1:21">
      <c r="A159" s="82"/>
      <c r="B159" s="83"/>
      <c r="C159" s="82"/>
      <c r="D159" s="82"/>
      <c r="E159" s="82"/>
      <c r="F159" s="82"/>
      <c r="G159" s="222"/>
      <c r="H159" s="222"/>
      <c r="I159" s="222"/>
      <c r="J159" s="6"/>
      <c r="K159" s="6"/>
      <c r="L159" s="6"/>
      <c r="M159" s="6"/>
      <c r="N159" s="6"/>
      <c r="O159" s="6"/>
      <c r="P159" s="6"/>
      <c r="Q159" s="6"/>
      <c r="R159" s="6"/>
      <c r="S159" s="6"/>
      <c r="T159" s="6"/>
      <c r="U159" s="6"/>
    </row>
    <row r="160" spans="1:21">
      <c r="A160" s="82"/>
      <c r="B160" s="83"/>
      <c r="C160" s="82"/>
      <c r="D160" s="82"/>
      <c r="E160" s="82"/>
      <c r="F160" s="82"/>
      <c r="G160" s="222"/>
      <c r="H160" s="222"/>
      <c r="I160" s="222"/>
      <c r="J160" s="6"/>
      <c r="K160" s="6"/>
      <c r="L160" s="6"/>
      <c r="M160" s="6"/>
      <c r="N160" s="6"/>
      <c r="O160" s="6"/>
      <c r="P160" s="6"/>
      <c r="Q160" s="6"/>
      <c r="R160" s="6"/>
      <c r="S160" s="6"/>
      <c r="T160" s="6"/>
      <c r="U160" s="6"/>
    </row>
    <row r="161" spans="1:21">
      <c r="A161" s="82"/>
      <c r="B161" s="83"/>
      <c r="C161" s="82"/>
      <c r="D161" s="82"/>
      <c r="E161" s="82"/>
      <c r="F161" s="82"/>
      <c r="G161" s="222"/>
      <c r="H161" s="222"/>
      <c r="I161" s="222"/>
      <c r="J161" s="6"/>
      <c r="K161" s="6"/>
      <c r="L161" s="6"/>
      <c r="M161" s="6"/>
      <c r="N161" s="6"/>
      <c r="O161" s="6"/>
      <c r="P161" s="6"/>
      <c r="Q161" s="6"/>
      <c r="R161" s="6"/>
      <c r="S161" s="6"/>
      <c r="T161" s="6"/>
      <c r="U161" s="6"/>
    </row>
    <row r="162" spans="1:21">
      <c r="A162" s="82"/>
      <c r="B162" s="83"/>
      <c r="C162" s="82"/>
      <c r="D162" s="82"/>
      <c r="E162" s="82"/>
      <c r="F162" s="82"/>
      <c r="G162" s="222"/>
      <c r="H162" s="222"/>
      <c r="I162" s="222"/>
      <c r="J162" s="6"/>
      <c r="K162" s="6"/>
      <c r="L162" s="6"/>
      <c r="M162" s="6"/>
      <c r="N162" s="6"/>
      <c r="O162" s="6"/>
      <c r="P162" s="6"/>
      <c r="Q162" s="6"/>
      <c r="R162" s="6"/>
      <c r="S162" s="6"/>
      <c r="T162" s="6"/>
      <c r="U162" s="6"/>
    </row>
    <row r="163" spans="1:21">
      <c r="A163" s="82"/>
      <c r="B163" s="83"/>
      <c r="C163" s="82"/>
      <c r="D163" s="82"/>
      <c r="E163" s="82"/>
      <c r="F163" s="82"/>
      <c r="G163" s="222"/>
      <c r="H163" s="222"/>
      <c r="I163" s="222"/>
      <c r="J163" s="6"/>
      <c r="K163" s="6"/>
      <c r="L163" s="6"/>
      <c r="M163" s="6"/>
      <c r="N163" s="6"/>
      <c r="O163" s="6"/>
      <c r="P163" s="6"/>
      <c r="Q163" s="6"/>
      <c r="R163" s="6"/>
      <c r="S163" s="6"/>
      <c r="T163" s="6"/>
      <c r="U163" s="6"/>
    </row>
    <row r="164" spans="1:21">
      <c r="A164" s="82"/>
      <c r="B164" s="83"/>
      <c r="C164" s="82"/>
      <c r="D164" s="82"/>
      <c r="E164" s="82"/>
      <c r="F164" s="82"/>
      <c r="G164" s="222"/>
      <c r="H164" s="222"/>
      <c r="I164" s="222"/>
      <c r="J164" s="6"/>
      <c r="K164" s="6"/>
      <c r="L164" s="6"/>
      <c r="M164" s="6"/>
      <c r="N164" s="6"/>
      <c r="O164" s="6"/>
      <c r="P164" s="6"/>
      <c r="Q164" s="6"/>
      <c r="R164" s="6"/>
      <c r="S164" s="6"/>
      <c r="T164" s="6"/>
      <c r="U164" s="6"/>
    </row>
    <row r="165" spans="1:21">
      <c r="A165" s="82"/>
      <c r="B165" s="83"/>
      <c r="C165" s="82"/>
      <c r="D165" s="82"/>
      <c r="E165" s="82"/>
      <c r="F165" s="82"/>
      <c r="G165" s="222"/>
      <c r="H165" s="222"/>
      <c r="I165" s="222"/>
      <c r="J165" s="6"/>
      <c r="K165" s="6"/>
      <c r="L165" s="6"/>
      <c r="M165" s="6"/>
      <c r="N165" s="6"/>
      <c r="O165" s="6"/>
      <c r="P165" s="6"/>
      <c r="Q165" s="6"/>
      <c r="R165" s="6"/>
      <c r="S165" s="6"/>
      <c r="T165" s="6"/>
      <c r="U165" s="6"/>
    </row>
    <row r="166" spans="1:21">
      <c r="A166" s="82"/>
      <c r="B166" s="83"/>
      <c r="C166" s="82"/>
      <c r="D166" s="82"/>
      <c r="E166" s="82"/>
      <c r="F166" s="82"/>
      <c r="G166" s="222"/>
      <c r="H166" s="222"/>
      <c r="I166" s="222"/>
      <c r="J166" s="6"/>
      <c r="K166" s="6"/>
      <c r="L166" s="6"/>
      <c r="M166" s="6"/>
      <c r="N166" s="6"/>
      <c r="O166" s="6"/>
      <c r="P166" s="6"/>
      <c r="Q166" s="6"/>
      <c r="R166" s="6"/>
      <c r="S166" s="6"/>
      <c r="T166" s="6"/>
      <c r="U166" s="6"/>
    </row>
    <row r="167" spans="1:21">
      <c r="A167" s="82"/>
      <c r="B167" s="83"/>
      <c r="C167" s="82"/>
      <c r="D167" s="82"/>
      <c r="E167" s="82"/>
      <c r="F167" s="82"/>
      <c r="G167" s="222"/>
      <c r="H167" s="222"/>
      <c r="I167" s="222"/>
      <c r="J167" s="6"/>
      <c r="K167" s="6"/>
      <c r="L167" s="6"/>
      <c r="M167" s="6"/>
      <c r="N167" s="6"/>
      <c r="O167" s="6"/>
      <c r="P167" s="6"/>
      <c r="Q167" s="6"/>
      <c r="R167" s="6"/>
      <c r="S167" s="6"/>
      <c r="T167" s="6"/>
      <c r="U167" s="6"/>
    </row>
    <row r="168" spans="1:21">
      <c r="A168" s="82"/>
      <c r="B168" s="83"/>
      <c r="C168" s="82"/>
      <c r="D168" s="82"/>
      <c r="E168" s="82"/>
      <c r="F168" s="82"/>
      <c r="G168" s="222"/>
      <c r="H168" s="222"/>
      <c r="I168" s="222"/>
      <c r="J168" s="6"/>
      <c r="K168" s="6"/>
      <c r="L168" s="6"/>
      <c r="M168" s="6"/>
      <c r="N168" s="6"/>
      <c r="O168" s="6"/>
      <c r="P168" s="6"/>
      <c r="Q168" s="6"/>
      <c r="R168" s="6"/>
      <c r="S168" s="6"/>
      <c r="T168" s="6"/>
      <c r="U168" s="6"/>
    </row>
    <row r="169" spans="1:21">
      <c r="A169" s="82"/>
      <c r="B169" s="83"/>
      <c r="C169" s="82"/>
      <c r="D169" s="82"/>
      <c r="E169" s="82"/>
      <c r="F169" s="82"/>
      <c r="G169" s="222"/>
      <c r="H169" s="222"/>
      <c r="I169" s="222"/>
      <c r="J169" s="6"/>
      <c r="K169" s="6"/>
      <c r="L169" s="6"/>
      <c r="M169" s="6"/>
      <c r="N169" s="6"/>
      <c r="O169" s="6"/>
      <c r="P169" s="6"/>
      <c r="Q169" s="6"/>
      <c r="R169" s="6"/>
      <c r="S169" s="6"/>
      <c r="T169" s="6"/>
      <c r="U169" s="6"/>
    </row>
    <row r="170" spans="1:21">
      <c r="A170" s="82"/>
      <c r="B170" s="83"/>
      <c r="C170" s="82"/>
      <c r="D170" s="82"/>
      <c r="E170" s="82"/>
      <c r="F170" s="82"/>
      <c r="G170" s="222"/>
      <c r="H170" s="222"/>
      <c r="I170" s="222"/>
      <c r="J170" s="6"/>
      <c r="K170" s="6"/>
      <c r="L170" s="6"/>
      <c r="M170" s="6"/>
      <c r="N170" s="6"/>
      <c r="O170" s="6"/>
      <c r="P170" s="6"/>
      <c r="Q170" s="6"/>
      <c r="R170" s="6"/>
      <c r="S170" s="6"/>
      <c r="T170" s="6"/>
      <c r="U170" s="6"/>
    </row>
    <row r="171" spans="1:21">
      <c r="A171" s="82"/>
      <c r="B171" s="83"/>
      <c r="C171" s="82"/>
      <c r="D171" s="82"/>
      <c r="E171" s="82"/>
      <c r="F171" s="82"/>
      <c r="G171" s="222"/>
      <c r="H171" s="222"/>
      <c r="I171" s="222"/>
      <c r="J171" s="6"/>
      <c r="K171" s="6"/>
      <c r="L171" s="6"/>
      <c r="M171" s="6"/>
      <c r="N171" s="6"/>
      <c r="O171" s="6"/>
      <c r="P171" s="6"/>
      <c r="Q171" s="6"/>
      <c r="R171" s="6"/>
      <c r="S171" s="6"/>
      <c r="T171" s="6"/>
      <c r="U171" s="6"/>
    </row>
    <row r="172" spans="1:21">
      <c r="A172" s="82"/>
      <c r="B172" s="83"/>
      <c r="C172" s="82"/>
      <c r="D172" s="82"/>
      <c r="E172" s="82"/>
      <c r="F172" s="82"/>
      <c r="G172" s="222"/>
      <c r="H172" s="222"/>
      <c r="I172" s="222"/>
      <c r="J172" s="6"/>
      <c r="K172" s="6"/>
      <c r="L172" s="6"/>
      <c r="M172" s="6"/>
      <c r="N172" s="6"/>
      <c r="O172" s="6"/>
      <c r="P172" s="6"/>
      <c r="Q172" s="6"/>
      <c r="R172" s="6"/>
      <c r="S172" s="6"/>
      <c r="T172" s="6"/>
      <c r="U172" s="6"/>
    </row>
    <row r="173" spans="1:21">
      <c r="A173" s="82"/>
      <c r="B173" s="83"/>
      <c r="C173" s="82"/>
      <c r="D173" s="82"/>
      <c r="E173" s="82"/>
      <c r="F173" s="82"/>
      <c r="G173" s="222"/>
      <c r="H173" s="222"/>
      <c r="I173" s="222"/>
      <c r="J173" s="6"/>
      <c r="K173" s="6"/>
      <c r="L173" s="6"/>
      <c r="M173" s="6"/>
      <c r="N173" s="6"/>
      <c r="O173" s="6"/>
      <c r="P173" s="6"/>
      <c r="Q173" s="6"/>
      <c r="R173" s="6"/>
      <c r="S173" s="6"/>
      <c r="T173" s="6"/>
      <c r="U173" s="6"/>
    </row>
    <row r="174" spans="1:21">
      <c r="A174" s="82"/>
      <c r="B174" s="83"/>
      <c r="C174" s="82"/>
      <c r="D174" s="82"/>
      <c r="E174" s="82"/>
      <c r="F174" s="82"/>
      <c r="G174" s="222"/>
      <c r="H174" s="222"/>
      <c r="I174" s="222"/>
      <c r="J174" s="6"/>
      <c r="K174" s="6"/>
      <c r="L174" s="6"/>
      <c r="M174" s="6"/>
      <c r="N174" s="6"/>
      <c r="O174" s="6"/>
      <c r="P174" s="6"/>
      <c r="Q174" s="6"/>
      <c r="R174" s="6"/>
      <c r="S174" s="6"/>
      <c r="T174" s="6"/>
      <c r="U174" s="6"/>
    </row>
    <row r="175" spans="1:21">
      <c r="A175" s="82"/>
      <c r="B175" s="83"/>
      <c r="C175" s="82"/>
      <c r="D175" s="82"/>
      <c r="E175" s="82"/>
      <c r="F175" s="82"/>
      <c r="G175" s="222"/>
      <c r="H175" s="222"/>
      <c r="I175" s="222"/>
      <c r="J175" s="6"/>
      <c r="K175" s="6"/>
      <c r="L175" s="6"/>
      <c r="M175" s="6"/>
      <c r="N175" s="6"/>
      <c r="O175" s="6"/>
      <c r="P175" s="6"/>
      <c r="Q175" s="6"/>
      <c r="R175" s="6"/>
      <c r="S175" s="6"/>
      <c r="T175" s="6"/>
      <c r="U175" s="6"/>
    </row>
    <row r="176" spans="1:21">
      <c r="A176" s="82"/>
      <c r="B176" s="83"/>
      <c r="C176" s="82"/>
      <c r="D176" s="82"/>
      <c r="E176" s="82"/>
      <c r="F176" s="82"/>
      <c r="G176" s="222"/>
      <c r="H176" s="222"/>
      <c r="I176" s="222"/>
      <c r="J176" s="6"/>
      <c r="K176" s="6"/>
      <c r="L176" s="6"/>
      <c r="M176" s="6"/>
      <c r="N176" s="6"/>
      <c r="O176" s="6"/>
      <c r="P176" s="6"/>
      <c r="Q176" s="6"/>
      <c r="R176" s="6"/>
      <c r="S176" s="6"/>
      <c r="T176" s="6"/>
      <c r="U176" s="6"/>
    </row>
    <row r="177" spans="1:21">
      <c r="A177" s="82"/>
      <c r="B177" s="83"/>
      <c r="C177" s="82"/>
      <c r="D177" s="82"/>
      <c r="E177" s="82"/>
      <c r="F177" s="82"/>
      <c r="G177" s="222"/>
      <c r="H177" s="222"/>
      <c r="I177" s="222"/>
      <c r="J177" s="6"/>
      <c r="K177" s="6"/>
      <c r="L177" s="6"/>
      <c r="M177" s="6"/>
      <c r="N177" s="6"/>
      <c r="O177" s="6"/>
      <c r="P177" s="6"/>
      <c r="Q177" s="6"/>
      <c r="R177" s="6"/>
      <c r="S177" s="6"/>
      <c r="T177" s="6"/>
      <c r="U177" s="6"/>
    </row>
    <row r="178" spans="1:21">
      <c r="A178" s="82"/>
      <c r="B178" s="83"/>
      <c r="C178" s="82"/>
      <c r="D178" s="82"/>
      <c r="E178" s="82"/>
      <c r="F178" s="82"/>
      <c r="G178" s="222"/>
      <c r="H178" s="222"/>
      <c r="I178" s="222"/>
      <c r="J178" s="6"/>
      <c r="K178" s="6"/>
      <c r="L178" s="6"/>
      <c r="M178" s="6"/>
      <c r="N178" s="6"/>
      <c r="O178" s="6"/>
      <c r="P178" s="6"/>
      <c r="Q178" s="6"/>
      <c r="R178" s="6"/>
      <c r="S178" s="6"/>
      <c r="T178" s="6"/>
      <c r="U178" s="6"/>
    </row>
    <row r="179" spans="1:21">
      <c r="A179" s="82"/>
      <c r="B179" s="83"/>
      <c r="C179" s="82"/>
      <c r="D179" s="82"/>
      <c r="E179" s="82"/>
      <c r="F179" s="82"/>
      <c r="G179" s="222"/>
      <c r="H179" s="222"/>
      <c r="I179" s="222"/>
      <c r="J179" s="6"/>
      <c r="K179" s="6"/>
      <c r="L179" s="6"/>
      <c r="M179" s="6"/>
      <c r="N179" s="6"/>
      <c r="O179" s="6"/>
      <c r="P179" s="6"/>
      <c r="Q179" s="6"/>
      <c r="R179" s="6"/>
      <c r="S179" s="6"/>
      <c r="T179" s="6"/>
      <c r="U179" s="6"/>
    </row>
    <row r="180" spans="1:21">
      <c r="A180" s="82"/>
      <c r="B180" s="83"/>
      <c r="C180" s="82"/>
      <c r="D180" s="82"/>
      <c r="E180" s="82"/>
      <c r="F180" s="82"/>
      <c r="G180" s="222"/>
      <c r="H180" s="222"/>
      <c r="I180" s="222"/>
      <c r="J180" s="6"/>
      <c r="K180" s="6"/>
      <c r="L180" s="6"/>
      <c r="M180" s="6"/>
      <c r="N180" s="6"/>
      <c r="O180" s="6"/>
      <c r="P180" s="6"/>
      <c r="Q180" s="6"/>
      <c r="R180" s="6"/>
      <c r="S180" s="6"/>
      <c r="T180" s="6"/>
      <c r="U180" s="6"/>
    </row>
    <row r="181" spans="1:21">
      <c r="A181" s="82"/>
      <c r="B181" s="83"/>
      <c r="C181" s="82"/>
      <c r="D181" s="82"/>
      <c r="E181" s="82"/>
      <c r="F181" s="82"/>
      <c r="G181" s="222"/>
      <c r="H181" s="222"/>
      <c r="I181" s="222"/>
      <c r="J181" s="6"/>
      <c r="K181" s="6"/>
      <c r="L181" s="6"/>
      <c r="M181" s="6"/>
      <c r="N181" s="6"/>
      <c r="O181" s="6"/>
      <c r="P181" s="6"/>
      <c r="Q181" s="6"/>
      <c r="R181" s="6"/>
      <c r="S181" s="6"/>
      <c r="T181" s="6"/>
      <c r="U181" s="6"/>
    </row>
    <row r="182" spans="1:21">
      <c r="A182" s="82"/>
      <c r="B182" s="83"/>
      <c r="C182" s="82"/>
      <c r="D182" s="82"/>
      <c r="E182" s="82"/>
      <c r="F182" s="82"/>
      <c r="G182" s="222"/>
      <c r="H182" s="222"/>
      <c r="I182" s="222"/>
      <c r="J182" s="6"/>
      <c r="K182" s="6"/>
      <c r="L182" s="6"/>
      <c r="M182" s="6"/>
      <c r="N182" s="6"/>
      <c r="O182" s="6"/>
      <c r="P182" s="6"/>
      <c r="Q182" s="6"/>
      <c r="R182" s="6"/>
      <c r="S182" s="6"/>
      <c r="T182" s="6"/>
      <c r="U182" s="6"/>
    </row>
    <row r="183" spans="1:21">
      <c r="A183" s="82"/>
      <c r="B183" s="83"/>
      <c r="C183" s="82"/>
      <c r="D183" s="82"/>
      <c r="E183" s="82"/>
      <c r="F183" s="82"/>
      <c r="G183" s="222"/>
      <c r="H183" s="222"/>
      <c r="I183" s="222"/>
      <c r="J183" s="6"/>
      <c r="K183" s="6"/>
      <c r="L183" s="6"/>
      <c r="M183" s="6"/>
      <c r="N183" s="6"/>
      <c r="O183" s="6"/>
      <c r="P183" s="6"/>
      <c r="Q183" s="6"/>
      <c r="R183" s="6"/>
      <c r="S183" s="6"/>
      <c r="T183" s="6"/>
      <c r="U183" s="6"/>
    </row>
    <row r="184" spans="1:21">
      <c r="A184" s="82"/>
      <c r="B184" s="83"/>
      <c r="C184" s="82"/>
      <c r="D184" s="82"/>
      <c r="E184" s="82"/>
      <c r="F184" s="82"/>
      <c r="G184" s="222"/>
      <c r="H184" s="222"/>
      <c r="I184" s="222"/>
      <c r="J184" s="6"/>
      <c r="K184" s="6"/>
      <c r="L184" s="6"/>
      <c r="M184" s="6"/>
      <c r="N184" s="6"/>
      <c r="O184" s="6"/>
      <c r="P184" s="6"/>
      <c r="Q184" s="6"/>
      <c r="R184" s="6"/>
      <c r="S184" s="6"/>
      <c r="T184" s="6"/>
      <c r="U184" s="6"/>
    </row>
    <row r="185" spans="1:21">
      <c r="A185" s="82"/>
      <c r="B185" s="83"/>
      <c r="C185" s="82"/>
      <c r="D185" s="82"/>
      <c r="E185" s="82"/>
      <c r="F185" s="82"/>
      <c r="G185" s="222"/>
      <c r="H185" s="222"/>
      <c r="I185" s="222"/>
      <c r="J185" s="6"/>
      <c r="K185" s="6"/>
      <c r="L185" s="6"/>
      <c r="M185" s="6"/>
      <c r="N185" s="6"/>
      <c r="O185" s="6"/>
      <c r="P185" s="6"/>
      <c r="Q185" s="6"/>
      <c r="R185" s="6"/>
      <c r="S185" s="6"/>
      <c r="T185" s="6"/>
      <c r="U185" s="6"/>
    </row>
    <row r="186" spans="1:21">
      <c r="A186" s="82"/>
      <c r="B186" s="83"/>
      <c r="C186" s="82"/>
      <c r="D186" s="82"/>
      <c r="E186" s="82"/>
      <c r="F186" s="82"/>
      <c r="G186" s="222"/>
      <c r="H186" s="222"/>
      <c r="I186" s="222"/>
      <c r="J186" s="6"/>
      <c r="K186" s="6"/>
      <c r="L186" s="6"/>
      <c r="M186" s="6"/>
      <c r="N186" s="6"/>
      <c r="O186" s="6"/>
      <c r="P186" s="6"/>
      <c r="Q186" s="6"/>
      <c r="R186" s="6"/>
      <c r="S186" s="6"/>
      <c r="T186" s="6"/>
      <c r="U186" s="6"/>
    </row>
    <row r="187" spans="1:21">
      <c r="A187" s="82"/>
      <c r="B187" s="83"/>
      <c r="C187" s="82"/>
      <c r="D187" s="82"/>
      <c r="E187" s="82"/>
      <c r="F187" s="82"/>
      <c r="G187" s="222"/>
      <c r="H187" s="222"/>
      <c r="I187" s="222"/>
      <c r="J187" s="6"/>
      <c r="K187" s="6"/>
      <c r="L187" s="6"/>
      <c r="M187" s="6"/>
      <c r="N187" s="6"/>
      <c r="O187" s="6"/>
      <c r="P187" s="6"/>
      <c r="Q187" s="6"/>
      <c r="R187" s="6"/>
      <c r="S187" s="6"/>
      <c r="T187" s="6"/>
      <c r="U187" s="6"/>
    </row>
    <row r="188" spans="1:21">
      <c r="A188" s="82"/>
      <c r="B188" s="83"/>
      <c r="C188" s="82"/>
      <c r="D188" s="82"/>
      <c r="E188" s="82"/>
      <c r="F188" s="82"/>
      <c r="G188" s="222"/>
      <c r="H188" s="222"/>
      <c r="I188" s="222"/>
      <c r="J188" s="6"/>
      <c r="K188" s="6"/>
      <c r="L188" s="6"/>
      <c r="M188" s="6"/>
      <c r="N188" s="6"/>
      <c r="O188" s="6"/>
      <c r="P188" s="6"/>
      <c r="Q188" s="6"/>
      <c r="R188" s="6"/>
      <c r="S188" s="6"/>
      <c r="T188" s="6"/>
      <c r="U188" s="6"/>
    </row>
    <row r="189" spans="1:21">
      <c r="A189" s="82"/>
      <c r="B189" s="83"/>
      <c r="C189" s="82"/>
      <c r="D189" s="82"/>
      <c r="E189" s="82"/>
      <c r="F189" s="82"/>
      <c r="G189" s="222"/>
      <c r="H189" s="222"/>
      <c r="I189" s="222"/>
      <c r="J189" s="6"/>
      <c r="K189" s="6"/>
      <c r="L189" s="6"/>
      <c r="M189" s="6"/>
      <c r="N189" s="6"/>
      <c r="O189" s="6"/>
      <c r="P189" s="6"/>
      <c r="Q189" s="6"/>
      <c r="R189" s="6"/>
      <c r="S189" s="6"/>
      <c r="T189" s="6"/>
      <c r="U189" s="6"/>
    </row>
    <row r="190" spans="1:21">
      <c r="A190" s="82"/>
      <c r="B190" s="83"/>
      <c r="C190" s="82"/>
      <c r="D190" s="82"/>
      <c r="E190" s="82"/>
      <c r="F190" s="82"/>
      <c r="G190" s="222"/>
      <c r="H190" s="222"/>
      <c r="I190" s="222"/>
      <c r="J190" s="6"/>
      <c r="K190" s="6"/>
      <c r="L190" s="6"/>
      <c r="M190" s="6"/>
      <c r="N190" s="6"/>
      <c r="O190" s="6"/>
      <c r="P190" s="6"/>
      <c r="Q190" s="6"/>
      <c r="R190" s="6"/>
      <c r="S190" s="6"/>
      <c r="T190" s="6"/>
      <c r="U190" s="6"/>
    </row>
    <row r="191" spans="1:21">
      <c r="A191" s="82"/>
      <c r="B191" s="83"/>
      <c r="C191" s="82"/>
      <c r="D191" s="82"/>
      <c r="E191" s="82"/>
      <c r="F191" s="82"/>
      <c r="G191" s="222"/>
      <c r="H191" s="222"/>
      <c r="I191" s="222"/>
      <c r="J191" s="6"/>
      <c r="K191" s="6"/>
      <c r="L191" s="6"/>
      <c r="M191" s="6"/>
      <c r="N191" s="6"/>
      <c r="O191" s="6"/>
      <c r="P191" s="6"/>
      <c r="Q191" s="6"/>
      <c r="R191" s="6"/>
      <c r="S191" s="6"/>
      <c r="T191" s="6"/>
      <c r="U191" s="6"/>
    </row>
    <row r="192" spans="1:21">
      <c r="A192" s="82"/>
      <c r="B192" s="83"/>
      <c r="C192" s="82"/>
      <c r="D192" s="82"/>
      <c r="E192" s="82"/>
      <c r="F192" s="82"/>
      <c r="G192" s="222"/>
      <c r="H192" s="222"/>
      <c r="I192" s="222"/>
      <c r="J192" s="6"/>
      <c r="K192" s="6"/>
      <c r="L192" s="6"/>
      <c r="M192" s="6"/>
      <c r="N192" s="6"/>
      <c r="O192" s="6"/>
      <c r="P192" s="6"/>
      <c r="Q192" s="6"/>
      <c r="R192" s="6"/>
      <c r="S192" s="6"/>
      <c r="T192" s="6"/>
      <c r="U192" s="6"/>
    </row>
    <row r="193" spans="1:21">
      <c r="A193" s="82"/>
      <c r="B193" s="83"/>
      <c r="C193" s="82"/>
      <c r="D193" s="82"/>
      <c r="E193" s="82"/>
      <c r="F193" s="82"/>
      <c r="G193" s="222"/>
      <c r="H193" s="222"/>
      <c r="I193" s="222"/>
      <c r="J193" s="6"/>
      <c r="K193" s="6"/>
      <c r="L193" s="6"/>
      <c r="M193" s="6"/>
      <c r="N193" s="6"/>
      <c r="O193" s="6"/>
      <c r="P193" s="6"/>
      <c r="Q193" s="6"/>
      <c r="R193" s="6"/>
      <c r="S193" s="6"/>
      <c r="T193" s="6"/>
      <c r="U193" s="6"/>
    </row>
    <row r="194" spans="1:21">
      <c r="A194" s="82"/>
      <c r="B194" s="83"/>
      <c r="C194" s="82"/>
      <c r="D194" s="82"/>
      <c r="E194" s="82"/>
      <c r="F194" s="82"/>
      <c r="G194" s="222"/>
      <c r="H194" s="222"/>
      <c r="I194" s="222"/>
      <c r="J194" s="6"/>
      <c r="K194" s="6"/>
      <c r="L194" s="6"/>
      <c r="M194" s="6"/>
      <c r="N194" s="6"/>
      <c r="O194" s="6"/>
      <c r="P194" s="6"/>
      <c r="Q194" s="6"/>
      <c r="R194" s="6"/>
      <c r="S194" s="6"/>
      <c r="T194" s="6"/>
      <c r="U194" s="6"/>
    </row>
    <row r="195" spans="1:21">
      <c r="A195" s="82"/>
      <c r="B195" s="83"/>
      <c r="C195" s="82"/>
      <c r="D195" s="82"/>
      <c r="E195" s="82"/>
      <c r="F195" s="82"/>
      <c r="G195" s="222"/>
      <c r="H195" s="222"/>
      <c r="I195" s="222"/>
      <c r="J195" s="6"/>
      <c r="K195" s="6"/>
      <c r="L195" s="6"/>
      <c r="M195" s="6"/>
      <c r="N195" s="6"/>
      <c r="O195" s="6"/>
      <c r="P195" s="6"/>
      <c r="Q195" s="6"/>
      <c r="R195" s="6"/>
      <c r="S195" s="6"/>
      <c r="T195" s="6"/>
      <c r="U195" s="6"/>
    </row>
    <row r="196" spans="1:21">
      <c r="A196" s="82"/>
      <c r="B196" s="83"/>
      <c r="C196" s="82"/>
      <c r="D196" s="82"/>
      <c r="E196" s="82"/>
      <c r="F196" s="82"/>
      <c r="G196" s="222"/>
      <c r="H196" s="222"/>
      <c r="I196" s="222"/>
      <c r="J196" s="6"/>
      <c r="K196" s="6"/>
      <c r="L196" s="6"/>
      <c r="M196" s="6"/>
      <c r="N196" s="6"/>
      <c r="O196" s="6"/>
      <c r="P196" s="6"/>
      <c r="Q196" s="6"/>
      <c r="R196" s="6"/>
      <c r="S196" s="6"/>
      <c r="T196" s="6"/>
      <c r="U196" s="6"/>
    </row>
    <row r="197" spans="1:21">
      <c r="A197" s="82"/>
      <c r="B197" s="83"/>
      <c r="C197" s="82"/>
      <c r="D197" s="82"/>
      <c r="E197" s="82"/>
      <c r="F197" s="82"/>
      <c r="G197" s="222"/>
      <c r="H197" s="222"/>
      <c r="I197" s="222"/>
      <c r="J197" s="6"/>
      <c r="K197" s="6"/>
      <c r="L197" s="6"/>
      <c r="M197" s="6"/>
      <c r="N197" s="6"/>
      <c r="O197" s="6"/>
      <c r="P197" s="6"/>
      <c r="Q197" s="6"/>
      <c r="R197" s="6"/>
      <c r="S197" s="6"/>
      <c r="T197" s="6"/>
      <c r="U197" s="6"/>
    </row>
    <row r="198" spans="1:21">
      <c r="A198" s="82"/>
      <c r="B198" s="83"/>
      <c r="C198" s="82"/>
      <c r="D198" s="82"/>
      <c r="E198" s="82"/>
      <c r="F198" s="82"/>
      <c r="G198" s="222"/>
      <c r="H198" s="222"/>
      <c r="I198" s="222"/>
      <c r="J198" s="6"/>
      <c r="K198" s="6"/>
      <c r="L198" s="6"/>
      <c r="M198" s="6"/>
      <c r="N198" s="6"/>
      <c r="O198" s="6"/>
      <c r="P198" s="6"/>
      <c r="Q198" s="6"/>
      <c r="R198" s="6"/>
      <c r="S198" s="6"/>
      <c r="T198" s="6"/>
      <c r="U198" s="6"/>
    </row>
    <row r="199" spans="1:21">
      <c r="A199" s="82"/>
      <c r="B199" s="83"/>
      <c r="C199" s="82"/>
      <c r="D199" s="82"/>
      <c r="E199" s="82"/>
      <c r="F199" s="82"/>
      <c r="G199" s="222"/>
      <c r="H199" s="222"/>
      <c r="I199" s="222"/>
      <c r="J199" s="6"/>
      <c r="K199" s="6"/>
      <c r="L199" s="6"/>
      <c r="M199" s="6"/>
      <c r="N199" s="6"/>
      <c r="O199" s="6"/>
      <c r="P199" s="6"/>
      <c r="Q199" s="6"/>
      <c r="R199" s="6"/>
      <c r="S199" s="6"/>
      <c r="T199" s="6"/>
      <c r="U199" s="6"/>
    </row>
    <row r="200" spans="1:21">
      <c r="A200" s="82"/>
      <c r="B200" s="83"/>
      <c r="C200" s="82"/>
      <c r="D200" s="82"/>
      <c r="E200" s="82"/>
      <c r="F200" s="82"/>
      <c r="G200" s="222"/>
      <c r="H200" s="222"/>
      <c r="I200" s="222"/>
      <c r="J200" s="6"/>
      <c r="K200" s="6"/>
      <c r="L200" s="6"/>
      <c r="M200" s="6"/>
      <c r="N200" s="6"/>
      <c r="O200" s="6"/>
      <c r="P200" s="6"/>
      <c r="Q200" s="6"/>
      <c r="R200" s="6"/>
      <c r="S200" s="6"/>
      <c r="T200" s="6"/>
      <c r="U200" s="6"/>
    </row>
    <row r="201" spans="1:21">
      <c r="A201" s="82"/>
      <c r="B201" s="83"/>
      <c r="C201" s="82"/>
      <c r="D201" s="82"/>
      <c r="E201" s="82"/>
      <c r="F201" s="82"/>
      <c r="G201" s="222"/>
      <c r="H201" s="222"/>
      <c r="I201" s="222"/>
      <c r="J201" s="6"/>
      <c r="K201" s="6"/>
      <c r="L201" s="6"/>
      <c r="M201" s="6"/>
      <c r="N201" s="6"/>
      <c r="O201" s="6"/>
      <c r="P201" s="6"/>
      <c r="Q201" s="6"/>
      <c r="R201" s="6"/>
      <c r="S201" s="6"/>
      <c r="T201" s="6"/>
      <c r="U201" s="6"/>
    </row>
    <row r="202" spans="1:21">
      <c r="A202" s="82"/>
      <c r="B202" s="83"/>
      <c r="C202" s="82"/>
      <c r="D202" s="82"/>
      <c r="E202" s="82"/>
      <c r="F202" s="82"/>
      <c r="G202" s="222"/>
      <c r="H202" s="222"/>
      <c r="I202" s="222"/>
      <c r="J202" s="6"/>
      <c r="K202" s="6"/>
      <c r="L202" s="6"/>
      <c r="M202" s="6"/>
      <c r="N202" s="6"/>
      <c r="O202" s="6"/>
      <c r="P202" s="6"/>
      <c r="Q202" s="6"/>
      <c r="R202" s="6"/>
      <c r="S202" s="6"/>
      <c r="T202" s="6"/>
      <c r="U202" s="6"/>
    </row>
    <row r="203" spans="1:21">
      <c r="A203" s="82"/>
      <c r="B203" s="83"/>
      <c r="C203" s="82"/>
      <c r="D203" s="82"/>
      <c r="E203" s="82"/>
      <c r="F203" s="82"/>
      <c r="G203" s="222"/>
      <c r="H203" s="222"/>
      <c r="I203" s="222"/>
      <c r="J203" s="6"/>
      <c r="K203" s="6"/>
      <c r="L203" s="6"/>
      <c r="M203" s="6"/>
      <c r="N203" s="6"/>
      <c r="O203" s="6"/>
      <c r="P203" s="6"/>
      <c r="Q203" s="6"/>
      <c r="R203" s="6"/>
      <c r="S203" s="6"/>
      <c r="T203" s="6"/>
      <c r="U203" s="6"/>
    </row>
    <row r="204" spans="1:21">
      <c r="A204" s="82"/>
      <c r="B204" s="83"/>
      <c r="C204" s="82"/>
      <c r="D204" s="82"/>
      <c r="E204" s="82"/>
      <c r="F204" s="82"/>
      <c r="G204" s="222"/>
      <c r="H204" s="222"/>
      <c r="I204" s="222"/>
      <c r="J204" s="6"/>
      <c r="K204" s="6"/>
      <c r="L204" s="6"/>
      <c r="M204" s="6"/>
      <c r="N204" s="6"/>
      <c r="O204" s="6"/>
      <c r="P204" s="6"/>
      <c r="Q204" s="6"/>
      <c r="R204" s="6"/>
      <c r="S204" s="6"/>
      <c r="T204" s="6"/>
      <c r="U204" s="6"/>
    </row>
    <row r="205" spans="1:21">
      <c r="A205" s="82"/>
      <c r="B205" s="83"/>
      <c r="C205" s="82"/>
      <c r="D205" s="82"/>
      <c r="E205" s="82"/>
      <c r="F205" s="82"/>
      <c r="G205" s="222"/>
      <c r="H205" s="222"/>
      <c r="I205" s="222"/>
      <c r="J205" s="6"/>
      <c r="K205" s="6"/>
      <c r="L205" s="6"/>
      <c r="M205" s="6"/>
      <c r="N205" s="6"/>
      <c r="O205" s="6"/>
      <c r="P205" s="6"/>
      <c r="Q205" s="6"/>
      <c r="R205" s="6"/>
      <c r="S205" s="6"/>
      <c r="T205" s="6"/>
      <c r="U205" s="6"/>
    </row>
    <row r="206" spans="1:21">
      <c r="A206" s="82"/>
      <c r="B206" s="83"/>
      <c r="C206" s="82"/>
      <c r="D206" s="82"/>
      <c r="E206" s="82"/>
      <c r="F206" s="82"/>
      <c r="G206" s="222"/>
      <c r="H206" s="222"/>
      <c r="I206" s="222"/>
      <c r="J206" s="6"/>
      <c r="K206" s="6"/>
      <c r="L206" s="6"/>
      <c r="M206" s="6"/>
      <c r="N206" s="6"/>
      <c r="O206" s="6"/>
      <c r="P206" s="6"/>
      <c r="Q206" s="6"/>
      <c r="R206" s="6"/>
      <c r="S206" s="6"/>
      <c r="T206" s="6"/>
      <c r="U206" s="6"/>
    </row>
    <row r="207" spans="1:21">
      <c r="A207" s="82"/>
      <c r="B207" s="83"/>
      <c r="C207" s="82"/>
      <c r="D207" s="82"/>
      <c r="E207" s="82"/>
      <c r="F207" s="82"/>
      <c r="G207" s="222"/>
      <c r="H207" s="222"/>
      <c r="I207" s="222"/>
      <c r="J207" s="6"/>
      <c r="K207" s="6"/>
      <c r="L207" s="6"/>
      <c r="M207" s="6"/>
      <c r="N207" s="6"/>
      <c r="O207" s="6"/>
      <c r="P207" s="6"/>
      <c r="Q207" s="6"/>
      <c r="R207" s="6"/>
      <c r="S207" s="6"/>
      <c r="T207" s="6"/>
      <c r="U207" s="6"/>
    </row>
    <row r="208" spans="1:21">
      <c r="A208" s="82"/>
      <c r="B208" s="83"/>
      <c r="C208" s="82"/>
      <c r="D208" s="82"/>
      <c r="E208" s="82"/>
      <c r="F208" s="82"/>
      <c r="G208" s="222"/>
      <c r="H208" s="222"/>
      <c r="I208" s="222"/>
      <c r="J208" s="6"/>
      <c r="K208" s="6"/>
      <c r="L208" s="6"/>
      <c r="M208" s="6"/>
      <c r="N208" s="6"/>
      <c r="O208" s="6"/>
      <c r="P208" s="6"/>
      <c r="Q208" s="6"/>
      <c r="R208" s="6"/>
      <c r="S208" s="6"/>
      <c r="T208" s="6"/>
      <c r="U208" s="6"/>
    </row>
    <row r="209" spans="1:21">
      <c r="A209" s="82"/>
      <c r="B209" s="83"/>
      <c r="C209" s="82"/>
      <c r="D209" s="82"/>
      <c r="E209" s="82"/>
      <c r="F209" s="82"/>
      <c r="G209" s="222"/>
      <c r="H209" s="222"/>
      <c r="I209" s="222"/>
      <c r="J209" s="6"/>
      <c r="K209" s="6"/>
      <c r="L209" s="6"/>
      <c r="M209" s="6"/>
      <c r="N209" s="6"/>
      <c r="O209" s="6"/>
      <c r="P209" s="6"/>
      <c r="Q209" s="6"/>
      <c r="R209" s="6"/>
      <c r="S209" s="6"/>
      <c r="T209" s="6"/>
      <c r="U209" s="6"/>
    </row>
    <row r="210" spans="1:21">
      <c r="A210" s="82"/>
      <c r="B210" s="83"/>
      <c r="C210" s="82"/>
      <c r="D210" s="82"/>
      <c r="E210" s="82"/>
      <c r="F210" s="82"/>
      <c r="G210" s="222"/>
      <c r="H210" s="222"/>
      <c r="I210" s="222"/>
      <c r="J210" s="6"/>
      <c r="K210" s="6"/>
      <c r="L210" s="6"/>
      <c r="M210" s="6"/>
      <c r="N210" s="6"/>
      <c r="O210" s="6"/>
      <c r="P210" s="6"/>
      <c r="Q210" s="6"/>
      <c r="R210" s="6"/>
      <c r="S210" s="6"/>
      <c r="T210" s="6"/>
      <c r="U210" s="6"/>
    </row>
    <row r="211" spans="1:21">
      <c r="A211" s="82"/>
      <c r="B211" s="83"/>
      <c r="C211" s="82"/>
      <c r="D211" s="82"/>
      <c r="E211" s="82"/>
      <c r="F211" s="82"/>
      <c r="G211" s="222"/>
      <c r="H211" s="222"/>
      <c r="I211" s="222"/>
      <c r="J211" s="6"/>
      <c r="K211" s="6"/>
      <c r="L211" s="6"/>
      <c r="M211" s="6"/>
      <c r="N211" s="6"/>
      <c r="O211" s="6"/>
      <c r="P211" s="6"/>
      <c r="Q211" s="6"/>
      <c r="R211" s="6"/>
      <c r="S211" s="6"/>
      <c r="T211" s="6"/>
      <c r="U211" s="6"/>
    </row>
    <row r="212" spans="1:21">
      <c r="A212" s="82"/>
      <c r="B212" s="83"/>
      <c r="C212" s="82"/>
      <c r="D212" s="82"/>
      <c r="E212" s="82"/>
      <c r="F212" s="82"/>
      <c r="G212" s="222"/>
      <c r="H212" s="222"/>
      <c r="I212" s="222"/>
      <c r="J212" s="6"/>
      <c r="K212" s="6"/>
      <c r="L212" s="6"/>
      <c r="M212" s="6"/>
      <c r="N212" s="6"/>
      <c r="O212" s="6"/>
      <c r="P212" s="6"/>
      <c r="Q212" s="6"/>
      <c r="R212" s="6"/>
      <c r="S212" s="6"/>
      <c r="T212" s="6"/>
      <c r="U212" s="6"/>
    </row>
    <row r="213" spans="1:21">
      <c r="A213" s="82"/>
      <c r="B213" s="83"/>
      <c r="C213" s="82"/>
      <c r="D213" s="82"/>
      <c r="E213" s="82"/>
      <c r="F213" s="82"/>
      <c r="G213" s="222"/>
      <c r="H213" s="222"/>
      <c r="I213" s="222"/>
      <c r="J213" s="6"/>
      <c r="K213" s="6"/>
      <c r="L213" s="6"/>
      <c r="M213" s="6"/>
      <c r="N213" s="6"/>
      <c r="O213" s="6"/>
      <c r="P213" s="6"/>
      <c r="Q213" s="6"/>
      <c r="R213" s="6"/>
      <c r="S213" s="6"/>
      <c r="T213" s="6"/>
      <c r="U213" s="6"/>
    </row>
    <row r="214" spans="1:21">
      <c r="A214" s="82"/>
      <c r="B214" s="83"/>
      <c r="C214" s="82"/>
      <c r="D214" s="82"/>
      <c r="E214" s="82"/>
      <c r="F214" s="82"/>
      <c r="G214" s="222"/>
      <c r="H214" s="222"/>
      <c r="I214" s="222"/>
      <c r="J214" s="6"/>
      <c r="K214" s="6"/>
      <c r="L214" s="6"/>
      <c r="M214" s="6"/>
      <c r="N214" s="6"/>
      <c r="O214" s="6"/>
      <c r="P214" s="6"/>
      <c r="Q214" s="6"/>
      <c r="R214" s="6"/>
      <c r="S214" s="6"/>
      <c r="T214" s="6"/>
      <c r="U214" s="6"/>
    </row>
    <row r="215" spans="1:21">
      <c r="A215" s="82"/>
      <c r="B215" s="83"/>
      <c r="C215" s="82"/>
      <c r="D215" s="82"/>
      <c r="E215" s="82"/>
      <c r="F215" s="82"/>
      <c r="G215" s="222"/>
      <c r="H215" s="222"/>
      <c r="I215" s="222"/>
      <c r="J215" s="6"/>
      <c r="K215" s="6"/>
      <c r="L215" s="6"/>
      <c r="M215" s="6"/>
      <c r="N215" s="6"/>
      <c r="O215" s="6"/>
      <c r="P215" s="6"/>
      <c r="Q215" s="6"/>
      <c r="R215" s="6"/>
      <c r="S215" s="6"/>
      <c r="T215" s="6"/>
      <c r="U215" s="6"/>
    </row>
    <row r="216" spans="1:21">
      <c r="A216" s="82"/>
      <c r="B216" s="83"/>
      <c r="C216" s="82"/>
      <c r="D216" s="82"/>
      <c r="E216" s="82"/>
      <c r="F216" s="82"/>
      <c r="G216" s="222"/>
      <c r="H216" s="222"/>
      <c r="I216" s="222"/>
      <c r="J216" s="6"/>
      <c r="K216" s="6"/>
      <c r="L216" s="6"/>
      <c r="M216" s="6"/>
      <c r="N216" s="6"/>
      <c r="O216" s="6"/>
      <c r="P216" s="6"/>
      <c r="Q216" s="6"/>
      <c r="R216" s="6"/>
      <c r="S216" s="6"/>
      <c r="T216" s="6"/>
      <c r="U216" s="6"/>
    </row>
    <row r="217" spans="1:21">
      <c r="A217" s="82"/>
      <c r="B217" s="83"/>
      <c r="C217" s="82"/>
      <c r="D217" s="82"/>
      <c r="E217" s="82"/>
      <c r="F217" s="82"/>
      <c r="G217" s="222"/>
      <c r="H217" s="222"/>
      <c r="I217" s="222"/>
      <c r="J217" s="6"/>
      <c r="K217" s="6"/>
      <c r="L217" s="6"/>
      <c r="M217" s="6"/>
      <c r="N217" s="6"/>
      <c r="O217" s="6"/>
      <c r="P217" s="6"/>
      <c r="Q217" s="6"/>
      <c r="R217" s="6"/>
      <c r="S217" s="6"/>
      <c r="T217" s="6"/>
      <c r="U217" s="6"/>
    </row>
    <row r="218" spans="1:21">
      <c r="A218" s="82"/>
      <c r="B218" s="83"/>
      <c r="C218" s="82"/>
      <c r="D218" s="82"/>
      <c r="E218" s="82"/>
      <c r="F218" s="82"/>
      <c r="G218" s="222"/>
      <c r="H218" s="222"/>
      <c r="I218" s="222"/>
      <c r="J218" s="6"/>
      <c r="K218" s="6"/>
      <c r="L218" s="6"/>
      <c r="M218" s="6"/>
      <c r="N218" s="6"/>
      <c r="O218" s="6"/>
      <c r="P218" s="6"/>
      <c r="Q218" s="6"/>
      <c r="R218" s="6"/>
      <c r="S218" s="6"/>
      <c r="T218" s="6"/>
      <c r="U218" s="6"/>
    </row>
    <row r="219" spans="1:21">
      <c r="A219" s="82"/>
      <c r="B219" s="83"/>
      <c r="C219" s="82"/>
      <c r="D219" s="82"/>
      <c r="E219" s="82"/>
      <c r="F219" s="82"/>
      <c r="G219" s="222"/>
      <c r="H219" s="222"/>
      <c r="I219" s="222"/>
      <c r="J219" s="6"/>
      <c r="K219" s="6"/>
      <c r="L219" s="6"/>
      <c r="M219" s="6"/>
      <c r="N219" s="6"/>
      <c r="O219" s="6"/>
      <c r="P219" s="6"/>
      <c r="Q219" s="6"/>
      <c r="R219" s="6"/>
      <c r="S219" s="6"/>
      <c r="T219" s="6"/>
      <c r="U219" s="6"/>
    </row>
    <row r="220" spans="1:21">
      <c r="A220" s="82"/>
      <c r="B220" s="83"/>
      <c r="C220" s="82"/>
      <c r="D220" s="82"/>
      <c r="E220" s="82"/>
      <c r="F220" s="82"/>
      <c r="G220" s="222"/>
      <c r="H220" s="222"/>
      <c r="I220" s="222"/>
      <c r="J220" s="6"/>
      <c r="K220" s="6"/>
      <c r="L220" s="6"/>
      <c r="M220" s="6"/>
      <c r="N220" s="6"/>
      <c r="O220" s="6"/>
      <c r="P220" s="6"/>
      <c r="Q220" s="6"/>
      <c r="R220" s="6"/>
      <c r="S220" s="6"/>
      <c r="T220" s="6"/>
      <c r="U220" s="6"/>
    </row>
    <row r="221" spans="1:21">
      <c r="A221" s="82"/>
      <c r="B221" s="83"/>
      <c r="C221" s="82"/>
      <c r="D221" s="82"/>
      <c r="E221" s="82"/>
      <c r="F221" s="82"/>
      <c r="G221" s="222"/>
      <c r="H221" s="222"/>
      <c r="I221" s="222"/>
      <c r="J221" s="6"/>
      <c r="K221" s="6"/>
      <c r="L221" s="6"/>
      <c r="M221" s="6"/>
      <c r="N221" s="6"/>
      <c r="O221" s="6"/>
      <c r="P221" s="6"/>
      <c r="Q221" s="6"/>
      <c r="R221" s="6"/>
      <c r="S221" s="6"/>
      <c r="T221" s="6"/>
      <c r="U221" s="6"/>
    </row>
    <row r="222" spans="1:21">
      <c r="A222" s="82"/>
      <c r="B222" s="83"/>
      <c r="C222" s="82"/>
      <c r="D222" s="82"/>
      <c r="E222" s="82"/>
      <c r="F222" s="82"/>
      <c r="G222" s="222"/>
      <c r="H222" s="222"/>
      <c r="I222" s="222"/>
      <c r="J222" s="6"/>
      <c r="K222" s="6"/>
      <c r="L222" s="6"/>
      <c r="M222" s="6"/>
      <c r="N222" s="6"/>
      <c r="O222" s="6"/>
      <c r="P222" s="6"/>
      <c r="Q222" s="6"/>
      <c r="R222" s="6"/>
      <c r="S222" s="6"/>
      <c r="T222" s="6"/>
      <c r="U222" s="6"/>
    </row>
    <row r="223" spans="1:21">
      <c r="A223" s="82"/>
      <c r="B223" s="83"/>
      <c r="C223" s="82"/>
      <c r="D223" s="82"/>
      <c r="E223" s="82"/>
      <c r="F223" s="82"/>
      <c r="G223" s="222"/>
      <c r="H223" s="222"/>
      <c r="I223" s="222"/>
      <c r="J223" s="6"/>
      <c r="K223" s="6"/>
      <c r="L223" s="6"/>
      <c r="M223" s="6"/>
      <c r="N223" s="6"/>
      <c r="O223" s="6"/>
      <c r="P223" s="6"/>
      <c r="Q223" s="6"/>
      <c r="R223" s="6"/>
      <c r="S223" s="6"/>
      <c r="T223" s="6"/>
      <c r="U223" s="6"/>
    </row>
    <row r="224" spans="1:21">
      <c r="A224" s="82"/>
      <c r="B224" s="83"/>
      <c r="C224" s="82"/>
      <c r="D224" s="82"/>
      <c r="E224" s="82"/>
      <c r="F224" s="82"/>
      <c r="G224" s="222"/>
      <c r="H224" s="222"/>
      <c r="I224" s="222"/>
      <c r="J224" s="6"/>
      <c r="K224" s="6"/>
      <c r="L224" s="6"/>
      <c r="M224" s="6"/>
      <c r="N224" s="6"/>
      <c r="O224" s="6"/>
      <c r="P224" s="6"/>
      <c r="Q224" s="6"/>
      <c r="R224" s="6"/>
      <c r="S224" s="6"/>
      <c r="T224" s="6"/>
      <c r="U224" s="6"/>
    </row>
    <row r="225" spans="1:21">
      <c r="A225" s="82"/>
      <c r="B225" s="83"/>
      <c r="C225" s="82"/>
      <c r="D225" s="82"/>
      <c r="E225" s="82"/>
      <c r="F225" s="82"/>
      <c r="G225" s="222"/>
      <c r="H225" s="222"/>
      <c r="I225" s="222"/>
      <c r="J225" s="6"/>
      <c r="K225" s="6"/>
      <c r="L225" s="6"/>
      <c r="M225" s="6"/>
      <c r="N225" s="6"/>
      <c r="O225" s="6"/>
      <c r="P225" s="6"/>
      <c r="Q225" s="6"/>
      <c r="R225" s="6"/>
      <c r="S225" s="6"/>
      <c r="T225" s="6"/>
      <c r="U225" s="6"/>
    </row>
    <row r="226" spans="1:21">
      <c r="A226" s="82"/>
      <c r="B226" s="83"/>
      <c r="C226" s="82"/>
      <c r="D226" s="82"/>
      <c r="E226" s="82"/>
      <c r="F226" s="82"/>
      <c r="G226" s="222"/>
      <c r="H226" s="222"/>
      <c r="I226" s="222"/>
      <c r="J226" s="6"/>
      <c r="K226" s="6"/>
      <c r="L226" s="6"/>
      <c r="M226" s="6"/>
      <c r="N226" s="6"/>
      <c r="O226" s="6"/>
      <c r="P226" s="6"/>
      <c r="Q226" s="6"/>
      <c r="R226" s="6"/>
      <c r="S226" s="6"/>
      <c r="T226" s="6"/>
      <c r="U226" s="6"/>
    </row>
    <row r="227" spans="1:21">
      <c r="A227" s="82"/>
      <c r="B227" s="83"/>
      <c r="C227" s="82"/>
      <c r="D227" s="82"/>
      <c r="E227" s="82"/>
      <c r="F227" s="82"/>
      <c r="G227" s="222"/>
      <c r="H227" s="222"/>
      <c r="I227" s="222"/>
      <c r="J227" s="6"/>
      <c r="K227" s="6"/>
      <c r="L227" s="6"/>
      <c r="M227" s="6"/>
      <c r="N227" s="6"/>
      <c r="O227" s="6"/>
      <c r="P227" s="6"/>
      <c r="Q227" s="6"/>
      <c r="R227" s="6"/>
      <c r="S227" s="6"/>
      <c r="T227" s="6"/>
      <c r="U227" s="6"/>
    </row>
    <row r="228" spans="1:21">
      <c r="A228" s="82"/>
      <c r="B228" s="83"/>
      <c r="C228" s="82"/>
      <c r="D228" s="82"/>
      <c r="E228" s="82"/>
      <c r="F228" s="82"/>
      <c r="G228" s="222"/>
      <c r="H228" s="222"/>
      <c r="I228" s="222"/>
      <c r="J228" s="6"/>
      <c r="K228" s="6"/>
      <c r="L228" s="6"/>
      <c r="M228" s="6"/>
      <c r="N228" s="6"/>
      <c r="O228" s="6"/>
      <c r="P228" s="6"/>
      <c r="Q228" s="6"/>
      <c r="R228" s="6"/>
      <c r="S228" s="6"/>
      <c r="T228" s="6"/>
      <c r="U228" s="6"/>
    </row>
    <row r="229" spans="1:21">
      <c r="A229" s="82"/>
      <c r="B229" s="83"/>
      <c r="C229" s="82"/>
      <c r="D229" s="82"/>
      <c r="E229" s="82"/>
      <c r="F229" s="82"/>
      <c r="G229" s="222"/>
      <c r="H229" s="222"/>
      <c r="I229" s="222"/>
      <c r="J229" s="6"/>
      <c r="K229" s="6"/>
      <c r="L229" s="6"/>
      <c r="M229" s="6"/>
      <c r="N229" s="6"/>
      <c r="O229" s="6"/>
      <c r="P229" s="6"/>
      <c r="Q229" s="6"/>
      <c r="R229" s="6"/>
      <c r="S229" s="6"/>
      <c r="T229" s="6"/>
      <c r="U229" s="6"/>
    </row>
    <row r="230" spans="1:21">
      <c r="A230" s="82"/>
      <c r="B230" s="83"/>
      <c r="C230" s="82"/>
      <c r="D230" s="82"/>
      <c r="E230" s="82"/>
      <c r="F230" s="82"/>
      <c r="G230" s="222"/>
      <c r="H230" s="222"/>
      <c r="I230" s="222"/>
      <c r="J230" s="6"/>
      <c r="K230" s="6"/>
      <c r="L230" s="6"/>
      <c r="M230" s="6"/>
      <c r="N230" s="6"/>
      <c r="O230" s="6"/>
      <c r="P230" s="6"/>
      <c r="Q230" s="6"/>
      <c r="R230" s="6"/>
      <c r="S230" s="6"/>
      <c r="T230" s="6"/>
      <c r="U230" s="6"/>
    </row>
    <row r="231" spans="1:21">
      <c r="A231" s="82"/>
      <c r="B231" s="83"/>
      <c r="C231" s="82"/>
      <c r="D231" s="82"/>
      <c r="E231" s="82"/>
      <c r="F231" s="82"/>
      <c r="G231" s="222"/>
      <c r="H231" s="222"/>
      <c r="I231" s="222"/>
      <c r="J231" s="6"/>
      <c r="K231" s="6"/>
      <c r="L231" s="6"/>
      <c r="M231" s="6"/>
      <c r="N231" s="6"/>
      <c r="O231" s="6"/>
      <c r="P231" s="6"/>
      <c r="Q231" s="6"/>
      <c r="R231" s="6"/>
      <c r="S231" s="6"/>
      <c r="T231" s="6"/>
      <c r="U231" s="6"/>
    </row>
    <row r="232" spans="1:21">
      <c r="A232" s="82"/>
      <c r="B232" s="83"/>
      <c r="C232" s="82"/>
      <c r="D232" s="82"/>
      <c r="E232" s="82"/>
      <c r="F232" s="82"/>
      <c r="G232" s="222"/>
      <c r="H232" s="222"/>
      <c r="I232" s="222"/>
      <c r="J232" s="6"/>
      <c r="K232" s="6"/>
      <c r="L232" s="6"/>
      <c r="M232" s="6"/>
      <c r="N232" s="6"/>
      <c r="O232" s="6"/>
      <c r="P232" s="6"/>
      <c r="Q232" s="6"/>
      <c r="R232" s="6"/>
      <c r="S232" s="6"/>
      <c r="T232" s="6"/>
      <c r="U232" s="6"/>
    </row>
    <row r="233" spans="1:21">
      <c r="A233" s="82"/>
      <c r="B233" s="83"/>
      <c r="C233" s="82"/>
      <c r="D233" s="82"/>
      <c r="E233" s="82"/>
      <c r="F233" s="82"/>
      <c r="G233" s="222"/>
      <c r="H233" s="222"/>
      <c r="I233" s="222"/>
      <c r="J233" s="6"/>
      <c r="K233" s="6"/>
      <c r="L233" s="6"/>
      <c r="M233" s="6"/>
      <c r="N233" s="6"/>
      <c r="O233" s="6"/>
      <c r="P233" s="6"/>
      <c r="Q233" s="6"/>
      <c r="R233" s="6"/>
      <c r="S233" s="6"/>
      <c r="T233" s="6"/>
      <c r="U233" s="6"/>
    </row>
    <row r="234" spans="1:21">
      <c r="A234" s="82"/>
      <c r="B234" s="83"/>
      <c r="C234" s="82"/>
      <c r="D234" s="82"/>
      <c r="E234" s="82"/>
      <c r="F234" s="82"/>
      <c r="G234" s="222"/>
      <c r="H234" s="222"/>
      <c r="I234" s="222"/>
      <c r="J234" s="6"/>
      <c r="K234" s="6"/>
      <c r="L234" s="6"/>
      <c r="M234" s="6"/>
      <c r="N234" s="6"/>
      <c r="O234" s="6"/>
      <c r="P234" s="6"/>
      <c r="Q234" s="6"/>
      <c r="R234" s="6"/>
      <c r="S234" s="6"/>
      <c r="T234" s="6"/>
      <c r="U234" s="6"/>
    </row>
    <row r="235" spans="1:21">
      <c r="A235" s="82"/>
      <c r="B235" s="83"/>
      <c r="C235" s="82"/>
      <c r="D235" s="82"/>
      <c r="E235" s="82"/>
      <c r="F235" s="82"/>
      <c r="G235" s="222"/>
      <c r="H235" s="222"/>
      <c r="I235" s="222"/>
      <c r="J235" s="6"/>
      <c r="K235" s="6"/>
      <c r="L235" s="6"/>
      <c r="M235" s="6"/>
      <c r="N235" s="6"/>
      <c r="O235" s="6"/>
      <c r="P235" s="6"/>
      <c r="Q235" s="6"/>
      <c r="R235" s="6"/>
      <c r="S235" s="6"/>
      <c r="T235" s="6"/>
      <c r="U235" s="6"/>
    </row>
    <row r="236" spans="1:21">
      <c r="A236" s="82"/>
      <c r="B236" s="83"/>
      <c r="C236" s="82"/>
      <c r="D236" s="82"/>
      <c r="E236" s="82"/>
      <c r="F236" s="82"/>
      <c r="G236" s="222"/>
      <c r="H236" s="222"/>
      <c r="I236" s="222"/>
      <c r="J236" s="6"/>
      <c r="K236" s="6"/>
      <c r="L236" s="6"/>
      <c r="M236" s="6"/>
      <c r="N236" s="6"/>
      <c r="O236" s="6"/>
      <c r="P236" s="6"/>
      <c r="Q236" s="6"/>
      <c r="R236" s="6"/>
      <c r="S236" s="6"/>
      <c r="T236" s="6"/>
      <c r="U236" s="6"/>
    </row>
    <row r="237" spans="1:21">
      <c r="A237" s="82"/>
      <c r="B237" s="83"/>
      <c r="C237" s="82"/>
      <c r="D237" s="82"/>
      <c r="E237" s="82"/>
      <c r="F237" s="82"/>
      <c r="G237" s="222"/>
      <c r="H237" s="222"/>
      <c r="I237" s="222"/>
      <c r="J237" s="6"/>
      <c r="K237" s="6"/>
      <c r="L237" s="6"/>
      <c r="M237" s="6"/>
      <c r="N237" s="6"/>
      <c r="O237" s="6"/>
      <c r="P237" s="6"/>
      <c r="Q237" s="6"/>
      <c r="R237" s="6"/>
      <c r="S237" s="6"/>
      <c r="T237" s="6"/>
      <c r="U237" s="6"/>
    </row>
    <row r="238" spans="1:21">
      <c r="A238" s="82"/>
      <c r="B238" s="83"/>
      <c r="C238" s="82"/>
      <c r="D238" s="82"/>
      <c r="E238" s="82"/>
      <c r="F238" s="82"/>
      <c r="G238" s="222"/>
      <c r="H238" s="222"/>
      <c r="I238" s="222"/>
      <c r="J238" s="6"/>
      <c r="K238" s="6"/>
      <c r="L238" s="6"/>
      <c r="M238" s="6"/>
      <c r="N238" s="6"/>
      <c r="O238" s="6"/>
      <c r="P238" s="6"/>
      <c r="Q238" s="6"/>
      <c r="R238" s="6"/>
      <c r="S238" s="6"/>
      <c r="T238" s="6"/>
      <c r="U238" s="6"/>
    </row>
    <row r="239" spans="1:21">
      <c r="A239" s="82"/>
      <c r="B239" s="83"/>
      <c r="C239" s="82"/>
      <c r="D239" s="82"/>
      <c r="E239" s="82"/>
      <c r="F239" s="82"/>
      <c r="G239" s="222"/>
      <c r="H239" s="222"/>
      <c r="I239" s="222"/>
      <c r="J239" s="6"/>
      <c r="K239" s="6"/>
      <c r="L239" s="6"/>
      <c r="M239" s="6"/>
      <c r="N239" s="6"/>
      <c r="O239" s="6"/>
      <c r="P239" s="6"/>
      <c r="Q239" s="6"/>
      <c r="R239" s="6"/>
      <c r="S239" s="6"/>
      <c r="T239" s="6"/>
      <c r="U239" s="6"/>
    </row>
    <row r="240" spans="1:21">
      <c r="A240" s="82"/>
      <c r="B240" s="83"/>
      <c r="C240" s="82"/>
      <c r="D240" s="82"/>
      <c r="E240" s="82"/>
      <c r="F240" s="82"/>
      <c r="G240" s="222"/>
      <c r="H240" s="222"/>
      <c r="I240" s="222"/>
      <c r="J240" s="6"/>
      <c r="K240" s="6"/>
      <c r="L240" s="6"/>
      <c r="M240" s="6"/>
      <c r="N240" s="6"/>
      <c r="O240" s="6"/>
      <c r="P240" s="6"/>
      <c r="Q240" s="6"/>
      <c r="R240" s="6"/>
      <c r="S240" s="6"/>
      <c r="T240" s="6"/>
      <c r="U240" s="6"/>
    </row>
    <row r="241" spans="1:21">
      <c r="A241" s="82"/>
      <c r="B241" s="83"/>
      <c r="C241" s="82"/>
      <c r="D241" s="82"/>
      <c r="E241" s="82"/>
      <c r="F241" s="82"/>
      <c r="G241" s="222"/>
      <c r="H241" s="222"/>
      <c r="I241" s="222"/>
      <c r="J241" s="6"/>
      <c r="K241" s="6"/>
      <c r="L241" s="6"/>
      <c r="M241" s="6"/>
      <c r="N241" s="6"/>
      <c r="O241" s="6"/>
      <c r="P241" s="6"/>
      <c r="Q241" s="6"/>
      <c r="R241" s="6"/>
      <c r="S241" s="6"/>
      <c r="T241" s="6"/>
      <c r="U241" s="6"/>
    </row>
    <row r="242" spans="1:21">
      <c r="A242" s="82"/>
      <c r="B242" s="83"/>
      <c r="C242" s="82"/>
      <c r="D242" s="82"/>
      <c r="E242" s="82"/>
      <c r="F242" s="82"/>
      <c r="G242" s="222"/>
      <c r="H242" s="222"/>
      <c r="I242" s="222"/>
      <c r="J242" s="6"/>
      <c r="K242" s="6"/>
      <c r="L242" s="6"/>
      <c r="M242" s="6"/>
      <c r="N242" s="6"/>
      <c r="O242" s="6"/>
      <c r="P242" s="6"/>
      <c r="Q242" s="6"/>
      <c r="R242" s="6"/>
      <c r="S242" s="6"/>
      <c r="T242" s="6"/>
      <c r="U242" s="6"/>
    </row>
    <row r="243" spans="1:21">
      <c r="A243" s="82"/>
      <c r="B243" s="83"/>
      <c r="C243" s="82"/>
      <c r="D243" s="82"/>
      <c r="E243" s="82"/>
      <c r="F243" s="82"/>
      <c r="G243" s="222"/>
      <c r="H243" s="222"/>
      <c r="I243" s="222"/>
      <c r="J243" s="6"/>
      <c r="K243" s="6"/>
      <c r="L243" s="6"/>
      <c r="M243" s="6"/>
      <c r="N243" s="6"/>
      <c r="O243" s="6"/>
      <c r="P243" s="6"/>
      <c r="Q243" s="6"/>
      <c r="R243" s="6"/>
      <c r="S243" s="6"/>
      <c r="T243" s="6"/>
      <c r="U243" s="6"/>
    </row>
    <row r="244" spans="1:21">
      <c r="A244" s="82"/>
      <c r="B244" s="83"/>
      <c r="C244" s="82"/>
      <c r="D244" s="82"/>
      <c r="E244" s="82"/>
      <c r="F244" s="82"/>
      <c r="G244" s="222"/>
      <c r="H244" s="222"/>
      <c r="I244" s="222"/>
      <c r="J244" s="6"/>
      <c r="K244" s="6"/>
      <c r="L244" s="6"/>
      <c r="M244" s="6"/>
      <c r="N244" s="6"/>
      <c r="O244" s="6"/>
      <c r="P244" s="6"/>
      <c r="Q244" s="6"/>
      <c r="R244" s="6"/>
      <c r="S244" s="6"/>
      <c r="T244" s="6"/>
      <c r="U244" s="6"/>
    </row>
    <row r="245" spans="1:21">
      <c r="A245" s="82"/>
      <c r="B245" s="83"/>
      <c r="C245" s="82"/>
      <c r="D245" s="82"/>
      <c r="E245" s="82"/>
      <c r="F245" s="82"/>
      <c r="G245" s="222"/>
      <c r="H245" s="222"/>
      <c r="I245" s="222"/>
      <c r="J245" s="6"/>
      <c r="K245" s="6"/>
      <c r="L245" s="6"/>
      <c r="M245" s="6"/>
      <c r="N245" s="6"/>
      <c r="O245" s="6"/>
      <c r="P245" s="6"/>
      <c r="Q245" s="6"/>
      <c r="R245" s="6"/>
      <c r="S245" s="6"/>
      <c r="T245" s="6"/>
      <c r="U245" s="6"/>
    </row>
    <row r="246" spans="1:21">
      <c r="A246" s="82"/>
      <c r="B246" s="83"/>
      <c r="C246" s="82"/>
      <c r="D246" s="82"/>
      <c r="E246" s="82"/>
      <c r="F246" s="82"/>
      <c r="G246" s="222"/>
      <c r="H246" s="222"/>
      <c r="I246" s="222"/>
      <c r="J246" s="6"/>
      <c r="K246" s="6"/>
      <c r="L246" s="6"/>
      <c r="M246" s="6"/>
      <c r="N246" s="6"/>
      <c r="O246" s="6"/>
      <c r="P246" s="6"/>
      <c r="Q246" s="6"/>
      <c r="R246" s="6"/>
      <c r="S246" s="6"/>
      <c r="T246" s="6"/>
      <c r="U246" s="6"/>
    </row>
    <row r="247" spans="1:21">
      <c r="A247" s="82"/>
      <c r="B247" s="83"/>
      <c r="C247" s="82"/>
      <c r="D247" s="82"/>
      <c r="E247" s="82"/>
      <c r="F247" s="82"/>
      <c r="G247" s="222"/>
      <c r="H247" s="222"/>
      <c r="I247" s="222"/>
      <c r="J247" s="6"/>
      <c r="K247" s="6"/>
      <c r="L247" s="6"/>
      <c r="M247" s="6"/>
      <c r="N247" s="6"/>
      <c r="O247" s="6"/>
      <c r="P247" s="6"/>
      <c r="Q247" s="6"/>
      <c r="R247" s="6"/>
      <c r="S247" s="6"/>
      <c r="T247" s="6"/>
      <c r="U247" s="6"/>
    </row>
    <row r="248" spans="1:21">
      <c r="A248" s="82"/>
      <c r="B248" s="83"/>
      <c r="C248" s="82"/>
      <c r="D248" s="82"/>
      <c r="E248" s="82"/>
      <c r="F248" s="82"/>
      <c r="G248" s="222"/>
      <c r="H248" s="222"/>
      <c r="I248" s="222"/>
      <c r="J248" s="6"/>
      <c r="K248" s="6"/>
      <c r="L248" s="6"/>
      <c r="M248" s="6"/>
      <c r="N248" s="6"/>
      <c r="O248" s="6"/>
      <c r="P248" s="6"/>
      <c r="Q248" s="6"/>
      <c r="R248" s="6"/>
      <c r="S248" s="6"/>
      <c r="T248" s="6"/>
      <c r="U248" s="6"/>
    </row>
    <row r="249" spans="1:21">
      <c r="A249" s="82"/>
      <c r="B249" s="83"/>
      <c r="C249" s="82"/>
      <c r="D249" s="82"/>
      <c r="E249" s="82"/>
      <c r="F249" s="82"/>
      <c r="G249" s="222"/>
      <c r="H249" s="222"/>
      <c r="I249" s="222"/>
      <c r="J249" s="6"/>
      <c r="K249" s="6"/>
      <c r="L249" s="6"/>
      <c r="M249" s="6"/>
      <c r="N249" s="6"/>
      <c r="O249" s="6"/>
      <c r="P249" s="6"/>
      <c r="Q249" s="6"/>
      <c r="R249" s="6"/>
      <c r="S249" s="6"/>
      <c r="T249" s="6"/>
      <c r="U249" s="6"/>
    </row>
    <row r="250" spans="1:21">
      <c r="A250" s="82"/>
      <c r="B250" s="83"/>
      <c r="C250" s="82"/>
      <c r="D250" s="82"/>
      <c r="E250" s="82"/>
      <c r="F250" s="82"/>
      <c r="G250" s="222"/>
      <c r="H250" s="222"/>
      <c r="I250" s="222"/>
      <c r="J250" s="6"/>
      <c r="K250" s="6"/>
      <c r="L250" s="6"/>
      <c r="M250" s="6"/>
      <c r="N250" s="6"/>
      <c r="O250" s="6"/>
      <c r="P250" s="6"/>
      <c r="Q250" s="6"/>
      <c r="R250" s="6"/>
      <c r="S250" s="6"/>
      <c r="T250" s="6"/>
      <c r="U250" s="6"/>
    </row>
    <row r="251" spans="1:21">
      <c r="A251" s="82"/>
      <c r="B251" s="83"/>
      <c r="C251" s="82"/>
      <c r="D251" s="82"/>
      <c r="E251" s="82"/>
      <c r="F251" s="82"/>
      <c r="G251" s="222"/>
      <c r="H251" s="222"/>
      <c r="I251" s="222"/>
      <c r="J251" s="6"/>
      <c r="K251" s="6"/>
      <c r="L251" s="6"/>
      <c r="M251" s="6"/>
      <c r="N251" s="6"/>
      <c r="O251" s="6"/>
      <c r="P251" s="6"/>
      <c r="Q251" s="6"/>
      <c r="R251" s="6"/>
      <c r="S251" s="6"/>
      <c r="T251" s="6"/>
      <c r="U251" s="6"/>
    </row>
    <row r="252" spans="1:21">
      <c r="A252" s="82"/>
      <c r="B252" s="83"/>
      <c r="C252" s="82"/>
      <c r="D252" s="82"/>
      <c r="E252" s="82"/>
      <c r="F252" s="82"/>
      <c r="G252" s="222"/>
      <c r="H252" s="222"/>
      <c r="I252" s="222"/>
      <c r="J252" s="6"/>
      <c r="K252" s="6"/>
      <c r="L252" s="6"/>
      <c r="M252" s="6"/>
      <c r="N252" s="6"/>
      <c r="O252" s="6"/>
      <c r="P252" s="6"/>
      <c r="Q252" s="6"/>
      <c r="R252" s="6"/>
      <c r="S252" s="6"/>
      <c r="T252" s="6"/>
      <c r="U252" s="6"/>
    </row>
    <row r="253" spans="1:21">
      <c r="A253" s="82"/>
      <c r="B253" s="83"/>
      <c r="C253" s="82"/>
      <c r="D253" s="82"/>
      <c r="E253" s="82"/>
      <c r="F253" s="82"/>
      <c r="G253" s="222"/>
      <c r="H253" s="222"/>
      <c r="I253" s="222"/>
      <c r="J253" s="6"/>
      <c r="K253" s="6"/>
      <c r="L253" s="6"/>
      <c r="M253" s="6"/>
      <c r="N253" s="6"/>
      <c r="O253" s="6"/>
      <c r="P253" s="6"/>
      <c r="Q253" s="6"/>
      <c r="R253" s="6"/>
      <c r="S253" s="6"/>
      <c r="T253" s="6"/>
      <c r="U253" s="6"/>
    </row>
    <row r="254" spans="1:21">
      <c r="A254" s="82"/>
      <c r="B254" s="83"/>
      <c r="C254" s="82"/>
      <c r="D254" s="82"/>
      <c r="E254" s="82"/>
      <c r="F254" s="82"/>
      <c r="G254" s="222"/>
      <c r="H254" s="222"/>
      <c r="I254" s="222"/>
      <c r="J254" s="6"/>
      <c r="K254" s="6"/>
      <c r="L254" s="6"/>
      <c r="M254" s="6"/>
      <c r="N254" s="6"/>
      <c r="O254" s="6"/>
      <c r="P254" s="6"/>
      <c r="Q254" s="6"/>
      <c r="R254" s="6"/>
      <c r="S254" s="6"/>
      <c r="T254" s="6"/>
      <c r="U254" s="6"/>
    </row>
    <row r="255" spans="1:21">
      <c r="A255" s="82"/>
      <c r="B255" s="83"/>
      <c r="C255" s="82"/>
      <c r="D255" s="82"/>
      <c r="E255" s="82"/>
      <c r="F255" s="82"/>
      <c r="G255" s="222"/>
      <c r="H255" s="222"/>
      <c r="I255" s="222"/>
      <c r="J255" s="6"/>
      <c r="K255" s="6"/>
      <c r="L255" s="6"/>
      <c r="M255" s="6"/>
      <c r="N255" s="6"/>
      <c r="O255" s="6"/>
      <c r="P255" s="6"/>
      <c r="Q255" s="6"/>
      <c r="R255" s="6"/>
      <c r="S255" s="6"/>
      <c r="T255" s="6"/>
      <c r="U255" s="6"/>
    </row>
    <row r="256" spans="1:21">
      <c r="A256" s="82"/>
      <c r="B256" s="83"/>
      <c r="C256" s="82"/>
      <c r="D256" s="82"/>
      <c r="E256" s="82"/>
      <c r="F256" s="82"/>
      <c r="G256" s="222"/>
      <c r="H256" s="222"/>
      <c r="I256" s="222"/>
      <c r="J256" s="6"/>
      <c r="K256" s="6"/>
      <c r="L256" s="6"/>
      <c r="M256" s="6"/>
      <c r="N256" s="6"/>
      <c r="O256" s="6"/>
      <c r="P256" s="6"/>
      <c r="Q256" s="6"/>
      <c r="R256" s="6"/>
      <c r="S256" s="6"/>
      <c r="T256" s="6"/>
      <c r="U256" s="6"/>
    </row>
    <row r="257" spans="1:21">
      <c r="A257" s="82"/>
      <c r="B257" s="83"/>
      <c r="C257" s="82"/>
      <c r="D257" s="82"/>
      <c r="E257" s="82"/>
      <c r="F257" s="82"/>
      <c r="G257" s="222"/>
      <c r="H257" s="222"/>
      <c r="I257" s="222"/>
      <c r="J257" s="6"/>
      <c r="K257" s="6"/>
      <c r="L257" s="6"/>
      <c r="M257" s="6"/>
      <c r="N257" s="6"/>
      <c r="O257" s="6"/>
      <c r="P257" s="6"/>
      <c r="Q257" s="6"/>
      <c r="R257" s="6"/>
      <c r="S257" s="6"/>
      <c r="T257" s="6"/>
      <c r="U257" s="6"/>
    </row>
    <row r="258" spans="1:21">
      <c r="A258" s="82"/>
      <c r="B258" s="83"/>
      <c r="C258" s="82"/>
      <c r="D258" s="82"/>
      <c r="E258" s="82"/>
      <c r="F258" s="82"/>
      <c r="G258" s="222"/>
      <c r="H258" s="222"/>
      <c r="I258" s="222"/>
      <c r="J258" s="6"/>
      <c r="K258" s="6"/>
      <c r="L258" s="6"/>
      <c r="M258" s="6"/>
      <c r="N258" s="6"/>
      <c r="O258" s="6"/>
      <c r="P258" s="6"/>
      <c r="Q258" s="6"/>
      <c r="R258" s="6"/>
      <c r="S258" s="6"/>
      <c r="T258" s="6"/>
      <c r="U258" s="6"/>
    </row>
    <row r="259" spans="1:21">
      <c r="A259" s="82"/>
      <c r="B259" s="83"/>
      <c r="C259" s="82"/>
      <c r="D259" s="82"/>
      <c r="E259" s="82"/>
      <c r="F259" s="82"/>
      <c r="G259" s="222"/>
      <c r="H259" s="222"/>
      <c r="I259" s="222"/>
      <c r="J259" s="6"/>
      <c r="K259" s="6"/>
      <c r="L259" s="6"/>
      <c r="M259" s="6"/>
      <c r="N259" s="6"/>
      <c r="O259" s="6"/>
      <c r="P259" s="6"/>
      <c r="Q259" s="6"/>
      <c r="R259" s="6"/>
      <c r="S259" s="6"/>
      <c r="T259" s="6"/>
      <c r="U259" s="6"/>
    </row>
    <row r="260" spans="1:21">
      <c r="A260" s="82"/>
      <c r="B260" s="83"/>
      <c r="C260" s="82"/>
      <c r="D260" s="82"/>
      <c r="E260" s="82"/>
      <c r="F260" s="82"/>
      <c r="G260" s="222"/>
      <c r="H260" s="222"/>
      <c r="I260" s="222"/>
      <c r="J260" s="6"/>
      <c r="K260" s="6"/>
      <c r="L260" s="6"/>
      <c r="M260" s="6"/>
      <c r="N260" s="6"/>
      <c r="O260" s="6"/>
      <c r="P260" s="6"/>
      <c r="Q260" s="6"/>
      <c r="R260" s="6"/>
      <c r="S260" s="6"/>
      <c r="T260" s="6"/>
      <c r="U260" s="6"/>
    </row>
    <row r="261" spans="1:21">
      <c r="A261" s="82"/>
      <c r="B261" s="83"/>
      <c r="C261" s="82"/>
      <c r="D261" s="82"/>
      <c r="E261" s="82"/>
      <c r="F261" s="82"/>
      <c r="G261" s="222"/>
      <c r="H261" s="222"/>
      <c r="I261" s="222"/>
      <c r="J261" s="6"/>
      <c r="K261" s="6"/>
      <c r="L261" s="6"/>
      <c r="M261" s="6"/>
      <c r="N261" s="6"/>
      <c r="O261" s="6"/>
      <c r="P261" s="6"/>
      <c r="Q261" s="6"/>
      <c r="R261" s="6"/>
      <c r="S261" s="6"/>
      <c r="T261" s="6"/>
      <c r="U261" s="6"/>
    </row>
    <row r="262" spans="1:21">
      <c r="A262" s="82"/>
      <c r="B262" s="83"/>
      <c r="C262" s="82"/>
      <c r="D262" s="82"/>
      <c r="E262" s="82"/>
      <c r="F262" s="82"/>
      <c r="G262" s="222"/>
      <c r="H262" s="222"/>
      <c r="I262" s="222"/>
      <c r="J262" s="6"/>
      <c r="K262" s="6"/>
      <c r="L262" s="6"/>
      <c r="M262" s="6"/>
      <c r="N262" s="6"/>
      <c r="O262" s="6"/>
      <c r="P262" s="6"/>
      <c r="Q262" s="6"/>
      <c r="R262" s="6"/>
      <c r="S262" s="6"/>
      <c r="T262" s="6"/>
      <c r="U262" s="6"/>
    </row>
    <row r="263" spans="1:21">
      <c r="A263" s="82"/>
      <c r="B263" s="83"/>
      <c r="C263" s="82"/>
      <c r="D263" s="82"/>
      <c r="E263" s="82"/>
      <c r="F263" s="82"/>
      <c r="G263" s="222"/>
      <c r="H263" s="222"/>
      <c r="I263" s="222"/>
      <c r="J263" s="6"/>
      <c r="K263" s="6"/>
      <c r="L263" s="6"/>
      <c r="M263" s="6"/>
      <c r="N263" s="6"/>
      <c r="O263" s="6"/>
      <c r="P263" s="6"/>
      <c r="Q263" s="6"/>
      <c r="R263" s="6"/>
      <c r="S263" s="6"/>
      <c r="T263" s="6"/>
      <c r="U263" s="6"/>
    </row>
    <row r="264" spans="1:21">
      <c r="A264" s="82"/>
      <c r="B264" s="83"/>
      <c r="C264" s="82"/>
      <c r="D264" s="82"/>
      <c r="E264" s="82"/>
      <c r="F264" s="82"/>
      <c r="G264" s="222"/>
      <c r="H264" s="222"/>
      <c r="I264" s="222"/>
      <c r="J264" s="6"/>
      <c r="K264" s="6"/>
      <c r="L264" s="6"/>
      <c r="M264" s="6"/>
      <c r="N264" s="6"/>
      <c r="O264" s="6"/>
      <c r="P264" s="6"/>
      <c r="Q264" s="6"/>
      <c r="R264" s="6"/>
      <c r="S264" s="6"/>
      <c r="T264" s="6"/>
      <c r="U264" s="6"/>
    </row>
    <row r="265" spans="1:21">
      <c r="A265" s="82"/>
      <c r="B265" s="83"/>
      <c r="C265" s="82"/>
      <c r="D265" s="82"/>
      <c r="E265" s="82"/>
      <c r="F265" s="82"/>
      <c r="G265" s="222"/>
      <c r="H265" s="222"/>
      <c r="I265" s="222"/>
      <c r="J265" s="6"/>
      <c r="K265" s="6"/>
      <c r="L265" s="6"/>
      <c r="M265" s="6"/>
      <c r="N265" s="6"/>
      <c r="O265" s="6"/>
      <c r="P265" s="6"/>
      <c r="Q265" s="6"/>
      <c r="R265" s="6"/>
      <c r="S265" s="6"/>
      <c r="T265" s="6"/>
      <c r="U265" s="6"/>
    </row>
    <row r="266" spans="1:21">
      <c r="A266" s="82"/>
      <c r="B266" s="83"/>
      <c r="C266" s="82"/>
      <c r="D266" s="82"/>
      <c r="E266" s="82"/>
      <c r="F266" s="82"/>
      <c r="G266" s="222"/>
      <c r="H266" s="222"/>
      <c r="I266" s="222"/>
      <c r="J266" s="6"/>
      <c r="K266" s="6"/>
      <c r="L266" s="6"/>
      <c r="M266" s="6"/>
      <c r="N266" s="6"/>
      <c r="O266" s="6"/>
      <c r="P266" s="6"/>
      <c r="Q266" s="6"/>
      <c r="R266" s="6"/>
      <c r="S266" s="6"/>
      <c r="T266" s="6"/>
      <c r="U266" s="6"/>
    </row>
    <row r="267" spans="1:21">
      <c r="A267" s="82"/>
      <c r="B267" s="83"/>
      <c r="C267" s="82"/>
      <c r="D267" s="82"/>
      <c r="E267" s="82"/>
      <c r="F267" s="82"/>
      <c r="G267" s="222"/>
      <c r="H267" s="222"/>
      <c r="I267" s="222"/>
      <c r="J267" s="6"/>
      <c r="K267" s="6"/>
      <c r="L267" s="6"/>
      <c r="M267" s="6"/>
      <c r="N267" s="6"/>
      <c r="O267" s="6"/>
      <c r="P267" s="6"/>
      <c r="Q267" s="6"/>
      <c r="R267" s="6"/>
      <c r="S267" s="6"/>
      <c r="T267" s="6"/>
      <c r="U267" s="6"/>
    </row>
    <row r="268" spans="1:21">
      <c r="A268" s="82"/>
      <c r="B268" s="83"/>
      <c r="C268" s="82"/>
      <c r="D268" s="82"/>
      <c r="E268" s="82"/>
      <c r="F268" s="82"/>
      <c r="G268" s="222"/>
      <c r="H268" s="222"/>
      <c r="I268" s="222"/>
      <c r="J268" s="6"/>
      <c r="K268" s="6"/>
      <c r="L268" s="6"/>
      <c r="M268" s="6"/>
      <c r="N268" s="6"/>
      <c r="O268" s="6"/>
      <c r="P268" s="6"/>
      <c r="Q268" s="6"/>
      <c r="R268" s="6"/>
      <c r="S268" s="6"/>
      <c r="T268" s="6"/>
      <c r="U268" s="6"/>
    </row>
    <row r="269" spans="1:21">
      <c r="A269" s="82"/>
      <c r="B269" s="83"/>
      <c r="C269" s="82"/>
      <c r="D269" s="82"/>
      <c r="E269" s="82"/>
      <c r="F269" s="82"/>
      <c r="G269" s="222"/>
      <c r="H269" s="222"/>
      <c r="I269" s="222"/>
      <c r="J269" s="6"/>
      <c r="K269" s="6"/>
      <c r="L269" s="6"/>
      <c r="M269" s="6"/>
      <c r="N269" s="6"/>
      <c r="O269" s="6"/>
      <c r="P269" s="6"/>
      <c r="Q269" s="6"/>
      <c r="R269" s="6"/>
      <c r="S269" s="6"/>
      <c r="T269" s="6"/>
      <c r="U269" s="6"/>
    </row>
    <row r="270" spans="1:21">
      <c r="A270" s="82"/>
      <c r="B270" s="83"/>
      <c r="C270" s="82"/>
      <c r="D270" s="82"/>
      <c r="E270" s="82"/>
      <c r="F270" s="82"/>
      <c r="G270" s="222"/>
      <c r="H270" s="222"/>
      <c r="I270" s="222"/>
      <c r="J270" s="6"/>
      <c r="K270" s="6"/>
      <c r="L270" s="6"/>
      <c r="M270" s="6"/>
      <c r="N270" s="6"/>
      <c r="O270" s="6"/>
      <c r="P270" s="6"/>
      <c r="Q270" s="6"/>
      <c r="R270" s="6"/>
      <c r="S270" s="6"/>
      <c r="T270" s="6"/>
      <c r="U270" s="6"/>
    </row>
    <row r="271" spans="1:21">
      <c r="A271" s="82"/>
      <c r="B271" s="83"/>
      <c r="C271" s="82"/>
      <c r="D271" s="82"/>
      <c r="E271" s="82"/>
      <c r="F271" s="82"/>
      <c r="G271" s="222"/>
      <c r="H271" s="222"/>
      <c r="I271" s="222"/>
      <c r="J271" s="6"/>
      <c r="K271" s="6"/>
      <c r="L271" s="6"/>
      <c r="M271" s="6"/>
      <c r="N271" s="6"/>
      <c r="O271" s="6"/>
      <c r="P271" s="6"/>
      <c r="Q271" s="6"/>
      <c r="R271" s="6"/>
      <c r="S271" s="6"/>
      <c r="T271" s="6"/>
      <c r="U271" s="6"/>
    </row>
    <row r="272" spans="1:21">
      <c r="A272" s="82"/>
      <c r="B272" s="83"/>
      <c r="C272" s="82"/>
      <c r="D272" s="82"/>
      <c r="E272" s="82"/>
      <c r="F272" s="82"/>
      <c r="G272" s="222"/>
      <c r="H272" s="222"/>
      <c r="I272" s="222"/>
      <c r="J272" s="6"/>
      <c r="K272" s="6"/>
      <c r="L272" s="6"/>
      <c r="M272" s="6"/>
      <c r="N272" s="6"/>
      <c r="O272" s="6"/>
      <c r="P272" s="6"/>
      <c r="Q272" s="6"/>
      <c r="R272" s="6"/>
      <c r="S272" s="6"/>
      <c r="T272" s="6"/>
      <c r="U272" s="6"/>
    </row>
    <row r="273" spans="1:21">
      <c r="A273" s="82"/>
      <c r="B273" s="83"/>
      <c r="C273" s="82"/>
      <c r="D273" s="82"/>
      <c r="E273" s="82"/>
      <c r="F273" s="82"/>
      <c r="G273" s="222"/>
      <c r="H273" s="222"/>
      <c r="I273" s="222"/>
      <c r="J273" s="6"/>
      <c r="K273" s="6"/>
      <c r="L273" s="6"/>
      <c r="M273" s="6"/>
      <c r="N273" s="6"/>
      <c r="O273" s="6"/>
      <c r="P273" s="6"/>
      <c r="Q273" s="6"/>
      <c r="R273" s="6"/>
      <c r="S273" s="6"/>
      <c r="T273" s="6"/>
      <c r="U273" s="6"/>
    </row>
    <row r="274" spans="1:21">
      <c r="A274" s="82"/>
      <c r="B274" s="83"/>
      <c r="C274" s="82"/>
      <c r="D274" s="82"/>
      <c r="E274" s="82"/>
      <c r="F274" s="82"/>
      <c r="G274" s="222"/>
      <c r="H274" s="222"/>
      <c r="I274" s="222"/>
      <c r="J274" s="6"/>
      <c r="K274" s="6"/>
      <c r="L274" s="6"/>
      <c r="M274" s="6"/>
      <c r="N274" s="6"/>
      <c r="O274" s="6"/>
      <c r="P274" s="6"/>
      <c r="Q274" s="6"/>
      <c r="R274" s="6"/>
      <c r="S274" s="6"/>
      <c r="T274" s="6"/>
      <c r="U274" s="6"/>
    </row>
    <row r="275" spans="1:21">
      <c r="A275" s="82"/>
      <c r="B275" s="83"/>
      <c r="C275" s="82"/>
      <c r="D275" s="82"/>
      <c r="E275" s="82"/>
      <c r="F275" s="82"/>
      <c r="G275" s="222"/>
      <c r="H275" s="222"/>
      <c r="I275" s="222"/>
      <c r="J275" s="6"/>
      <c r="K275" s="6"/>
      <c r="L275" s="6"/>
      <c r="M275" s="6"/>
      <c r="N275" s="6"/>
      <c r="O275" s="6"/>
      <c r="P275" s="6"/>
      <c r="Q275" s="6"/>
      <c r="R275" s="6"/>
      <c r="S275" s="6"/>
      <c r="T275" s="6"/>
      <c r="U275" s="6"/>
    </row>
    <row r="276" spans="1:21">
      <c r="A276" s="82"/>
      <c r="B276" s="83"/>
      <c r="C276" s="82"/>
      <c r="D276" s="82"/>
      <c r="E276" s="82"/>
      <c r="F276" s="82"/>
      <c r="G276" s="222"/>
      <c r="H276" s="222"/>
      <c r="I276" s="222"/>
      <c r="J276" s="6"/>
      <c r="K276" s="6"/>
      <c r="L276" s="6"/>
      <c r="M276" s="6"/>
      <c r="N276" s="6"/>
      <c r="O276" s="6"/>
      <c r="P276" s="6"/>
      <c r="Q276" s="6"/>
      <c r="R276" s="6"/>
      <c r="S276" s="6"/>
      <c r="T276" s="6"/>
      <c r="U276" s="6"/>
    </row>
    <row r="277" spans="1:21">
      <c r="A277" s="82"/>
      <c r="B277" s="83"/>
      <c r="C277" s="82"/>
      <c r="D277" s="82"/>
      <c r="E277" s="82"/>
      <c r="F277" s="82"/>
      <c r="G277" s="222"/>
      <c r="H277" s="222"/>
      <c r="I277" s="222"/>
      <c r="J277" s="6"/>
      <c r="K277" s="6"/>
      <c r="L277" s="6"/>
      <c r="M277" s="6"/>
      <c r="N277" s="6"/>
      <c r="O277" s="6"/>
      <c r="P277" s="6"/>
      <c r="Q277" s="6"/>
      <c r="R277" s="6"/>
      <c r="S277" s="6"/>
      <c r="T277" s="6"/>
      <c r="U277" s="6"/>
    </row>
    <row r="278" spans="1:21">
      <c r="A278" s="82"/>
      <c r="B278" s="83"/>
      <c r="C278" s="82"/>
      <c r="D278" s="82"/>
      <c r="E278" s="82"/>
      <c r="F278" s="82"/>
      <c r="G278" s="222"/>
      <c r="H278" s="222"/>
      <c r="I278" s="222"/>
      <c r="J278" s="6"/>
      <c r="K278" s="6"/>
      <c r="L278" s="6"/>
      <c r="M278" s="6"/>
      <c r="N278" s="6"/>
      <c r="O278" s="6"/>
      <c r="P278" s="6"/>
      <c r="Q278" s="6"/>
      <c r="R278" s="6"/>
      <c r="S278" s="6"/>
      <c r="T278" s="6"/>
      <c r="U278" s="6"/>
    </row>
    <row r="279" spans="1:21">
      <c r="A279" s="82"/>
      <c r="B279" s="83"/>
      <c r="C279" s="82"/>
      <c r="D279" s="82"/>
      <c r="E279" s="82"/>
      <c r="F279" s="82"/>
      <c r="G279" s="222"/>
      <c r="H279" s="222"/>
      <c r="I279" s="222"/>
      <c r="J279" s="6"/>
      <c r="K279" s="6"/>
      <c r="L279" s="6"/>
      <c r="M279" s="6"/>
      <c r="N279" s="6"/>
      <c r="O279" s="6"/>
      <c r="P279" s="6"/>
      <c r="Q279" s="6"/>
      <c r="R279" s="6"/>
      <c r="S279" s="6"/>
      <c r="T279" s="6"/>
      <c r="U279" s="6"/>
    </row>
    <row r="280" spans="1:21">
      <c r="A280" s="82"/>
      <c r="B280" s="83"/>
      <c r="C280" s="82"/>
      <c r="D280" s="82"/>
      <c r="E280" s="82"/>
      <c r="F280" s="82"/>
      <c r="G280" s="222"/>
      <c r="H280" s="222"/>
      <c r="I280" s="222"/>
      <c r="J280" s="6"/>
      <c r="K280" s="6"/>
      <c r="L280" s="6"/>
      <c r="M280" s="6"/>
      <c r="N280" s="6"/>
      <c r="O280" s="6"/>
      <c r="P280" s="6"/>
      <c r="Q280" s="6"/>
      <c r="R280" s="6"/>
      <c r="S280" s="6"/>
      <c r="T280" s="6"/>
      <c r="U280" s="6"/>
    </row>
    <row r="281" spans="1:21">
      <c r="A281" s="82"/>
      <c r="B281" s="83"/>
      <c r="C281" s="82"/>
      <c r="D281" s="82"/>
      <c r="E281" s="82"/>
      <c r="F281" s="82"/>
      <c r="G281" s="222"/>
      <c r="H281" s="222"/>
      <c r="I281" s="222"/>
      <c r="J281" s="6"/>
      <c r="K281" s="6"/>
      <c r="L281" s="6"/>
      <c r="M281" s="6"/>
      <c r="N281" s="6"/>
      <c r="O281" s="6"/>
      <c r="P281" s="6"/>
      <c r="Q281" s="6"/>
      <c r="R281" s="6"/>
      <c r="S281" s="6"/>
      <c r="T281" s="6"/>
      <c r="U281" s="6"/>
    </row>
    <row r="282" spans="1:21">
      <c r="A282" s="82"/>
      <c r="B282" s="83"/>
      <c r="C282" s="82"/>
      <c r="D282" s="82"/>
      <c r="E282" s="82"/>
      <c r="F282" s="82"/>
      <c r="G282" s="222"/>
      <c r="H282" s="222"/>
      <c r="I282" s="222"/>
      <c r="J282" s="6"/>
      <c r="K282" s="6"/>
      <c r="L282" s="6"/>
      <c r="M282" s="6"/>
      <c r="N282" s="6"/>
      <c r="O282" s="6"/>
      <c r="P282" s="6"/>
      <c r="Q282" s="6"/>
      <c r="R282" s="6"/>
      <c r="S282" s="6"/>
      <c r="T282" s="6"/>
      <c r="U282" s="6"/>
    </row>
    <row r="283" spans="1:21">
      <c r="A283" s="82"/>
      <c r="B283" s="83"/>
      <c r="C283" s="82"/>
      <c r="D283" s="82"/>
      <c r="E283" s="82"/>
      <c r="F283" s="82"/>
      <c r="G283" s="222"/>
      <c r="H283" s="222"/>
      <c r="I283" s="222"/>
      <c r="J283" s="6"/>
      <c r="K283" s="6"/>
      <c r="L283" s="6"/>
      <c r="M283" s="6"/>
      <c r="N283" s="6"/>
      <c r="O283" s="6"/>
      <c r="P283" s="6"/>
      <c r="Q283" s="6"/>
      <c r="R283" s="6"/>
      <c r="S283" s="6"/>
      <c r="T283" s="6"/>
      <c r="U283" s="6"/>
    </row>
    <row r="284" spans="1:21">
      <c r="A284" s="82"/>
      <c r="B284" s="83"/>
      <c r="C284" s="82"/>
      <c r="D284" s="82"/>
      <c r="E284" s="82"/>
      <c r="F284" s="82"/>
      <c r="G284" s="222"/>
      <c r="H284" s="222"/>
      <c r="I284" s="222"/>
      <c r="J284" s="6"/>
      <c r="K284" s="6"/>
      <c r="L284" s="6"/>
      <c r="M284" s="6"/>
      <c r="N284" s="6"/>
      <c r="O284" s="6"/>
      <c r="P284" s="6"/>
      <c r="Q284" s="6"/>
      <c r="R284" s="6"/>
      <c r="S284" s="6"/>
      <c r="T284" s="6"/>
      <c r="U284" s="6"/>
    </row>
    <row r="285" spans="1:21">
      <c r="A285" s="82"/>
      <c r="B285" s="83"/>
      <c r="C285" s="82"/>
      <c r="D285" s="82"/>
      <c r="E285" s="82"/>
      <c r="F285" s="82"/>
      <c r="G285" s="222"/>
      <c r="H285" s="222"/>
      <c r="I285" s="222"/>
      <c r="J285" s="6"/>
      <c r="K285" s="6"/>
      <c r="L285" s="6"/>
      <c r="M285" s="6"/>
      <c r="N285" s="6"/>
      <c r="O285" s="6"/>
      <c r="P285" s="6"/>
      <c r="Q285" s="6"/>
      <c r="R285" s="6"/>
      <c r="S285" s="6"/>
      <c r="T285" s="6"/>
      <c r="U285" s="6"/>
    </row>
    <row r="286" spans="1:21">
      <c r="A286" s="82"/>
      <c r="B286" s="83"/>
      <c r="C286" s="82"/>
      <c r="D286" s="82"/>
      <c r="E286" s="82"/>
      <c r="F286" s="82"/>
      <c r="G286" s="222"/>
      <c r="H286" s="222"/>
      <c r="I286" s="222"/>
      <c r="J286" s="6"/>
      <c r="K286" s="6"/>
      <c r="L286" s="6"/>
      <c r="M286" s="6"/>
      <c r="N286" s="6"/>
      <c r="O286" s="6"/>
      <c r="P286" s="6"/>
      <c r="Q286" s="6"/>
      <c r="R286" s="6"/>
      <c r="S286" s="6"/>
      <c r="T286" s="6"/>
      <c r="U286" s="6"/>
    </row>
    <row r="287" spans="1:21">
      <c r="A287" s="82"/>
      <c r="B287" s="83"/>
      <c r="C287" s="82"/>
      <c r="D287" s="82"/>
      <c r="E287" s="82"/>
      <c r="F287" s="82"/>
      <c r="G287" s="222"/>
      <c r="H287" s="222"/>
      <c r="I287" s="222"/>
      <c r="J287" s="6"/>
      <c r="K287" s="6"/>
      <c r="L287" s="6"/>
      <c r="M287" s="6"/>
      <c r="N287" s="6"/>
      <c r="O287" s="6"/>
      <c r="P287" s="6"/>
      <c r="Q287" s="6"/>
      <c r="R287" s="6"/>
      <c r="S287" s="6"/>
      <c r="T287" s="6"/>
      <c r="U287" s="6"/>
    </row>
    <row r="288" spans="1:21">
      <c r="A288" s="82"/>
      <c r="B288" s="83"/>
      <c r="C288" s="82"/>
      <c r="D288" s="82"/>
      <c r="E288" s="82"/>
      <c r="F288" s="82"/>
      <c r="G288" s="222"/>
      <c r="H288" s="222"/>
      <c r="I288" s="222"/>
      <c r="J288" s="6"/>
      <c r="K288" s="6"/>
      <c r="L288" s="6"/>
      <c r="M288" s="6"/>
      <c r="N288" s="6"/>
      <c r="O288" s="6"/>
      <c r="P288" s="6"/>
      <c r="Q288" s="6"/>
      <c r="R288" s="6"/>
      <c r="S288" s="6"/>
      <c r="T288" s="6"/>
      <c r="U288" s="6"/>
    </row>
    <row r="289" spans="1:21">
      <c r="A289" s="82"/>
      <c r="B289" s="83"/>
      <c r="C289" s="82"/>
      <c r="D289" s="82"/>
      <c r="E289" s="82"/>
      <c r="F289" s="82"/>
      <c r="G289" s="222"/>
      <c r="H289" s="222"/>
      <c r="I289" s="222"/>
      <c r="J289" s="6"/>
      <c r="K289" s="6"/>
      <c r="L289" s="6"/>
      <c r="M289" s="6"/>
      <c r="N289" s="6"/>
      <c r="O289" s="6"/>
      <c r="P289" s="6"/>
      <c r="Q289" s="6"/>
      <c r="R289" s="6"/>
      <c r="S289" s="6"/>
      <c r="T289" s="6"/>
      <c r="U289" s="6"/>
    </row>
    <row r="290" spans="1:21">
      <c r="A290" s="82"/>
      <c r="B290" s="83"/>
      <c r="C290" s="82"/>
      <c r="D290" s="82"/>
      <c r="E290" s="82"/>
      <c r="F290" s="82"/>
      <c r="G290" s="222"/>
      <c r="H290" s="222"/>
      <c r="I290" s="222"/>
      <c r="J290" s="6"/>
      <c r="K290" s="6"/>
      <c r="L290" s="6"/>
      <c r="M290" s="6"/>
      <c r="N290" s="6"/>
      <c r="O290" s="6"/>
      <c r="P290" s="6"/>
      <c r="Q290" s="6"/>
      <c r="R290" s="6"/>
      <c r="S290" s="6"/>
      <c r="T290" s="6"/>
      <c r="U290" s="6"/>
    </row>
    <row r="291" spans="1:21">
      <c r="A291" s="82"/>
      <c r="B291" s="83"/>
      <c r="C291" s="82"/>
      <c r="D291" s="82"/>
      <c r="E291" s="82"/>
      <c r="F291" s="82"/>
      <c r="G291" s="222"/>
      <c r="H291" s="222"/>
      <c r="I291" s="222"/>
      <c r="J291" s="6"/>
      <c r="K291" s="6"/>
      <c r="L291" s="6"/>
      <c r="M291" s="6"/>
      <c r="N291" s="6"/>
      <c r="O291" s="6"/>
      <c r="P291" s="6"/>
      <c r="Q291" s="6"/>
      <c r="R291" s="6"/>
      <c r="S291" s="6"/>
      <c r="T291" s="6"/>
      <c r="U291" s="6"/>
    </row>
    <row r="292" spans="1:21">
      <c r="A292" s="82"/>
      <c r="B292" s="83"/>
      <c r="C292" s="82"/>
      <c r="D292" s="82"/>
      <c r="E292" s="82"/>
      <c r="F292" s="82"/>
      <c r="G292" s="222"/>
      <c r="H292" s="222"/>
      <c r="I292" s="222"/>
      <c r="J292" s="6"/>
      <c r="K292" s="6"/>
      <c r="L292" s="6"/>
      <c r="M292" s="6"/>
      <c r="N292" s="6"/>
      <c r="O292" s="6"/>
      <c r="P292" s="6"/>
      <c r="Q292" s="6"/>
      <c r="R292" s="6"/>
      <c r="S292" s="6"/>
      <c r="T292" s="6"/>
      <c r="U292" s="6"/>
    </row>
    <row r="293" spans="1:21">
      <c r="A293" s="82"/>
      <c r="B293" s="83"/>
      <c r="C293" s="82"/>
      <c r="D293" s="82"/>
      <c r="E293" s="82"/>
      <c r="F293" s="82"/>
      <c r="G293" s="222"/>
      <c r="H293" s="222"/>
      <c r="I293" s="222"/>
      <c r="J293" s="6"/>
      <c r="K293" s="6"/>
      <c r="L293" s="6"/>
      <c r="M293" s="6"/>
      <c r="N293" s="6"/>
      <c r="O293" s="6"/>
      <c r="P293" s="6"/>
      <c r="Q293" s="6"/>
      <c r="R293" s="6"/>
      <c r="S293" s="6"/>
      <c r="T293" s="6"/>
      <c r="U293" s="6"/>
    </row>
    <row r="294" spans="1:21">
      <c r="A294" s="82"/>
      <c r="B294" s="83"/>
      <c r="C294" s="82"/>
      <c r="D294" s="82"/>
      <c r="E294" s="82"/>
      <c r="F294" s="82"/>
      <c r="G294" s="222"/>
      <c r="H294" s="222"/>
      <c r="I294" s="222"/>
      <c r="J294" s="6"/>
      <c r="K294" s="6"/>
      <c r="L294" s="6"/>
      <c r="M294" s="6"/>
      <c r="N294" s="6"/>
      <c r="O294" s="6"/>
      <c r="P294" s="6"/>
      <c r="Q294" s="6"/>
      <c r="R294" s="6"/>
      <c r="S294" s="6"/>
      <c r="T294" s="6"/>
      <c r="U294" s="6"/>
    </row>
    <row r="295" spans="1:21">
      <c r="A295" s="82"/>
      <c r="B295" s="83"/>
      <c r="C295" s="82"/>
      <c r="D295" s="82"/>
      <c r="E295" s="82"/>
      <c r="F295" s="82"/>
      <c r="G295" s="222"/>
      <c r="H295" s="222"/>
      <c r="I295" s="222"/>
      <c r="J295" s="6"/>
      <c r="K295" s="6"/>
      <c r="L295" s="6"/>
      <c r="M295" s="6"/>
      <c r="N295" s="6"/>
      <c r="O295" s="6"/>
      <c r="P295" s="6"/>
      <c r="Q295" s="6"/>
      <c r="R295" s="6"/>
      <c r="S295" s="6"/>
      <c r="T295" s="6"/>
      <c r="U295" s="6"/>
    </row>
    <row r="296" spans="1:21">
      <c r="A296" s="82"/>
      <c r="B296" s="83"/>
      <c r="C296" s="82"/>
      <c r="D296" s="82"/>
      <c r="E296" s="82"/>
      <c r="F296" s="82"/>
      <c r="G296" s="222"/>
      <c r="H296" s="222"/>
      <c r="I296" s="222"/>
      <c r="J296" s="6"/>
      <c r="K296" s="6"/>
      <c r="L296" s="6"/>
      <c r="M296" s="6"/>
      <c r="N296" s="6"/>
      <c r="O296" s="6"/>
      <c r="P296" s="6"/>
      <c r="Q296" s="6"/>
      <c r="R296" s="6"/>
      <c r="S296" s="6"/>
      <c r="T296" s="6"/>
      <c r="U296" s="6"/>
    </row>
    <row r="297" spans="1:21">
      <c r="A297" s="82"/>
      <c r="B297" s="83"/>
      <c r="C297" s="82"/>
      <c r="D297" s="82"/>
      <c r="E297" s="82"/>
      <c r="F297" s="82"/>
      <c r="G297" s="222"/>
      <c r="H297" s="222"/>
      <c r="I297" s="222"/>
      <c r="J297" s="6"/>
      <c r="K297" s="6"/>
      <c r="L297" s="6"/>
      <c r="M297" s="6"/>
      <c r="N297" s="6"/>
      <c r="O297" s="6"/>
      <c r="P297" s="6"/>
      <c r="Q297" s="6"/>
      <c r="R297" s="6"/>
      <c r="S297" s="6"/>
      <c r="T297" s="6"/>
      <c r="U297" s="6"/>
    </row>
    <row r="298" spans="1:21">
      <c r="A298" s="82"/>
      <c r="B298" s="83"/>
      <c r="C298" s="82"/>
      <c r="D298" s="82"/>
      <c r="E298" s="82"/>
      <c r="F298" s="82"/>
      <c r="G298" s="222"/>
      <c r="H298" s="222"/>
      <c r="I298" s="222"/>
      <c r="J298" s="6"/>
      <c r="K298" s="6"/>
      <c r="L298" s="6"/>
      <c r="M298" s="6"/>
      <c r="N298" s="6"/>
      <c r="O298" s="6"/>
      <c r="P298" s="6"/>
      <c r="Q298" s="6"/>
      <c r="R298" s="6"/>
      <c r="S298" s="6"/>
      <c r="T298" s="6"/>
      <c r="U298" s="6"/>
    </row>
    <row r="299" spans="1:21">
      <c r="A299" s="82"/>
      <c r="B299" s="83"/>
      <c r="C299" s="82"/>
      <c r="D299" s="82"/>
      <c r="E299" s="82"/>
      <c r="F299" s="82"/>
      <c r="G299" s="222"/>
      <c r="H299" s="222"/>
      <c r="I299" s="222"/>
      <c r="J299" s="6"/>
      <c r="K299" s="6"/>
      <c r="L299" s="6"/>
      <c r="M299" s="6"/>
      <c r="N299" s="6"/>
      <c r="O299" s="6"/>
      <c r="P299" s="6"/>
      <c r="Q299" s="6"/>
      <c r="R299" s="6"/>
      <c r="S299" s="6"/>
      <c r="T299" s="6"/>
      <c r="U299" s="6"/>
    </row>
    <row r="300" spans="1:21">
      <c r="A300" s="82"/>
      <c r="B300" s="83"/>
      <c r="C300" s="82"/>
      <c r="D300" s="82"/>
      <c r="E300" s="82"/>
      <c r="F300" s="82"/>
      <c r="G300" s="222"/>
      <c r="H300" s="222"/>
      <c r="I300" s="222"/>
      <c r="J300" s="6"/>
      <c r="K300" s="6"/>
      <c r="L300" s="6"/>
      <c r="M300" s="6"/>
      <c r="N300" s="6"/>
      <c r="O300" s="6"/>
      <c r="P300" s="6"/>
      <c r="Q300" s="6"/>
      <c r="R300" s="6"/>
      <c r="S300" s="6"/>
      <c r="T300" s="6"/>
      <c r="U300" s="6"/>
    </row>
    <row r="301" spans="1:21">
      <c r="A301" s="82"/>
      <c r="B301" s="83"/>
      <c r="C301" s="82"/>
      <c r="D301" s="82"/>
      <c r="E301" s="82"/>
      <c r="F301" s="82"/>
      <c r="G301" s="222"/>
      <c r="H301" s="222"/>
      <c r="I301" s="222"/>
      <c r="J301" s="6"/>
      <c r="K301" s="6"/>
      <c r="L301" s="6"/>
      <c r="M301" s="6"/>
      <c r="N301" s="6"/>
      <c r="O301" s="6"/>
      <c r="P301" s="6"/>
      <c r="Q301" s="6"/>
      <c r="R301" s="6"/>
      <c r="S301" s="6"/>
      <c r="T301" s="6"/>
      <c r="U301" s="6"/>
    </row>
    <row r="302" spans="1:21">
      <c r="A302" s="82"/>
      <c r="B302" s="83"/>
      <c r="C302" s="82"/>
      <c r="D302" s="82"/>
      <c r="E302" s="82"/>
      <c r="F302" s="82"/>
      <c r="G302" s="222"/>
      <c r="H302" s="222"/>
      <c r="I302" s="222"/>
      <c r="J302" s="6"/>
      <c r="K302" s="6"/>
      <c r="L302" s="6"/>
      <c r="M302" s="6"/>
      <c r="N302" s="6"/>
      <c r="O302" s="6"/>
      <c r="P302" s="6"/>
      <c r="Q302" s="6"/>
      <c r="R302" s="6"/>
      <c r="S302" s="6"/>
      <c r="T302" s="6"/>
      <c r="U302" s="6"/>
    </row>
    <row r="303" spans="1:21">
      <c r="A303" s="82"/>
      <c r="B303" s="83"/>
      <c r="C303" s="82"/>
      <c r="D303" s="82"/>
      <c r="E303" s="82"/>
      <c r="F303" s="82"/>
      <c r="G303" s="222"/>
      <c r="H303" s="222"/>
      <c r="I303" s="222"/>
      <c r="J303" s="6"/>
      <c r="K303" s="6"/>
      <c r="L303" s="6"/>
      <c r="M303" s="6"/>
      <c r="N303" s="6"/>
      <c r="O303" s="6"/>
      <c r="P303" s="6"/>
      <c r="Q303" s="6"/>
      <c r="R303" s="6"/>
      <c r="S303" s="6"/>
      <c r="T303" s="6"/>
      <c r="U303" s="6"/>
    </row>
    <row r="304" spans="1:21">
      <c r="A304" s="82"/>
      <c r="B304" s="83"/>
      <c r="C304" s="82"/>
      <c r="D304" s="82"/>
      <c r="E304" s="82"/>
      <c r="F304" s="82"/>
      <c r="G304" s="222"/>
      <c r="H304" s="222"/>
      <c r="I304" s="222"/>
      <c r="J304" s="6"/>
      <c r="K304" s="6"/>
      <c r="L304" s="6"/>
      <c r="M304" s="6"/>
      <c r="N304" s="6"/>
      <c r="O304" s="6"/>
      <c r="P304" s="6"/>
      <c r="Q304" s="6"/>
      <c r="R304" s="6"/>
      <c r="S304" s="6"/>
      <c r="T304" s="6"/>
      <c r="U304" s="6"/>
    </row>
    <row r="305" spans="1:21">
      <c r="A305" s="82"/>
      <c r="B305" s="83"/>
      <c r="C305" s="82"/>
      <c r="D305" s="82"/>
      <c r="E305" s="82"/>
      <c r="F305" s="82"/>
      <c r="G305" s="222"/>
      <c r="H305" s="222"/>
      <c r="I305" s="222"/>
      <c r="J305" s="6"/>
      <c r="K305" s="6"/>
      <c r="L305" s="6"/>
      <c r="M305" s="6"/>
      <c r="N305" s="6"/>
      <c r="O305" s="6"/>
      <c r="P305" s="6"/>
      <c r="Q305" s="6"/>
      <c r="R305" s="6"/>
      <c r="S305" s="6"/>
      <c r="T305" s="6"/>
      <c r="U305" s="6"/>
    </row>
    <row r="306" spans="1:21">
      <c r="A306" s="82"/>
      <c r="B306" s="83"/>
      <c r="C306" s="82"/>
      <c r="D306" s="82"/>
      <c r="E306" s="82"/>
      <c r="F306" s="82"/>
      <c r="G306" s="222"/>
      <c r="H306" s="222"/>
      <c r="I306" s="222"/>
      <c r="J306" s="6"/>
      <c r="K306" s="6"/>
      <c r="L306" s="6"/>
      <c r="M306" s="6"/>
      <c r="N306" s="6"/>
      <c r="O306" s="6"/>
      <c r="P306" s="6"/>
      <c r="Q306" s="6"/>
      <c r="R306" s="6"/>
      <c r="S306" s="6"/>
      <c r="T306" s="6"/>
      <c r="U306" s="6"/>
    </row>
    <row r="307" spans="1:21">
      <c r="A307" s="82"/>
      <c r="B307" s="83"/>
      <c r="C307" s="82"/>
      <c r="D307" s="82"/>
      <c r="E307" s="82"/>
      <c r="F307" s="82"/>
      <c r="G307" s="222"/>
      <c r="H307" s="222"/>
      <c r="I307" s="222"/>
      <c r="J307" s="6"/>
      <c r="K307" s="6"/>
      <c r="L307" s="6"/>
      <c r="M307" s="6"/>
      <c r="N307" s="6"/>
      <c r="O307" s="6"/>
      <c r="P307" s="6"/>
      <c r="Q307" s="6"/>
      <c r="R307" s="6"/>
      <c r="S307" s="6"/>
      <c r="T307" s="6"/>
      <c r="U307" s="6"/>
    </row>
    <row r="308" spans="1:21">
      <c r="A308" s="82"/>
      <c r="B308" s="83"/>
      <c r="C308" s="82"/>
      <c r="D308" s="82"/>
      <c r="E308" s="82"/>
      <c r="F308" s="82"/>
      <c r="G308" s="222"/>
      <c r="H308" s="222"/>
      <c r="I308" s="222"/>
      <c r="J308" s="6"/>
      <c r="K308" s="6"/>
      <c r="L308" s="6"/>
      <c r="M308" s="6"/>
      <c r="N308" s="6"/>
      <c r="O308" s="6"/>
      <c r="P308" s="6"/>
      <c r="Q308" s="6"/>
      <c r="R308" s="6"/>
      <c r="S308" s="6"/>
      <c r="T308" s="6"/>
      <c r="U308" s="6"/>
    </row>
    <row r="309" spans="1:21">
      <c r="A309" s="82"/>
      <c r="B309" s="83"/>
      <c r="C309" s="82"/>
      <c r="D309" s="82"/>
      <c r="E309" s="82"/>
      <c r="F309" s="82"/>
      <c r="G309" s="222"/>
      <c r="H309" s="222"/>
      <c r="I309" s="222"/>
      <c r="J309" s="6"/>
      <c r="K309" s="6"/>
      <c r="L309" s="6"/>
      <c r="M309" s="6"/>
      <c r="N309" s="6"/>
      <c r="O309" s="6"/>
      <c r="P309" s="6"/>
      <c r="Q309" s="6"/>
      <c r="R309" s="6"/>
      <c r="S309" s="6"/>
      <c r="T309" s="6"/>
      <c r="U309" s="6"/>
    </row>
    <row r="310" spans="1:21">
      <c r="A310" s="82"/>
      <c r="B310" s="83"/>
      <c r="C310" s="82"/>
      <c r="D310" s="82"/>
      <c r="E310" s="82"/>
      <c r="F310" s="82"/>
      <c r="G310" s="222"/>
      <c r="H310" s="222"/>
      <c r="I310" s="222"/>
      <c r="J310" s="6"/>
      <c r="K310" s="6"/>
      <c r="L310" s="6"/>
      <c r="M310" s="6"/>
      <c r="N310" s="6"/>
      <c r="O310" s="6"/>
      <c r="P310" s="6"/>
      <c r="Q310" s="6"/>
      <c r="R310" s="6"/>
      <c r="S310" s="6"/>
      <c r="T310" s="6"/>
      <c r="U310" s="6"/>
    </row>
    <row r="311" spans="1:21">
      <c r="A311" s="82"/>
      <c r="B311" s="83"/>
      <c r="C311" s="82"/>
      <c r="D311" s="82"/>
      <c r="E311" s="82"/>
      <c r="F311" s="82"/>
      <c r="G311" s="222"/>
      <c r="H311" s="222"/>
      <c r="I311" s="222"/>
      <c r="J311" s="6"/>
      <c r="K311" s="6"/>
      <c r="L311" s="6"/>
      <c r="M311" s="6"/>
      <c r="N311" s="6"/>
      <c r="O311" s="6"/>
      <c r="P311" s="6"/>
      <c r="Q311" s="6"/>
      <c r="R311" s="6"/>
      <c r="S311" s="6"/>
      <c r="T311" s="6"/>
      <c r="U311" s="6"/>
    </row>
    <row r="312" spans="1:21">
      <c r="A312" s="82"/>
      <c r="B312" s="83"/>
      <c r="C312" s="82"/>
      <c r="D312" s="82"/>
      <c r="E312" s="82"/>
      <c r="F312" s="82"/>
      <c r="G312" s="222"/>
      <c r="H312" s="222"/>
      <c r="I312" s="222"/>
      <c r="J312" s="6"/>
      <c r="K312" s="6"/>
      <c r="L312" s="6"/>
      <c r="M312" s="6"/>
      <c r="N312" s="6"/>
      <c r="O312" s="6"/>
      <c r="P312" s="6"/>
      <c r="Q312" s="6"/>
      <c r="R312" s="6"/>
      <c r="S312" s="6"/>
      <c r="T312" s="6"/>
      <c r="U312" s="6"/>
    </row>
    <row r="313" spans="1:21">
      <c r="A313" s="82"/>
      <c r="B313" s="83"/>
      <c r="C313" s="82"/>
      <c r="D313" s="82"/>
      <c r="E313" s="82"/>
      <c r="F313" s="82"/>
      <c r="G313" s="222"/>
      <c r="H313" s="222"/>
      <c r="I313" s="222"/>
      <c r="J313" s="6"/>
      <c r="K313" s="6"/>
      <c r="L313" s="6"/>
      <c r="M313" s="6"/>
      <c r="N313" s="6"/>
      <c r="O313" s="6"/>
      <c r="P313" s="6"/>
      <c r="Q313" s="6"/>
      <c r="R313" s="6"/>
      <c r="S313" s="6"/>
      <c r="T313" s="6"/>
      <c r="U313" s="6"/>
    </row>
    <row r="314" spans="1:21">
      <c r="A314" s="82"/>
      <c r="B314" s="83"/>
      <c r="C314" s="82"/>
      <c r="D314" s="82"/>
      <c r="E314" s="82"/>
      <c r="F314" s="82"/>
      <c r="G314" s="222"/>
      <c r="H314" s="222"/>
      <c r="I314" s="222"/>
      <c r="J314" s="6"/>
      <c r="K314" s="6"/>
      <c r="L314" s="6"/>
      <c r="M314" s="6"/>
      <c r="N314" s="6"/>
      <c r="O314" s="6"/>
      <c r="P314" s="6"/>
      <c r="Q314" s="6"/>
      <c r="R314" s="6"/>
      <c r="S314" s="6"/>
      <c r="T314" s="6"/>
      <c r="U314" s="6"/>
    </row>
    <row r="315" spans="1:21">
      <c r="A315" s="82"/>
      <c r="B315" s="83"/>
      <c r="C315" s="82"/>
      <c r="D315" s="82"/>
      <c r="E315" s="82"/>
      <c r="F315" s="82"/>
      <c r="G315" s="222"/>
      <c r="H315" s="222"/>
      <c r="I315" s="222"/>
      <c r="J315" s="6"/>
      <c r="K315" s="6"/>
      <c r="L315" s="6"/>
      <c r="M315" s="6"/>
      <c r="N315" s="6"/>
      <c r="O315" s="6"/>
      <c r="P315" s="6"/>
      <c r="Q315" s="6"/>
      <c r="R315" s="6"/>
      <c r="S315" s="6"/>
      <c r="T315" s="6"/>
      <c r="U315" s="6"/>
    </row>
    <row r="316" spans="1:21">
      <c r="A316" s="82"/>
      <c r="B316" s="83"/>
      <c r="C316" s="82"/>
      <c r="D316" s="82"/>
      <c r="E316" s="82"/>
      <c r="F316" s="82"/>
      <c r="G316" s="222"/>
      <c r="H316" s="222"/>
      <c r="I316" s="222"/>
      <c r="J316" s="6"/>
      <c r="K316" s="6"/>
      <c r="L316" s="6"/>
      <c r="M316" s="6"/>
      <c r="N316" s="6"/>
      <c r="O316" s="6"/>
      <c r="P316" s="6"/>
      <c r="Q316" s="6"/>
      <c r="R316" s="6"/>
      <c r="S316" s="6"/>
      <c r="T316" s="6"/>
      <c r="U316" s="6"/>
    </row>
    <row r="317" spans="1:21">
      <c r="A317" s="82"/>
      <c r="B317" s="83"/>
      <c r="C317" s="82"/>
      <c r="D317" s="82"/>
      <c r="E317" s="82"/>
      <c r="F317" s="82"/>
      <c r="G317" s="222"/>
      <c r="H317" s="222"/>
      <c r="I317" s="222"/>
      <c r="J317" s="6"/>
      <c r="K317" s="6"/>
      <c r="L317" s="6"/>
      <c r="M317" s="6"/>
      <c r="N317" s="6"/>
      <c r="O317" s="6"/>
      <c r="P317" s="6"/>
      <c r="Q317" s="6"/>
      <c r="R317" s="6"/>
      <c r="S317" s="6"/>
      <c r="T317" s="6"/>
      <c r="U317" s="6"/>
    </row>
    <row r="318" spans="1:21">
      <c r="A318" s="82"/>
      <c r="B318" s="83"/>
      <c r="C318" s="82"/>
      <c r="D318" s="82"/>
      <c r="E318" s="82"/>
      <c r="F318" s="82"/>
      <c r="G318" s="222"/>
      <c r="H318" s="222"/>
      <c r="I318" s="222"/>
      <c r="J318" s="6"/>
      <c r="K318" s="6"/>
      <c r="L318" s="6"/>
      <c r="M318" s="6"/>
      <c r="N318" s="6"/>
      <c r="O318" s="6"/>
      <c r="P318" s="6"/>
      <c r="Q318" s="6"/>
      <c r="R318" s="6"/>
      <c r="S318" s="6"/>
      <c r="T318" s="6"/>
      <c r="U318" s="6"/>
    </row>
    <row r="319" spans="1:21">
      <c r="A319" s="82"/>
      <c r="B319" s="83"/>
      <c r="C319" s="82"/>
      <c r="D319" s="82"/>
      <c r="E319" s="82"/>
      <c r="F319" s="82"/>
      <c r="G319" s="222"/>
      <c r="H319" s="222"/>
      <c r="I319" s="222"/>
      <c r="J319" s="6"/>
      <c r="K319" s="6"/>
      <c r="L319" s="6"/>
      <c r="M319" s="6"/>
      <c r="N319" s="6"/>
      <c r="O319" s="6"/>
      <c r="P319" s="6"/>
      <c r="Q319" s="6"/>
      <c r="R319" s="6"/>
      <c r="S319" s="6"/>
      <c r="T319" s="6"/>
      <c r="U319" s="6"/>
    </row>
    <row r="320" spans="1:21">
      <c r="A320" s="82"/>
      <c r="B320" s="83"/>
      <c r="C320" s="82"/>
      <c r="D320" s="82"/>
      <c r="E320" s="82"/>
      <c r="F320" s="82"/>
      <c r="G320" s="222"/>
      <c r="H320" s="222"/>
      <c r="I320" s="222"/>
      <c r="J320" s="6"/>
      <c r="K320" s="6"/>
      <c r="L320" s="6"/>
      <c r="M320" s="6"/>
      <c r="N320" s="6"/>
      <c r="O320" s="6"/>
      <c r="P320" s="6"/>
      <c r="Q320" s="6"/>
      <c r="R320" s="6"/>
      <c r="S320" s="6"/>
      <c r="T320" s="6"/>
      <c r="U320" s="6"/>
    </row>
    <row r="321" spans="1:21">
      <c r="A321" s="82"/>
      <c r="B321" s="83"/>
      <c r="C321" s="82"/>
      <c r="D321" s="82"/>
      <c r="E321" s="82"/>
      <c r="F321" s="82"/>
      <c r="G321" s="222"/>
      <c r="H321" s="222"/>
      <c r="I321" s="222"/>
      <c r="J321" s="6"/>
      <c r="K321" s="6"/>
      <c r="L321" s="6"/>
      <c r="M321" s="6"/>
      <c r="N321" s="6"/>
      <c r="O321" s="6"/>
      <c r="P321" s="6"/>
      <c r="Q321" s="6"/>
      <c r="R321" s="6"/>
      <c r="S321" s="6"/>
      <c r="T321" s="6"/>
      <c r="U321" s="6"/>
    </row>
    <row r="322" spans="1:21">
      <c r="A322" s="82"/>
      <c r="B322" s="83"/>
      <c r="C322" s="82"/>
      <c r="D322" s="82"/>
      <c r="E322" s="82"/>
      <c r="F322" s="82"/>
      <c r="G322" s="222"/>
      <c r="H322" s="222"/>
      <c r="I322" s="222"/>
      <c r="J322" s="6"/>
      <c r="K322" s="6"/>
      <c r="L322" s="6"/>
      <c r="M322" s="6"/>
      <c r="N322" s="6"/>
      <c r="O322" s="6"/>
      <c r="P322" s="6"/>
      <c r="Q322" s="6"/>
      <c r="R322" s="6"/>
      <c r="S322" s="6"/>
      <c r="T322" s="6"/>
      <c r="U322" s="6"/>
    </row>
    <row r="323" spans="1:21">
      <c r="A323" s="82"/>
      <c r="B323" s="83"/>
      <c r="C323" s="82"/>
      <c r="D323" s="82"/>
      <c r="E323" s="82"/>
      <c r="F323" s="82"/>
      <c r="G323" s="222"/>
      <c r="H323" s="222"/>
      <c r="I323" s="222"/>
      <c r="J323" s="6"/>
      <c r="K323" s="6"/>
      <c r="L323" s="6"/>
      <c r="M323" s="6"/>
      <c r="N323" s="6"/>
      <c r="O323" s="6"/>
      <c r="P323" s="6"/>
      <c r="Q323" s="6"/>
      <c r="R323" s="6"/>
      <c r="S323" s="6"/>
      <c r="T323" s="6"/>
      <c r="U323" s="6"/>
    </row>
    <row r="324" spans="1:21">
      <c r="A324" s="82"/>
      <c r="B324" s="83"/>
      <c r="C324" s="82"/>
      <c r="D324" s="82"/>
      <c r="E324" s="82"/>
      <c r="F324" s="82"/>
      <c r="G324" s="222"/>
      <c r="H324" s="222"/>
      <c r="I324" s="222"/>
      <c r="J324" s="6"/>
      <c r="K324" s="6"/>
      <c r="L324" s="6"/>
      <c r="M324" s="6"/>
      <c r="N324" s="6"/>
      <c r="O324" s="6"/>
      <c r="P324" s="6"/>
      <c r="Q324" s="6"/>
      <c r="R324" s="6"/>
      <c r="S324" s="6"/>
      <c r="T324" s="6"/>
      <c r="U324" s="6"/>
    </row>
    <row r="325" spans="1:21">
      <c r="A325" s="82"/>
      <c r="B325" s="83"/>
      <c r="C325" s="82"/>
      <c r="D325" s="82"/>
      <c r="E325" s="82"/>
      <c r="F325" s="82"/>
      <c r="G325" s="222"/>
      <c r="H325" s="222"/>
      <c r="I325" s="222"/>
      <c r="J325" s="6"/>
      <c r="K325" s="6"/>
      <c r="L325" s="6"/>
      <c r="M325" s="6"/>
      <c r="N325" s="6"/>
      <c r="O325" s="6"/>
      <c r="P325" s="6"/>
      <c r="Q325" s="6"/>
      <c r="R325" s="6"/>
      <c r="S325" s="6"/>
      <c r="T325" s="6"/>
      <c r="U325" s="6"/>
    </row>
    <row r="326" spans="1:21">
      <c r="A326" s="82"/>
      <c r="B326" s="83"/>
      <c r="C326" s="82"/>
      <c r="D326" s="82"/>
      <c r="E326" s="82"/>
      <c r="F326" s="82"/>
      <c r="G326" s="222"/>
      <c r="H326" s="222"/>
      <c r="I326" s="222"/>
      <c r="J326" s="6"/>
      <c r="K326" s="6"/>
      <c r="L326" s="6"/>
      <c r="M326" s="6"/>
      <c r="N326" s="6"/>
      <c r="O326" s="6"/>
      <c r="P326" s="6"/>
      <c r="Q326" s="6"/>
      <c r="R326" s="6"/>
      <c r="S326" s="6"/>
      <c r="T326" s="6"/>
      <c r="U326" s="6"/>
    </row>
    <row r="327" spans="1:21">
      <c r="A327" s="82"/>
      <c r="B327" s="83"/>
      <c r="C327" s="82"/>
      <c r="D327" s="82"/>
      <c r="E327" s="82"/>
      <c r="F327" s="82"/>
      <c r="G327" s="222"/>
      <c r="H327" s="222"/>
      <c r="I327" s="222"/>
      <c r="J327" s="6"/>
      <c r="K327" s="6"/>
      <c r="L327" s="6"/>
      <c r="M327" s="6"/>
      <c r="N327" s="6"/>
      <c r="O327" s="6"/>
      <c r="P327" s="6"/>
      <c r="Q327" s="6"/>
      <c r="R327" s="6"/>
      <c r="S327" s="6"/>
      <c r="T327" s="6"/>
      <c r="U327" s="6"/>
    </row>
    <row r="328" spans="1:21">
      <c r="A328" s="82"/>
      <c r="B328" s="83"/>
      <c r="C328" s="82"/>
      <c r="D328" s="82"/>
      <c r="E328" s="82"/>
      <c r="F328" s="82"/>
      <c r="G328" s="222"/>
      <c r="H328" s="222"/>
      <c r="I328" s="222"/>
      <c r="J328" s="6"/>
      <c r="K328" s="6"/>
      <c r="L328" s="6"/>
      <c r="M328" s="6"/>
      <c r="N328" s="6"/>
      <c r="O328" s="6"/>
      <c r="P328" s="6"/>
      <c r="Q328" s="6"/>
      <c r="R328" s="6"/>
      <c r="S328" s="6"/>
      <c r="T328" s="6"/>
      <c r="U328" s="6"/>
    </row>
    <row r="329" spans="1:21">
      <c r="A329" s="82"/>
      <c r="B329" s="83"/>
      <c r="C329" s="82"/>
      <c r="D329" s="82"/>
      <c r="E329" s="82"/>
      <c r="F329" s="82"/>
      <c r="G329" s="222"/>
      <c r="H329" s="222"/>
      <c r="I329" s="222"/>
      <c r="J329" s="6"/>
      <c r="K329" s="6"/>
      <c r="L329" s="6"/>
      <c r="M329" s="6"/>
      <c r="N329" s="6"/>
      <c r="O329" s="6"/>
      <c r="P329" s="6"/>
      <c r="Q329" s="6"/>
      <c r="R329" s="6"/>
      <c r="S329" s="6"/>
      <c r="T329" s="6"/>
      <c r="U329" s="6"/>
    </row>
    <row r="330" spans="1:21">
      <c r="A330" s="82"/>
      <c r="B330" s="83"/>
      <c r="C330" s="82"/>
      <c r="D330" s="82"/>
      <c r="E330" s="82"/>
      <c r="F330" s="82"/>
      <c r="G330" s="222"/>
      <c r="H330" s="222"/>
      <c r="I330" s="222"/>
      <c r="J330" s="6"/>
      <c r="K330" s="6"/>
      <c r="L330" s="6"/>
      <c r="M330" s="6"/>
      <c r="N330" s="6"/>
      <c r="O330" s="6"/>
      <c r="P330" s="6"/>
      <c r="Q330" s="6"/>
      <c r="R330" s="6"/>
      <c r="S330" s="6"/>
      <c r="T330" s="6"/>
      <c r="U330" s="6"/>
    </row>
    <row r="331" spans="1:21">
      <c r="A331" s="82"/>
      <c r="B331" s="83"/>
      <c r="C331" s="82"/>
      <c r="D331" s="82"/>
      <c r="E331" s="82"/>
      <c r="F331" s="82"/>
      <c r="G331" s="222"/>
      <c r="H331" s="222"/>
      <c r="I331" s="222"/>
      <c r="J331" s="6"/>
      <c r="K331" s="6"/>
      <c r="L331" s="6"/>
      <c r="M331" s="6"/>
      <c r="N331" s="6"/>
      <c r="O331" s="6"/>
      <c r="P331" s="6"/>
      <c r="Q331" s="6"/>
      <c r="R331" s="6"/>
      <c r="S331" s="6"/>
      <c r="T331" s="6"/>
      <c r="U331" s="6"/>
    </row>
    <row r="332" spans="1:21">
      <c r="A332" s="82"/>
      <c r="B332" s="83"/>
      <c r="C332" s="82"/>
      <c r="D332" s="82"/>
      <c r="E332" s="82"/>
      <c r="F332" s="82"/>
      <c r="G332" s="222"/>
      <c r="H332" s="222"/>
      <c r="I332" s="222"/>
      <c r="J332" s="6"/>
      <c r="K332" s="6"/>
      <c r="L332" s="6"/>
      <c r="M332" s="6"/>
      <c r="N332" s="6"/>
      <c r="O332" s="6"/>
      <c r="P332" s="6"/>
      <c r="Q332" s="6"/>
      <c r="R332" s="6"/>
      <c r="S332" s="6"/>
      <c r="T332" s="6"/>
      <c r="U332" s="6"/>
    </row>
    <row r="333" spans="1:21">
      <c r="A333" s="82"/>
      <c r="B333" s="83"/>
      <c r="C333" s="82"/>
      <c r="D333" s="82"/>
      <c r="E333" s="82"/>
      <c r="F333" s="82"/>
      <c r="G333" s="222"/>
      <c r="H333" s="222"/>
      <c r="I333" s="222"/>
      <c r="J333" s="6"/>
      <c r="K333" s="6"/>
      <c r="L333" s="6"/>
      <c r="M333" s="6"/>
      <c r="N333" s="6"/>
      <c r="O333" s="6"/>
      <c r="P333" s="6"/>
      <c r="Q333" s="6"/>
      <c r="R333" s="6"/>
      <c r="S333" s="6"/>
      <c r="T333" s="6"/>
      <c r="U333" s="6"/>
    </row>
    <row r="334" spans="1:21">
      <c r="A334" s="82"/>
      <c r="B334" s="83"/>
      <c r="C334" s="82"/>
      <c r="D334" s="82"/>
      <c r="E334" s="82"/>
      <c r="F334" s="82"/>
      <c r="G334" s="222"/>
      <c r="H334" s="222"/>
      <c r="I334" s="222"/>
      <c r="J334" s="6"/>
      <c r="K334" s="6"/>
      <c r="L334" s="6"/>
      <c r="M334" s="6"/>
      <c r="N334" s="6"/>
      <c r="O334" s="6"/>
      <c r="P334" s="6"/>
      <c r="Q334" s="6"/>
      <c r="R334" s="6"/>
      <c r="S334" s="6"/>
      <c r="T334" s="6"/>
      <c r="U334" s="6"/>
    </row>
    <row r="335" spans="1:21">
      <c r="A335" s="82"/>
      <c r="B335" s="83"/>
      <c r="C335" s="82"/>
      <c r="D335" s="82"/>
      <c r="E335" s="82"/>
      <c r="F335" s="82"/>
      <c r="G335" s="222"/>
      <c r="H335" s="222"/>
      <c r="I335" s="222"/>
      <c r="J335" s="6"/>
      <c r="K335" s="6"/>
      <c r="L335" s="6"/>
      <c r="M335" s="6"/>
      <c r="N335" s="6"/>
      <c r="O335" s="6"/>
      <c r="P335" s="6"/>
      <c r="Q335" s="6"/>
      <c r="R335" s="6"/>
      <c r="S335" s="6"/>
      <c r="T335" s="6"/>
      <c r="U335" s="6"/>
    </row>
    <row r="336" spans="1:21">
      <c r="A336" s="82"/>
      <c r="B336" s="83"/>
      <c r="C336" s="82"/>
      <c r="D336" s="82"/>
      <c r="E336" s="82"/>
      <c r="F336" s="82"/>
      <c r="G336" s="222"/>
      <c r="H336" s="222"/>
      <c r="I336" s="222"/>
      <c r="J336" s="6"/>
      <c r="K336" s="6"/>
      <c r="L336" s="6"/>
      <c r="M336" s="6"/>
      <c r="N336" s="6"/>
      <c r="O336" s="6"/>
      <c r="P336" s="6"/>
      <c r="Q336" s="6"/>
      <c r="R336" s="6"/>
      <c r="S336" s="6"/>
      <c r="T336" s="6"/>
      <c r="U336" s="6"/>
    </row>
    <row r="337" spans="1:21">
      <c r="A337" s="82"/>
      <c r="B337" s="83"/>
      <c r="C337" s="82"/>
      <c r="D337" s="82"/>
      <c r="E337" s="82"/>
      <c r="F337" s="82"/>
      <c r="G337" s="222"/>
      <c r="H337" s="222"/>
      <c r="I337" s="222"/>
      <c r="J337" s="6"/>
      <c r="K337" s="6"/>
      <c r="L337" s="6"/>
      <c r="M337" s="6"/>
      <c r="N337" s="6"/>
      <c r="O337" s="6"/>
      <c r="P337" s="6"/>
      <c r="Q337" s="6"/>
      <c r="R337" s="6"/>
      <c r="S337" s="6"/>
      <c r="T337" s="6"/>
      <c r="U337" s="6"/>
    </row>
    <row r="338" spans="1:21">
      <c r="A338" s="82"/>
      <c r="B338" s="83"/>
      <c r="C338" s="82"/>
      <c r="D338" s="82"/>
      <c r="E338" s="82"/>
      <c r="F338" s="82"/>
      <c r="G338" s="222"/>
      <c r="H338" s="222"/>
      <c r="I338" s="222"/>
      <c r="J338" s="6"/>
      <c r="K338" s="6"/>
      <c r="L338" s="6"/>
      <c r="M338" s="6"/>
      <c r="N338" s="6"/>
      <c r="O338" s="6"/>
      <c r="P338" s="6"/>
      <c r="Q338" s="6"/>
      <c r="R338" s="6"/>
      <c r="S338" s="6"/>
      <c r="T338" s="6"/>
      <c r="U338" s="6"/>
    </row>
    <row r="339" spans="1:21">
      <c r="A339" s="82"/>
      <c r="B339" s="83"/>
      <c r="C339" s="82"/>
      <c r="D339" s="82"/>
      <c r="E339" s="82"/>
      <c r="F339" s="82"/>
      <c r="G339" s="222"/>
      <c r="H339" s="222"/>
      <c r="I339" s="222"/>
      <c r="J339" s="6"/>
      <c r="K339" s="6"/>
      <c r="L339" s="6"/>
      <c r="M339" s="6"/>
      <c r="N339" s="6"/>
      <c r="O339" s="6"/>
      <c r="P339" s="6"/>
      <c r="Q339" s="6"/>
      <c r="R339" s="6"/>
      <c r="S339" s="6"/>
      <c r="T339" s="6"/>
      <c r="U339" s="6"/>
    </row>
    <row r="340" spans="1:21">
      <c r="A340" s="82"/>
      <c r="B340" s="83"/>
      <c r="C340" s="82"/>
      <c r="D340" s="82"/>
      <c r="E340" s="82"/>
      <c r="F340" s="82"/>
      <c r="G340" s="222"/>
      <c r="H340" s="222"/>
      <c r="I340" s="222"/>
      <c r="J340" s="6"/>
      <c r="K340" s="6"/>
      <c r="L340" s="6"/>
      <c r="M340" s="6"/>
      <c r="N340" s="6"/>
      <c r="O340" s="6"/>
      <c r="P340" s="6"/>
      <c r="Q340" s="6"/>
      <c r="R340" s="6"/>
      <c r="S340" s="6"/>
      <c r="T340" s="6"/>
      <c r="U340" s="6"/>
    </row>
    <row r="341" spans="1:21">
      <c r="A341" s="82"/>
      <c r="B341" s="83"/>
      <c r="C341" s="82"/>
      <c r="D341" s="82"/>
      <c r="E341" s="82"/>
      <c r="F341" s="82"/>
      <c r="G341" s="222"/>
      <c r="H341" s="222"/>
      <c r="I341" s="222"/>
      <c r="J341" s="6"/>
      <c r="K341" s="6"/>
      <c r="L341" s="6"/>
      <c r="M341" s="6"/>
      <c r="N341" s="6"/>
      <c r="O341" s="6"/>
      <c r="P341" s="6"/>
      <c r="Q341" s="6"/>
      <c r="R341" s="6"/>
      <c r="S341" s="6"/>
      <c r="T341" s="6"/>
      <c r="U341" s="6"/>
    </row>
    <row r="342" spans="1:21">
      <c r="A342" s="82"/>
      <c r="B342" s="83"/>
      <c r="C342" s="82"/>
      <c r="D342" s="82"/>
      <c r="E342" s="82"/>
      <c r="F342" s="82"/>
      <c r="G342" s="222"/>
      <c r="H342" s="222"/>
      <c r="I342" s="222"/>
      <c r="J342" s="6"/>
      <c r="K342" s="6"/>
      <c r="L342" s="6"/>
      <c r="M342" s="6"/>
      <c r="N342" s="6"/>
      <c r="O342" s="6"/>
      <c r="P342" s="6"/>
      <c r="Q342" s="6"/>
      <c r="R342" s="6"/>
      <c r="S342" s="6"/>
      <c r="T342" s="6"/>
      <c r="U342" s="6"/>
    </row>
    <row r="343" spans="1:21">
      <c r="A343" s="82"/>
      <c r="B343" s="83"/>
      <c r="C343" s="82"/>
      <c r="D343" s="82"/>
      <c r="E343" s="82"/>
      <c r="F343" s="82"/>
      <c r="G343" s="222"/>
      <c r="H343" s="222"/>
      <c r="I343" s="222"/>
      <c r="J343" s="6"/>
      <c r="K343" s="6"/>
      <c r="L343" s="6"/>
      <c r="M343" s="6"/>
      <c r="N343" s="6"/>
      <c r="O343" s="6"/>
      <c r="P343" s="6"/>
      <c r="Q343" s="6"/>
      <c r="R343" s="6"/>
      <c r="S343" s="6"/>
      <c r="T343" s="6"/>
      <c r="U343" s="6"/>
    </row>
    <row r="344" spans="1:21">
      <c r="A344" s="82"/>
      <c r="B344" s="83"/>
      <c r="C344" s="82"/>
      <c r="D344" s="82"/>
      <c r="E344" s="82"/>
      <c r="F344" s="82"/>
      <c r="G344" s="222"/>
      <c r="H344" s="222"/>
      <c r="I344" s="222"/>
      <c r="J344" s="6"/>
      <c r="K344" s="6"/>
      <c r="L344" s="6"/>
      <c r="M344" s="6"/>
      <c r="N344" s="6"/>
      <c r="O344" s="6"/>
      <c r="P344" s="6"/>
      <c r="Q344" s="6"/>
      <c r="R344" s="6"/>
      <c r="S344" s="6"/>
      <c r="T344" s="6"/>
      <c r="U344" s="6"/>
    </row>
    <row r="345" spans="1:21">
      <c r="A345" s="82"/>
      <c r="B345" s="83"/>
      <c r="C345" s="82"/>
      <c r="D345" s="82"/>
      <c r="E345" s="82"/>
      <c r="F345" s="82"/>
      <c r="G345" s="222"/>
      <c r="H345" s="222"/>
      <c r="I345" s="222"/>
      <c r="J345" s="6"/>
      <c r="K345" s="6"/>
      <c r="L345" s="6"/>
      <c r="M345" s="6"/>
      <c r="N345" s="6"/>
      <c r="O345" s="6"/>
      <c r="P345" s="6"/>
      <c r="Q345" s="6"/>
      <c r="R345" s="6"/>
      <c r="S345" s="6"/>
      <c r="T345" s="6"/>
      <c r="U345" s="6"/>
    </row>
    <row r="346" spans="1:21">
      <c r="A346" s="82"/>
      <c r="B346" s="83"/>
      <c r="C346" s="82"/>
      <c r="D346" s="82"/>
      <c r="E346" s="82"/>
      <c r="F346" s="82"/>
      <c r="G346" s="222"/>
      <c r="H346" s="222"/>
      <c r="I346" s="222"/>
      <c r="J346" s="6"/>
      <c r="K346" s="6"/>
      <c r="L346" s="6"/>
      <c r="M346" s="6"/>
      <c r="N346" s="6"/>
      <c r="O346" s="6"/>
      <c r="P346" s="6"/>
      <c r="Q346" s="6"/>
      <c r="R346" s="6"/>
      <c r="S346" s="6"/>
      <c r="T346" s="6"/>
      <c r="U346" s="6"/>
    </row>
    <row r="347" spans="1:21">
      <c r="A347" s="82"/>
      <c r="B347" s="83"/>
      <c r="C347" s="82"/>
      <c r="D347" s="82"/>
      <c r="E347" s="82"/>
      <c r="F347" s="82"/>
      <c r="G347" s="222"/>
      <c r="H347" s="222"/>
      <c r="I347" s="222"/>
      <c r="J347" s="6"/>
      <c r="K347" s="6"/>
      <c r="L347" s="6"/>
      <c r="M347" s="6"/>
      <c r="N347" s="6"/>
      <c r="O347" s="6"/>
      <c r="P347" s="6"/>
      <c r="Q347" s="6"/>
      <c r="R347" s="6"/>
      <c r="S347" s="6"/>
      <c r="T347" s="6"/>
      <c r="U347" s="6"/>
    </row>
    <row r="348" spans="1:21">
      <c r="A348" s="82"/>
      <c r="B348" s="83"/>
      <c r="C348" s="82"/>
      <c r="D348" s="82"/>
      <c r="E348" s="82"/>
      <c r="F348" s="82"/>
      <c r="G348" s="222"/>
      <c r="H348" s="222"/>
      <c r="I348" s="222"/>
      <c r="J348" s="6"/>
      <c r="K348" s="6"/>
      <c r="L348" s="6"/>
      <c r="M348" s="6"/>
      <c r="N348" s="6"/>
      <c r="O348" s="6"/>
      <c r="P348" s="6"/>
      <c r="Q348" s="6"/>
      <c r="R348" s="6"/>
      <c r="S348" s="6"/>
      <c r="T348" s="6"/>
      <c r="U348" s="6"/>
    </row>
    <row r="349" spans="1:21">
      <c r="A349" s="82"/>
      <c r="B349" s="83"/>
      <c r="C349" s="82"/>
      <c r="D349" s="82"/>
      <c r="E349" s="82"/>
      <c r="F349" s="82"/>
      <c r="G349" s="222"/>
      <c r="H349" s="222"/>
      <c r="I349" s="222"/>
      <c r="J349" s="6"/>
      <c r="K349" s="6"/>
      <c r="L349" s="6"/>
      <c r="M349" s="6"/>
      <c r="N349" s="6"/>
      <c r="O349" s="6"/>
      <c r="P349" s="6"/>
      <c r="Q349" s="6"/>
      <c r="R349" s="6"/>
      <c r="S349" s="6"/>
      <c r="T349" s="6"/>
      <c r="U349" s="6"/>
    </row>
    <row r="350" spans="1:21">
      <c r="A350" s="82"/>
      <c r="B350" s="83"/>
      <c r="C350" s="82"/>
      <c r="D350" s="82"/>
      <c r="E350" s="82"/>
      <c r="F350" s="82"/>
      <c r="G350" s="222"/>
      <c r="H350" s="222"/>
      <c r="I350" s="222"/>
      <c r="J350" s="6"/>
      <c r="K350" s="6"/>
      <c r="L350" s="6"/>
      <c r="M350" s="6"/>
      <c r="N350" s="6"/>
      <c r="O350" s="6"/>
      <c r="P350" s="6"/>
      <c r="Q350" s="6"/>
      <c r="R350" s="6"/>
      <c r="S350" s="6"/>
      <c r="T350" s="6"/>
      <c r="U350" s="6"/>
    </row>
    <row r="351" spans="1:21">
      <c r="A351" s="82"/>
      <c r="B351" s="83"/>
      <c r="C351" s="82"/>
      <c r="D351" s="82"/>
      <c r="E351" s="82"/>
      <c r="F351" s="82"/>
      <c r="G351" s="222"/>
      <c r="H351" s="222"/>
      <c r="I351" s="222"/>
      <c r="J351" s="6"/>
      <c r="K351" s="6"/>
      <c r="L351" s="6"/>
      <c r="M351" s="6"/>
      <c r="N351" s="6"/>
      <c r="O351" s="6"/>
      <c r="P351" s="6"/>
      <c r="Q351" s="6"/>
      <c r="R351" s="6"/>
      <c r="S351" s="6"/>
      <c r="T351" s="6"/>
      <c r="U351" s="6"/>
    </row>
    <row r="352" spans="1:21">
      <c r="A352" s="82"/>
      <c r="B352" s="83"/>
      <c r="C352" s="82"/>
      <c r="D352" s="82"/>
      <c r="E352" s="82"/>
      <c r="F352" s="82"/>
      <c r="G352" s="222"/>
      <c r="H352" s="222"/>
      <c r="I352" s="222"/>
      <c r="J352" s="6"/>
      <c r="K352" s="6"/>
      <c r="L352" s="6"/>
      <c r="M352" s="6"/>
      <c r="N352" s="6"/>
      <c r="O352" s="6"/>
      <c r="P352" s="6"/>
      <c r="Q352" s="6"/>
      <c r="R352" s="6"/>
      <c r="S352" s="6"/>
      <c r="T352" s="6"/>
      <c r="U352" s="6"/>
    </row>
    <row r="353" spans="1:21">
      <c r="A353" s="82"/>
      <c r="B353" s="83"/>
      <c r="C353" s="82"/>
      <c r="D353" s="82"/>
      <c r="E353" s="82"/>
      <c r="F353" s="82"/>
      <c r="G353" s="222"/>
      <c r="H353" s="222"/>
      <c r="I353" s="222"/>
      <c r="J353" s="6"/>
      <c r="K353" s="6"/>
      <c r="L353" s="6"/>
      <c r="M353" s="6"/>
      <c r="N353" s="6"/>
      <c r="O353" s="6"/>
      <c r="P353" s="6"/>
      <c r="Q353" s="6"/>
      <c r="R353" s="6"/>
      <c r="S353" s="6"/>
      <c r="T353" s="6"/>
      <c r="U353" s="6"/>
    </row>
    <row r="354" spans="1:21">
      <c r="A354" s="82"/>
      <c r="B354" s="83"/>
      <c r="C354" s="82"/>
      <c r="D354" s="82"/>
      <c r="E354" s="82"/>
      <c r="F354" s="82"/>
      <c r="G354" s="222"/>
      <c r="H354" s="222"/>
      <c r="I354" s="222"/>
      <c r="J354" s="6"/>
      <c r="K354" s="6"/>
      <c r="L354" s="6"/>
      <c r="M354" s="6"/>
      <c r="N354" s="6"/>
      <c r="O354" s="6"/>
      <c r="P354" s="6"/>
      <c r="Q354" s="6"/>
      <c r="R354" s="6"/>
      <c r="S354" s="6"/>
      <c r="T354" s="6"/>
      <c r="U354" s="6"/>
    </row>
    <row r="355" spans="1:21">
      <c r="A355" s="82"/>
      <c r="B355" s="83"/>
      <c r="C355" s="82"/>
      <c r="D355" s="82"/>
      <c r="E355" s="82"/>
      <c r="F355" s="82"/>
      <c r="G355" s="222"/>
      <c r="H355" s="222"/>
      <c r="I355" s="222"/>
      <c r="J355" s="6"/>
      <c r="K355" s="6"/>
      <c r="L355" s="6"/>
      <c r="M355" s="6"/>
      <c r="N355" s="6"/>
      <c r="O355" s="6"/>
      <c r="P355" s="6"/>
      <c r="Q355" s="6"/>
      <c r="R355" s="6"/>
      <c r="S355" s="6"/>
      <c r="T355" s="6"/>
      <c r="U355" s="6"/>
    </row>
    <row r="356" spans="1:21">
      <c r="A356" s="82"/>
      <c r="B356" s="83"/>
      <c r="C356" s="82"/>
      <c r="D356" s="82"/>
      <c r="E356" s="82"/>
      <c r="F356" s="82"/>
      <c r="G356" s="222"/>
      <c r="H356" s="222"/>
      <c r="I356" s="222"/>
      <c r="J356" s="6"/>
      <c r="K356" s="6"/>
      <c r="L356" s="6"/>
      <c r="M356" s="6"/>
      <c r="N356" s="6"/>
      <c r="O356" s="6"/>
      <c r="P356" s="6"/>
      <c r="Q356" s="6"/>
      <c r="R356" s="6"/>
      <c r="S356" s="6"/>
      <c r="T356" s="6"/>
      <c r="U356" s="6"/>
    </row>
    <row r="357" spans="1:21">
      <c r="A357" s="82"/>
      <c r="B357" s="83"/>
      <c r="C357" s="82"/>
      <c r="D357" s="82"/>
      <c r="E357" s="82"/>
      <c r="F357" s="82"/>
      <c r="G357" s="222"/>
      <c r="H357" s="222"/>
      <c r="I357" s="222"/>
      <c r="J357" s="6"/>
      <c r="K357" s="6"/>
      <c r="L357" s="6"/>
      <c r="M357" s="6"/>
      <c r="N357" s="6"/>
      <c r="O357" s="6"/>
      <c r="P357" s="6"/>
      <c r="Q357" s="6"/>
      <c r="R357" s="6"/>
      <c r="S357" s="6"/>
      <c r="T357" s="6"/>
      <c r="U357" s="6"/>
    </row>
    <row r="358" spans="1:21">
      <c r="A358" s="82"/>
      <c r="B358" s="83"/>
      <c r="C358" s="82"/>
      <c r="D358" s="82"/>
      <c r="E358" s="82"/>
      <c r="F358" s="82"/>
      <c r="G358" s="222"/>
      <c r="H358" s="222"/>
      <c r="I358" s="222"/>
      <c r="J358" s="6"/>
      <c r="K358" s="6"/>
      <c r="L358" s="6"/>
      <c r="M358" s="6"/>
      <c r="N358" s="6"/>
      <c r="O358" s="6"/>
      <c r="P358" s="6"/>
      <c r="Q358" s="6"/>
      <c r="R358" s="6"/>
      <c r="S358" s="6"/>
      <c r="T358" s="6"/>
      <c r="U358" s="6"/>
    </row>
    <row r="359" spans="1:21">
      <c r="A359" s="82"/>
      <c r="B359" s="83"/>
      <c r="C359" s="82"/>
      <c r="D359" s="82"/>
      <c r="E359" s="82"/>
      <c r="F359" s="82"/>
      <c r="G359" s="222"/>
      <c r="H359" s="222"/>
      <c r="I359" s="222"/>
      <c r="J359" s="6"/>
      <c r="K359" s="6"/>
      <c r="L359" s="6"/>
      <c r="M359" s="6"/>
      <c r="N359" s="6"/>
      <c r="O359" s="6"/>
      <c r="P359" s="6"/>
      <c r="Q359" s="6"/>
      <c r="R359" s="6"/>
      <c r="S359" s="6"/>
      <c r="T359" s="6"/>
      <c r="U359" s="6"/>
    </row>
    <row r="360" spans="1:21">
      <c r="A360" s="82"/>
      <c r="B360" s="83"/>
      <c r="C360" s="82"/>
      <c r="D360" s="82"/>
      <c r="E360" s="82"/>
      <c r="F360" s="82"/>
      <c r="G360" s="222"/>
      <c r="H360" s="222"/>
      <c r="I360" s="222"/>
      <c r="J360" s="6"/>
      <c r="K360" s="6"/>
      <c r="L360" s="6"/>
      <c r="M360" s="6"/>
      <c r="N360" s="6"/>
      <c r="O360" s="6"/>
      <c r="P360" s="6"/>
      <c r="Q360" s="6"/>
      <c r="R360" s="6"/>
      <c r="S360" s="6"/>
      <c r="T360" s="6"/>
      <c r="U360" s="6"/>
    </row>
    <row r="361" spans="1:21">
      <c r="A361" s="82"/>
      <c r="B361" s="83"/>
      <c r="C361" s="82"/>
      <c r="D361" s="82"/>
      <c r="E361" s="82"/>
      <c r="F361" s="82"/>
      <c r="G361" s="222"/>
      <c r="H361" s="222"/>
      <c r="I361" s="222"/>
      <c r="J361" s="6"/>
      <c r="K361" s="6"/>
      <c r="L361" s="6"/>
      <c r="M361" s="6"/>
      <c r="N361" s="6"/>
      <c r="O361" s="6"/>
      <c r="P361" s="6"/>
      <c r="Q361" s="6"/>
      <c r="R361" s="6"/>
      <c r="S361" s="6"/>
      <c r="T361" s="6"/>
      <c r="U361" s="6"/>
    </row>
    <row r="362" spans="1:21">
      <c r="A362" s="82"/>
      <c r="B362" s="83"/>
      <c r="C362" s="82"/>
      <c r="D362" s="82"/>
      <c r="E362" s="82"/>
      <c r="F362" s="82"/>
      <c r="G362" s="222"/>
      <c r="H362" s="222"/>
      <c r="I362" s="222"/>
      <c r="J362" s="6"/>
      <c r="K362" s="6"/>
      <c r="L362" s="6"/>
      <c r="M362" s="6"/>
      <c r="N362" s="6"/>
      <c r="O362" s="6"/>
      <c r="P362" s="6"/>
      <c r="Q362" s="6"/>
      <c r="R362" s="6"/>
      <c r="S362" s="6"/>
      <c r="T362" s="6"/>
      <c r="U362" s="6"/>
    </row>
    <row r="363" spans="1:21">
      <c r="A363" s="82"/>
      <c r="B363" s="83"/>
      <c r="C363" s="82"/>
      <c r="D363" s="82"/>
      <c r="E363" s="82"/>
      <c r="F363" s="82"/>
      <c r="G363" s="222"/>
      <c r="H363" s="222"/>
      <c r="I363" s="222"/>
      <c r="J363" s="6"/>
      <c r="K363" s="6"/>
      <c r="L363" s="6"/>
      <c r="M363" s="6"/>
      <c r="N363" s="6"/>
      <c r="O363" s="6"/>
      <c r="P363" s="6"/>
      <c r="Q363" s="6"/>
      <c r="R363" s="6"/>
      <c r="S363" s="6"/>
      <c r="T363" s="6"/>
      <c r="U363" s="6"/>
    </row>
    <row r="364" spans="1:21">
      <c r="A364" s="82"/>
      <c r="B364" s="83"/>
      <c r="C364" s="82"/>
      <c r="D364" s="82"/>
      <c r="E364" s="82"/>
      <c r="F364" s="82"/>
      <c r="G364" s="222"/>
      <c r="H364" s="222"/>
      <c r="I364" s="222"/>
      <c r="J364" s="6"/>
      <c r="K364" s="6"/>
      <c r="L364" s="6"/>
      <c r="M364" s="6"/>
      <c r="N364" s="6"/>
      <c r="O364" s="6"/>
      <c r="P364" s="6"/>
      <c r="Q364" s="6"/>
      <c r="R364" s="6"/>
      <c r="S364" s="6"/>
      <c r="T364" s="6"/>
      <c r="U364" s="6"/>
    </row>
    <row r="365" spans="1:21">
      <c r="A365" s="82"/>
      <c r="B365" s="83"/>
      <c r="C365" s="82"/>
      <c r="D365" s="82"/>
      <c r="E365" s="82"/>
      <c r="F365" s="82"/>
      <c r="G365" s="222"/>
      <c r="H365" s="222"/>
      <c r="I365" s="222"/>
      <c r="J365" s="6"/>
      <c r="K365" s="6"/>
      <c r="L365" s="6"/>
      <c r="M365" s="6"/>
      <c r="N365" s="6"/>
      <c r="O365" s="6"/>
      <c r="P365" s="6"/>
      <c r="Q365" s="6"/>
      <c r="R365" s="6"/>
      <c r="S365" s="6"/>
      <c r="T365" s="6"/>
      <c r="U365" s="6"/>
    </row>
    <row r="366" spans="1:21">
      <c r="A366" s="82"/>
      <c r="B366" s="83"/>
      <c r="C366" s="82"/>
      <c r="D366" s="82"/>
      <c r="E366" s="82"/>
      <c r="F366" s="82"/>
      <c r="G366" s="222"/>
      <c r="H366" s="222"/>
      <c r="I366" s="222"/>
      <c r="J366" s="6"/>
      <c r="K366" s="6"/>
      <c r="L366" s="6"/>
      <c r="M366" s="6"/>
      <c r="N366" s="6"/>
      <c r="O366" s="6"/>
      <c r="P366" s="6"/>
      <c r="Q366" s="6"/>
      <c r="R366" s="6"/>
      <c r="S366" s="6"/>
      <c r="T366" s="6"/>
      <c r="U366" s="6"/>
    </row>
    <row r="367" spans="1:21">
      <c r="A367" s="82"/>
      <c r="B367" s="83"/>
      <c r="C367" s="82"/>
      <c r="D367" s="82"/>
      <c r="E367" s="82"/>
      <c r="F367" s="82"/>
      <c r="G367" s="222"/>
      <c r="H367" s="222"/>
      <c r="I367" s="222"/>
      <c r="J367" s="6"/>
      <c r="K367" s="6"/>
      <c r="L367" s="6"/>
      <c r="M367" s="6"/>
      <c r="N367" s="6"/>
      <c r="O367" s="6"/>
      <c r="P367" s="6"/>
      <c r="Q367" s="6"/>
      <c r="R367" s="6"/>
      <c r="S367" s="6"/>
      <c r="T367" s="6"/>
      <c r="U367" s="6"/>
    </row>
    <row r="368" spans="1:21">
      <c r="A368" s="82"/>
      <c r="B368" s="83"/>
      <c r="C368" s="82"/>
      <c r="D368" s="82"/>
      <c r="E368" s="82"/>
      <c r="F368" s="82"/>
      <c r="G368" s="222"/>
      <c r="H368" s="222"/>
      <c r="I368" s="222"/>
      <c r="J368" s="6"/>
      <c r="K368" s="6"/>
      <c r="L368" s="6"/>
      <c r="M368" s="6"/>
      <c r="N368" s="6"/>
      <c r="O368" s="6"/>
      <c r="P368" s="6"/>
      <c r="Q368" s="6"/>
      <c r="R368" s="6"/>
      <c r="S368" s="6"/>
      <c r="T368" s="6"/>
      <c r="U368" s="6"/>
    </row>
    <row r="369" spans="1:21">
      <c r="A369" s="82"/>
      <c r="B369" s="83"/>
      <c r="C369" s="82"/>
      <c r="D369" s="82"/>
      <c r="E369" s="82"/>
      <c r="F369" s="82"/>
      <c r="G369" s="222"/>
      <c r="H369" s="222"/>
      <c r="I369" s="222"/>
      <c r="J369" s="6"/>
      <c r="K369" s="6"/>
      <c r="L369" s="6"/>
      <c r="M369" s="6"/>
      <c r="N369" s="6"/>
      <c r="O369" s="6"/>
      <c r="P369" s="6"/>
      <c r="Q369" s="6"/>
      <c r="R369" s="6"/>
      <c r="S369" s="6"/>
      <c r="T369" s="6"/>
      <c r="U369" s="6"/>
    </row>
    <row r="370" spans="1:21">
      <c r="A370" s="82"/>
      <c r="B370" s="83"/>
      <c r="C370" s="82"/>
      <c r="D370" s="82"/>
      <c r="E370" s="82"/>
      <c r="F370" s="82"/>
      <c r="G370" s="222"/>
      <c r="H370" s="222"/>
      <c r="I370" s="222"/>
      <c r="J370" s="6"/>
      <c r="K370" s="6"/>
      <c r="L370" s="6"/>
      <c r="M370" s="6"/>
      <c r="N370" s="6"/>
      <c r="O370" s="6"/>
      <c r="P370" s="6"/>
      <c r="Q370" s="6"/>
      <c r="R370" s="6"/>
      <c r="S370" s="6"/>
      <c r="T370" s="6"/>
      <c r="U370" s="6"/>
    </row>
    <row r="371" spans="1:21">
      <c r="A371" s="82"/>
      <c r="B371" s="83"/>
      <c r="C371" s="82"/>
      <c r="D371" s="82"/>
      <c r="E371" s="82"/>
      <c r="F371" s="82"/>
      <c r="G371" s="222"/>
      <c r="H371" s="222"/>
      <c r="I371" s="222"/>
      <c r="J371" s="6"/>
      <c r="K371" s="6"/>
      <c r="L371" s="6"/>
      <c r="M371" s="6"/>
      <c r="N371" s="6"/>
      <c r="O371" s="6"/>
      <c r="P371" s="6"/>
      <c r="Q371" s="6"/>
      <c r="R371" s="6"/>
      <c r="S371" s="6"/>
      <c r="T371" s="6"/>
      <c r="U371" s="6"/>
    </row>
    <row r="372" spans="1:21">
      <c r="A372" s="82"/>
      <c r="B372" s="83"/>
      <c r="C372" s="82"/>
      <c r="D372" s="82"/>
      <c r="E372" s="82"/>
      <c r="F372" s="82"/>
      <c r="G372" s="222"/>
      <c r="H372" s="222"/>
      <c r="I372" s="222"/>
      <c r="J372" s="6"/>
      <c r="K372" s="6"/>
      <c r="L372" s="6"/>
      <c r="M372" s="6"/>
      <c r="N372" s="6"/>
      <c r="O372" s="6"/>
      <c r="P372" s="6"/>
      <c r="Q372" s="6"/>
      <c r="R372" s="6"/>
      <c r="S372" s="6"/>
      <c r="T372" s="6"/>
      <c r="U372" s="6"/>
    </row>
    <row r="373" spans="1:21">
      <c r="A373" s="82"/>
      <c r="B373" s="83"/>
      <c r="C373" s="82"/>
      <c r="D373" s="82"/>
      <c r="E373" s="82"/>
      <c r="F373" s="82"/>
      <c r="G373" s="222"/>
      <c r="H373" s="222"/>
      <c r="I373" s="222"/>
      <c r="J373" s="6"/>
      <c r="K373" s="6"/>
      <c r="L373" s="6"/>
      <c r="M373" s="6"/>
      <c r="N373" s="6"/>
      <c r="O373" s="6"/>
      <c r="P373" s="6"/>
      <c r="Q373" s="6"/>
      <c r="R373" s="6"/>
      <c r="S373" s="6"/>
      <c r="T373" s="6"/>
      <c r="U373" s="6"/>
    </row>
    <row r="374" spans="1:21">
      <c r="A374" s="82"/>
      <c r="B374" s="83"/>
      <c r="C374" s="82"/>
      <c r="D374" s="82"/>
      <c r="E374" s="82"/>
      <c r="F374" s="82"/>
      <c r="G374" s="222"/>
      <c r="H374" s="222"/>
      <c r="I374" s="222"/>
      <c r="J374" s="6"/>
      <c r="K374" s="6"/>
      <c r="L374" s="6"/>
      <c r="M374" s="6"/>
      <c r="N374" s="6"/>
      <c r="O374" s="6"/>
      <c r="P374" s="6"/>
      <c r="Q374" s="6"/>
      <c r="R374" s="6"/>
      <c r="S374" s="6"/>
      <c r="T374" s="6"/>
      <c r="U374" s="6"/>
    </row>
    <row r="375" spans="1:21">
      <c r="A375" s="82"/>
      <c r="B375" s="83"/>
      <c r="C375" s="82"/>
      <c r="D375" s="82"/>
      <c r="E375" s="82"/>
      <c r="F375" s="82"/>
      <c r="G375" s="222"/>
      <c r="H375" s="222"/>
      <c r="I375" s="222"/>
      <c r="J375" s="6"/>
      <c r="K375" s="6"/>
      <c r="L375" s="6"/>
      <c r="M375" s="6"/>
      <c r="N375" s="6"/>
      <c r="O375" s="6"/>
      <c r="P375" s="6"/>
      <c r="Q375" s="6"/>
      <c r="R375" s="6"/>
      <c r="S375" s="6"/>
      <c r="T375" s="6"/>
      <c r="U375" s="6"/>
    </row>
    <row r="376" spans="1:21">
      <c r="A376" s="82"/>
      <c r="B376" s="83"/>
      <c r="C376" s="82"/>
      <c r="D376" s="82"/>
      <c r="E376" s="82"/>
      <c r="F376" s="82"/>
      <c r="G376" s="222"/>
      <c r="H376" s="222"/>
      <c r="I376" s="222"/>
      <c r="J376" s="6"/>
      <c r="K376" s="6"/>
      <c r="L376" s="6"/>
      <c r="M376" s="6"/>
      <c r="N376" s="6"/>
      <c r="O376" s="6"/>
      <c r="P376" s="6"/>
      <c r="Q376" s="6"/>
      <c r="R376" s="6"/>
      <c r="S376" s="6"/>
      <c r="T376" s="6"/>
      <c r="U376" s="6"/>
    </row>
    <row r="377" spans="1:21">
      <c r="A377" s="82"/>
      <c r="B377" s="83"/>
      <c r="C377" s="82"/>
      <c r="D377" s="82"/>
      <c r="E377" s="82"/>
      <c r="F377" s="82"/>
      <c r="G377" s="222"/>
      <c r="H377" s="222"/>
      <c r="I377" s="222"/>
      <c r="J377" s="6"/>
      <c r="K377" s="6"/>
      <c r="L377" s="6"/>
      <c r="M377" s="6"/>
      <c r="N377" s="6"/>
      <c r="O377" s="6"/>
      <c r="P377" s="6"/>
      <c r="Q377" s="6"/>
      <c r="R377" s="6"/>
      <c r="S377" s="6"/>
      <c r="T377" s="6"/>
      <c r="U377" s="6"/>
    </row>
    <row r="378" spans="1:21">
      <c r="A378" s="82"/>
      <c r="B378" s="83"/>
      <c r="C378" s="82"/>
      <c r="D378" s="82"/>
      <c r="E378" s="82"/>
      <c r="F378" s="82"/>
      <c r="G378" s="222"/>
      <c r="H378" s="222"/>
      <c r="I378" s="222"/>
      <c r="J378" s="6"/>
      <c r="K378" s="6"/>
      <c r="L378" s="6"/>
      <c r="M378" s="6"/>
      <c r="N378" s="6"/>
      <c r="O378" s="6"/>
      <c r="P378" s="6"/>
      <c r="Q378" s="6"/>
      <c r="R378" s="6"/>
      <c r="S378" s="6"/>
      <c r="T378" s="6"/>
      <c r="U378" s="6"/>
    </row>
    <row r="379" spans="1:21">
      <c r="A379" s="82"/>
      <c r="B379" s="83"/>
      <c r="C379" s="82"/>
      <c r="D379" s="82"/>
      <c r="E379" s="82"/>
      <c r="F379" s="82"/>
      <c r="G379" s="222"/>
      <c r="H379" s="222"/>
      <c r="I379" s="222"/>
      <c r="J379" s="6"/>
      <c r="K379" s="6"/>
      <c r="L379" s="6"/>
      <c r="M379" s="6"/>
      <c r="N379" s="6"/>
      <c r="O379" s="6"/>
      <c r="P379" s="6"/>
      <c r="Q379" s="6"/>
      <c r="R379" s="6"/>
      <c r="S379" s="6"/>
      <c r="T379" s="6"/>
      <c r="U379" s="6"/>
    </row>
    <row r="380" spans="1:21">
      <c r="A380" s="82"/>
      <c r="B380" s="83"/>
      <c r="C380" s="82"/>
      <c r="D380" s="82"/>
      <c r="E380" s="82"/>
      <c r="F380" s="82"/>
      <c r="G380" s="222"/>
      <c r="H380" s="222"/>
      <c r="I380" s="222"/>
      <c r="J380" s="6"/>
      <c r="K380" s="6"/>
      <c r="L380" s="6"/>
      <c r="M380" s="6"/>
      <c r="N380" s="6"/>
      <c r="O380" s="6"/>
      <c r="P380" s="6"/>
      <c r="Q380" s="6"/>
      <c r="R380" s="6"/>
      <c r="S380" s="6"/>
      <c r="T380" s="6"/>
      <c r="U380" s="6"/>
    </row>
    <row r="381" spans="1:21">
      <c r="A381" s="82"/>
      <c r="B381" s="83"/>
      <c r="C381" s="82"/>
      <c r="D381" s="82"/>
      <c r="E381" s="82"/>
      <c r="F381" s="82"/>
      <c r="G381" s="222"/>
      <c r="H381" s="222"/>
      <c r="I381" s="222"/>
      <c r="J381" s="6"/>
      <c r="K381" s="6"/>
      <c r="L381" s="6"/>
      <c r="M381" s="6"/>
      <c r="N381" s="6"/>
      <c r="O381" s="6"/>
      <c r="P381" s="6"/>
      <c r="Q381" s="6"/>
      <c r="R381" s="6"/>
      <c r="S381" s="6"/>
      <c r="T381" s="6"/>
      <c r="U381" s="6"/>
    </row>
    <row r="382" spans="1:21">
      <c r="A382" s="82"/>
      <c r="B382" s="83"/>
      <c r="C382" s="82"/>
      <c r="D382" s="82"/>
      <c r="E382" s="82"/>
      <c r="F382" s="82"/>
      <c r="G382" s="222"/>
      <c r="H382" s="222"/>
      <c r="I382" s="222"/>
      <c r="J382" s="6"/>
      <c r="K382" s="6"/>
      <c r="L382" s="6"/>
      <c r="M382" s="6"/>
      <c r="N382" s="6"/>
      <c r="O382" s="6"/>
      <c r="P382" s="6"/>
      <c r="Q382" s="6"/>
      <c r="R382" s="6"/>
      <c r="S382" s="6"/>
      <c r="T382" s="6"/>
      <c r="U382" s="6"/>
    </row>
    <row r="383" spans="1:21">
      <c r="A383" s="82"/>
      <c r="B383" s="83"/>
      <c r="C383" s="82"/>
      <c r="D383" s="82"/>
      <c r="E383" s="82"/>
      <c r="F383" s="82"/>
      <c r="G383" s="222"/>
      <c r="H383" s="222"/>
      <c r="I383" s="222"/>
      <c r="J383" s="6"/>
      <c r="K383" s="6"/>
      <c r="L383" s="6"/>
      <c r="M383" s="6"/>
      <c r="N383" s="6"/>
      <c r="O383" s="6"/>
      <c r="P383" s="6"/>
      <c r="Q383" s="6"/>
      <c r="R383" s="6"/>
      <c r="S383" s="6"/>
      <c r="T383" s="6"/>
      <c r="U383" s="6"/>
    </row>
    <row r="384" spans="1:21">
      <c r="A384" s="82"/>
      <c r="B384" s="83"/>
      <c r="C384" s="82"/>
      <c r="D384" s="82"/>
      <c r="E384" s="82"/>
      <c r="F384" s="82"/>
      <c r="G384" s="222"/>
      <c r="H384" s="222"/>
      <c r="I384" s="222"/>
      <c r="J384" s="6"/>
      <c r="K384" s="6"/>
      <c r="L384" s="6"/>
      <c r="M384" s="6"/>
      <c r="N384" s="6"/>
      <c r="O384" s="6"/>
      <c r="P384" s="6"/>
      <c r="Q384" s="6"/>
      <c r="R384" s="6"/>
      <c r="S384" s="6"/>
      <c r="T384" s="6"/>
      <c r="U384" s="6"/>
    </row>
    <row r="385" spans="1:21">
      <c r="A385" s="82"/>
      <c r="B385" s="83"/>
      <c r="C385" s="82"/>
      <c r="D385" s="82"/>
      <c r="E385" s="82"/>
      <c r="F385" s="82"/>
      <c r="G385" s="222"/>
      <c r="H385" s="222"/>
      <c r="I385" s="222"/>
      <c r="J385" s="6"/>
      <c r="K385" s="6"/>
      <c r="L385" s="6"/>
      <c r="M385" s="6"/>
      <c r="N385" s="6"/>
      <c r="O385" s="6"/>
      <c r="P385" s="6"/>
      <c r="Q385" s="6"/>
      <c r="R385" s="6"/>
      <c r="S385" s="6"/>
      <c r="T385" s="6"/>
      <c r="U385" s="6"/>
    </row>
    <row r="386" spans="1:21">
      <c r="A386" s="82"/>
      <c r="B386" s="83"/>
      <c r="C386" s="82"/>
      <c r="D386" s="82"/>
      <c r="E386" s="82"/>
      <c r="F386" s="82"/>
      <c r="G386" s="222"/>
      <c r="H386" s="222"/>
      <c r="I386" s="222"/>
      <c r="J386" s="6"/>
      <c r="K386" s="6"/>
      <c r="L386" s="6"/>
      <c r="M386" s="6"/>
      <c r="N386" s="6"/>
      <c r="O386" s="6"/>
      <c r="P386" s="6"/>
      <c r="Q386" s="6"/>
      <c r="R386" s="6"/>
      <c r="S386" s="6"/>
      <c r="T386" s="6"/>
      <c r="U386" s="6"/>
    </row>
    <row r="387" spans="1:21">
      <c r="A387" s="82"/>
      <c r="B387" s="83"/>
      <c r="C387" s="82"/>
      <c r="D387" s="82"/>
      <c r="E387" s="82"/>
      <c r="F387" s="82"/>
      <c r="G387" s="222"/>
      <c r="H387" s="222"/>
      <c r="I387" s="222"/>
      <c r="J387" s="6"/>
      <c r="K387" s="6"/>
      <c r="L387" s="6"/>
      <c r="M387" s="6"/>
      <c r="N387" s="6"/>
      <c r="O387" s="6"/>
      <c r="P387" s="6"/>
      <c r="Q387" s="6"/>
      <c r="R387" s="6"/>
      <c r="S387" s="6"/>
      <c r="T387" s="6"/>
      <c r="U387" s="6"/>
    </row>
    <row r="388" spans="1:21">
      <c r="A388" s="82"/>
      <c r="B388" s="83"/>
      <c r="C388" s="82"/>
      <c r="D388" s="82"/>
      <c r="E388" s="82"/>
      <c r="F388" s="82"/>
      <c r="G388" s="222"/>
      <c r="H388" s="222"/>
      <c r="I388" s="222"/>
      <c r="J388" s="6"/>
      <c r="K388" s="6"/>
      <c r="L388" s="6"/>
      <c r="M388" s="6"/>
      <c r="N388" s="6"/>
      <c r="O388" s="6"/>
      <c r="P388" s="6"/>
      <c r="Q388" s="6"/>
      <c r="R388" s="6"/>
      <c r="S388" s="6"/>
      <c r="T388" s="6"/>
      <c r="U388" s="6"/>
    </row>
    <row r="389" spans="1:21">
      <c r="A389" s="82"/>
      <c r="B389" s="83"/>
      <c r="C389" s="82"/>
      <c r="D389" s="82"/>
      <c r="E389" s="82"/>
      <c r="F389" s="82"/>
      <c r="G389" s="222"/>
      <c r="H389" s="222"/>
      <c r="I389" s="222"/>
      <c r="J389" s="6"/>
      <c r="K389" s="6"/>
      <c r="L389" s="6"/>
      <c r="M389" s="6"/>
      <c r="N389" s="6"/>
      <c r="O389" s="6"/>
      <c r="P389" s="6"/>
      <c r="Q389" s="6"/>
      <c r="R389" s="6"/>
      <c r="S389" s="6"/>
      <c r="T389" s="6"/>
      <c r="U389" s="6"/>
    </row>
    <row r="390" spans="1:21">
      <c r="A390" s="82"/>
      <c r="B390" s="83"/>
      <c r="C390" s="82"/>
      <c r="D390" s="82"/>
      <c r="E390" s="82"/>
      <c r="F390" s="82"/>
      <c r="G390" s="222"/>
      <c r="H390" s="222"/>
      <c r="I390" s="222"/>
      <c r="J390" s="6"/>
      <c r="K390" s="6"/>
      <c r="L390" s="6"/>
      <c r="M390" s="6"/>
      <c r="N390" s="6"/>
      <c r="O390" s="6"/>
      <c r="P390" s="6"/>
      <c r="Q390" s="6"/>
      <c r="R390" s="6"/>
      <c r="S390" s="6"/>
      <c r="T390" s="6"/>
      <c r="U390" s="6"/>
    </row>
    <row r="391" spans="1:21">
      <c r="A391" s="82"/>
      <c r="B391" s="83"/>
      <c r="C391" s="82"/>
      <c r="D391" s="82"/>
      <c r="E391" s="82"/>
      <c r="F391" s="82"/>
      <c r="G391" s="222"/>
      <c r="H391" s="222"/>
      <c r="I391" s="222"/>
      <c r="J391" s="6"/>
      <c r="K391" s="6"/>
      <c r="L391" s="6"/>
      <c r="M391" s="6"/>
      <c r="N391" s="6"/>
      <c r="O391" s="6"/>
      <c r="P391" s="6"/>
      <c r="Q391" s="6"/>
      <c r="R391" s="6"/>
      <c r="S391" s="6"/>
      <c r="T391" s="6"/>
      <c r="U391" s="6"/>
    </row>
    <row r="392" spans="1:21">
      <c r="A392" s="82"/>
      <c r="B392" s="83"/>
      <c r="C392" s="82"/>
      <c r="D392" s="82"/>
      <c r="E392" s="82"/>
      <c r="F392" s="82"/>
      <c r="G392" s="222"/>
      <c r="H392" s="222"/>
      <c r="I392" s="222"/>
      <c r="J392" s="6"/>
      <c r="K392" s="6"/>
      <c r="L392" s="6"/>
      <c r="M392" s="6"/>
      <c r="N392" s="6"/>
      <c r="O392" s="6"/>
      <c r="P392" s="6"/>
      <c r="Q392" s="6"/>
      <c r="R392" s="6"/>
      <c r="S392" s="6"/>
      <c r="T392" s="6"/>
      <c r="U392" s="6"/>
    </row>
    <row r="393" spans="1:21">
      <c r="A393" s="82"/>
      <c r="B393" s="83"/>
      <c r="C393" s="82"/>
      <c r="D393" s="82"/>
      <c r="E393" s="82"/>
      <c r="F393" s="82"/>
      <c r="G393" s="222"/>
      <c r="H393" s="222"/>
      <c r="I393" s="222"/>
      <c r="J393" s="6"/>
      <c r="K393" s="6"/>
      <c r="L393" s="6"/>
      <c r="M393" s="6"/>
      <c r="N393" s="6"/>
      <c r="O393" s="6"/>
      <c r="P393" s="6"/>
      <c r="Q393" s="6"/>
      <c r="R393" s="6"/>
      <c r="S393" s="6"/>
      <c r="T393" s="6"/>
      <c r="U393" s="6"/>
    </row>
    <row r="394" spans="1:21">
      <c r="A394" s="82"/>
      <c r="B394" s="83"/>
      <c r="C394" s="82"/>
      <c r="D394" s="82"/>
      <c r="E394" s="82"/>
      <c r="F394" s="82"/>
      <c r="G394" s="222"/>
      <c r="H394" s="222"/>
      <c r="I394" s="222"/>
      <c r="J394" s="6"/>
      <c r="K394" s="6"/>
      <c r="L394" s="6"/>
      <c r="M394" s="6"/>
      <c r="N394" s="6"/>
      <c r="O394" s="6"/>
      <c r="P394" s="6"/>
      <c r="Q394" s="6"/>
      <c r="R394" s="6"/>
      <c r="S394" s="6"/>
      <c r="T394" s="6"/>
      <c r="U394" s="6"/>
    </row>
    <row r="395" spans="1:21">
      <c r="A395" s="82"/>
      <c r="B395" s="83"/>
      <c r="C395" s="82"/>
      <c r="D395" s="82"/>
      <c r="E395" s="82"/>
      <c r="F395" s="82"/>
      <c r="G395" s="222"/>
      <c r="H395" s="222"/>
      <c r="I395" s="222"/>
      <c r="J395" s="6"/>
      <c r="K395" s="6"/>
      <c r="L395" s="6"/>
      <c r="M395" s="6"/>
      <c r="N395" s="6"/>
      <c r="O395" s="6"/>
      <c r="P395" s="6"/>
      <c r="Q395" s="6"/>
      <c r="R395" s="6"/>
      <c r="S395" s="6"/>
      <c r="T395" s="6"/>
      <c r="U395" s="6"/>
    </row>
    <row r="396" spans="1:21">
      <c r="A396" s="82"/>
      <c r="B396" s="83"/>
      <c r="C396" s="82"/>
      <c r="D396" s="82"/>
      <c r="E396" s="82"/>
      <c r="F396" s="82"/>
      <c r="G396" s="222"/>
      <c r="H396" s="222"/>
      <c r="I396" s="222"/>
      <c r="J396" s="6"/>
      <c r="K396" s="6"/>
      <c r="L396" s="6"/>
      <c r="M396" s="6"/>
      <c r="N396" s="6"/>
      <c r="O396" s="6"/>
      <c r="P396" s="6"/>
      <c r="Q396" s="6"/>
      <c r="R396" s="6"/>
      <c r="S396" s="6"/>
      <c r="T396" s="6"/>
      <c r="U396" s="6"/>
    </row>
    <row r="397" spans="1:21">
      <c r="A397" s="82"/>
      <c r="B397" s="83"/>
      <c r="C397" s="82"/>
      <c r="D397" s="82"/>
      <c r="E397" s="82"/>
      <c r="F397" s="82"/>
      <c r="G397" s="222"/>
      <c r="H397" s="222"/>
      <c r="I397" s="222"/>
      <c r="J397" s="6"/>
      <c r="K397" s="6"/>
      <c r="L397" s="6"/>
      <c r="M397" s="6"/>
      <c r="N397" s="6"/>
      <c r="O397" s="6"/>
      <c r="P397" s="6"/>
      <c r="Q397" s="6"/>
      <c r="R397" s="6"/>
      <c r="S397" s="6"/>
      <c r="T397" s="6"/>
      <c r="U397" s="6"/>
    </row>
    <row r="398" spans="1:21">
      <c r="A398" s="82"/>
      <c r="B398" s="83"/>
      <c r="C398" s="82"/>
      <c r="D398" s="82"/>
      <c r="E398" s="82"/>
      <c r="F398" s="82"/>
      <c r="G398" s="222"/>
      <c r="H398" s="222"/>
      <c r="I398" s="222"/>
      <c r="J398" s="6"/>
      <c r="K398" s="6"/>
      <c r="L398" s="6"/>
      <c r="M398" s="6"/>
      <c r="N398" s="6"/>
      <c r="O398" s="6"/>
      <c r="P398" s="6"/>
      <c r="Q398" s="6"/>
      <c r="R398" s="6"/>
      <c r="S398" s="6"/>
      <c r="T398" s="6"/>
      <c r="U398" s="6"/>
    </row>
    <row r="399" spans="1:21">
      <c r="A399" s="82"/>
      <c r="B399" s="83"/>
      <c r="C399" s="82"/>
      <c r="D399" s="82"/>
      <c r="E399" s="82"/>
      <c r="F399" s="82"/>
      <c r="G399" s="222"/>
      <c r="H399" s="222"/>
      <c r="I399" s="222"/>
      <c r="J399" s="6"/>
      <c r="K399" s="6"/>
      <c r="L399" s="6"/>
      <c r="M399" s="6"/>
      <c r="N399" s="6"/>
      <c r="O399" s="6"/>
      <c r="P399" s="6"/>
      <c r="Q399" s="6"/>
      <c r="R399" s="6"/>
      <c r="S399" s="6"/>
      <c r="T399" s="6"/>
      <c r="U399" s="6"/>
    </row>
    <row r="400" spans="1:21">
      <c r="A400" s="82"/>
      <c r="B400" s="83"/>
      <c r="C400" s="82"/>
      <c r="D400" s="82"/>
      <c r="E400" s="82"/>
      <c r="F400" s="82"/>
      <c r="G400" s="222"/>
      <c r="H400" s="222"/>
      <c r="I400" s="222"/>
      <c r="J400" s="6"/>
      <c r="K400" s="6"/>
      <c r="L400" s="6"/>
      <c r="M400" s="6"/>
      <c r="N400" s="6"/>
      <c r="O400" s="6"/>
      <c r="P400" s="6"/>
      <c r="Q400" s="6"/>
      <c r="R400" s="6"/>
      <c r="S400" s="6"/>
      <c r="T400" s="6"/>
      <c r="U400" s="6"/>
    </row>
    <row r="401" spans="1:21">
      <c r="A401" s="82"/>
      <c r="B401" s="83"/>
      <c r="C401" s="82"/>
      <c r="D401" s="82"/>
      <c r="E401" s="82"/>
      <c r="F401" s="82"/>
      <c r="G401" s="222"/>
      <c r="H401" s="222"/>
      <c r="I401" s="222"/>
      <c r="J401" s="6"/>
      <c r="K401" s="6"/>
      <c r="L401" s="6"/>
      <c r="M401" s="6"/>
      <c r="N401" s="6"/>
      <c r="O401" s="6"/>
      <c r="P401" s="6"/>
      <c r="Q401" s="6"/>
      <c r="R401" s="6"/>
      <c r="S401" s="6"/>
      <c r="T401" s="6"/>
      <c r="U401" s="6"/>
    </row>
    <row r="402" spans="1:21">
      <c r="A402" s="82"/>
      <c r="B402" s="83"/>
      <c r="C402" s="82"/>
      <c r="D402" s="82"/>
      <c r="E402" s="82"/>
      <c r="F402" s="82"/>
      <c r="G402" s="222"/>
      <c r="H402" s="222"/>
      <c r="I402" s="222"/>
      <c r="J402" s="6"/>
      <c r="K402" s="6"/>
      <c r="L402" s="6"/>
      <c r="M402" s="6"/>
      <c r="N402" s="6"/>
      <c r="O402" s="6"/>
      <c r="P402" s="6"/>
      <c r="Q402" s="6"/>
      <c r="R402" s="6"/>
      <c r="S402" s="6"/>
      <c r="T402" s="6"/>
      <c r="U402" s="6"/>
    </row>
    <row r="403" spans="1:21">
      <c r="A403" s="82"/>
      <c r="B403" s="83"/>
      <c r="C403" s="82"/>
      <c r="D403" s="82"/>
      <c r="E403" s="82"/>
      <c r="F403" s="82"/>
      <c r="G403" s="222"/>
      <c r="H403" s="222"/>
      <c r="I403" s="222"/>
      <c r="J403" s="6"/>
      <c r="K403" s="6"/>
      <c r="L403" s="6"/>
      <c r="M403" s="6"/>
      <c r="N403" s="6"/>
      <c r="O403" s="6"/>
      <c r="P403" s="6"/>
      <c r="Q403" s="6"/>
      <c r="R403" s="6"/>
      <c r="S403" s="6"/>
      <c r="T403" s="6"/>
      <c r="U403" s="6"/>
    </row>
    <row r="404" spans="1:21">
      <c r="A404" s="82"/>
      <c r="B404" s="83"/>
      <c r="C404" s="82"/>
      <c r="D404" s="82"/>
      <c r="E404" s="82"/>
      <c r="F404" s="82"/>
      <c r="G404" s="222"/>
      <c r="H404" s="222"/>
      <c r="I404" s="222"/>
      <c r="J404" s="6"/>
      <c r="K404" s="6"/>
      <c r="L404" s="6"/>
      <c r="M404" s="6"/>
      <c r="N404" s="6"/>
      <c r="O404" s="6"/>
      <c r="P404" s="6"/>
      <c r="Q404" s="6"/>
      <c r="R404" s="6"/>
      <c r="S404" s="6"/>
      <c r="T404" s="6"/>
      <c r="U404" s="6"/>
    </row>
    <row r="405" spans="1:21">
      <c r="A405" s="82"/>
      <c r="B405" s="83"/>
      <c r="C405" s="82"/>
      <c r="D405" s="82"/>
      <c r="E405" s="82"/>
      <c r="F405" s="82"/>
      <c r="G405" s="222"/>
      <c r="H405" s="222"/>
      <c r="I405" s="222"/>
      <c r="J405" s="6"/>
      <c r="K405" s="6"/>
      <c r="L405" s="6"/>
      <c r="M405" s="6"/>
      <c r="N405" s="6"/>
      <c r="O405" s="6"/>
      <c r="P405" s="6"/>
      <c r="Q405" s="6"/>
      <c r="R405" s="6"/>
      <c r="S405" s="6"/>
      <c r="T405" s="6"/>
      <c r="U405" s="6"/>
    </row>
    <row r="406" spans="1:21">
      <c r="A406" s="82"/>
      <c r="B406" s="83"/>
      <c r="C406" s="82"/>
      <c r="D406" s="82"/>
      <c r="E406" s="82"/>
      <c r="F406" s="82"/>
      <c r="G406" s="222"/>
      <c r="H406" s="222"/>
      <c r="I406" s="222"/>
      <c r="J406" s="6"/>
      <c r="K406" s="6"/>
      <c r="L406" s="6"/>
      <c r="M406" s="6"/>
      <c r="N406" s="6"/>
      <c r="O406" s="6"/>
      <c r="P406" s="6"/>
      <c r="Q406" s="6"/>
      <c r="R406" s="6"/>
      <c r="S406" s="6"/>
      <c r="T406" s="6"/>
      <c r="U406" s="6"/>
    </row>
    <row r="407" spans="1:21">
      <c r="A407" s="82"/>
      <c r="B407" s="83"/>
      <c r="C407" s="82"/>
      <c r="D407" s="82"/>
      <c r="E407" s="82"/>
      <c r="F407" s="82"/>
      <c r="G407" s="222"/>
      <c r="H407" s="222"/>
      <c r="I407" s="222"/>
      <c r="J407" s="6"/>
      <c r="K407" s="6"/>
      <c r="L407" s="6"/>
      <c r="M407" s="6"/>
      <c r="N407" s="6"/>
      <c r="O407" s="6"/>
      <c r="P407" s="6"/>
      <c r="Q407" s="6"/>
      <c r="R407" s="6"/>
      <c r="S407" s="6"/>
      <c r="T407" s="6"/>
      <c r="U407" s="6"/>
    </row>
    <row r="408" spans="1:21">
      <c r="A408" s="82"/>
      <c r="B408" s="83"/>
      <c r="C408" s="82"/>
      <c r="D408" s="82"/>
      <c r="E408" s="82"/>
      <c r="F408" s="82"/>
      <c r="G408" s="222"/>
      <c r="H408" s="222"/>
      <c r="I408" s="222"/>
      <c r="J408" s="6"/>
      <c r="K408" s="6"/>
      <c r="L408" s="6"/>
      <c r="M408" s="6"/>
      <c r="N408" s="6"/>
      <c r="O408" s="6"/>
      <c r="P408" s="6"/>
      <c r="Q408" s="6"/>
      <c r="R408" s="6"/>
      <c r="S408" s="6"/>
      <c r="T408" s="6"/>
      <c r="U408" s="6"/>
    </row>
    <row r="409" spans="1:21">
      <c r="A409" s="82"/>
      <c r="B409" s="83"/>
      <c r="C409" s="82"/>
      <c r="D409" s="82"/>
      <c r="E409" s="82"/>
      <c r="F409" s="82"/>
      <c r="G409" s="222"/>
      <c r="H409" s="222"/>
      <c r="I409" s="222"/>
      <c r="J409" s="6"/>
      <c r="K409" s="6"/>
      <c r="L409" s="6"/>
      <c r="M409" s="6"/>
      <c r="N409" s="6"/>
      <c r="O409" s="6"/>
      <c r="P409" s="6"/>
      <c r="Q409" s="6"/>
      <c r="R409" s="6"/>
      <c r="S409" s="6"/>
      <c r="T409" s="6"/>
      <c r="U409" s="6"/>
    </row>
    <row r="410" spans="1:21">
      <c r="A410" s="82"/>
      <c r="B410" s="83"/>
      <c r="C410" s="82"/>
      <c r="D410" s="82"/>
      <c r="E410" s="82"/>
      <c r="F410" s="82"/>
      <c r="G410" s="222"/>
      <c r="H410" s="222"/>
      <c r="I410" s="222"/>
      <c r="J410" s="6"/>
      <c r="K410" s="6"/>
      <c r="L410" s="6"/>
      <c r="M410" s="6"/>
      <c r="N410" s="6"/>
      <c r="O410" s="6"/>
      <c r="P410" s="6"/>
      <c r="Q410" s="6"/>
      <c r="R410" s="6"/>
      <c r="S410" s="6"/>
      <c r="T410" s="6"/>
      <c r="U410" s="6"/>
    </row>
    <row r="411" spans="1:21">
      <c r="A411" s="82"/>
      <c r="B411" s="83"/>
      <c r="C411" s="82"/>
      <c r="D411" s="82"/>
      <c r="E411" s="82"/>
      <c r="F411" s="82"/>
      <c r="G411" s="222"/>
      <c r="H411" s="222"/>
      <c r="I411" s="222"/>
      <c r="J411" s="6"/>
      <c r="K411" s="6"/>
      <c r="L411" s="6"/>
      <c r="M411" s="6"/>
      <c r="N411" s="6"/>
      <c r="O411" s="6"/>
      <c r="P411" s="6"/>
      <c r="Q411" s="6"/>
      <c r="R411" s="6"/>
      <c r="S411" s="6"/>
      <c r="T411" s="6"/>
      <c r="U411" s="6"/>
    </row>
    <row r="412" spans="1:21">
      <c r="A412" s="82"/>
      <c r="B412" s="83"/>
      <c r="C412" s="82"/>
      <c r="D412" s="82"/>
      <c r="E412" s="82"/>
      <c r="F412" s="82"/>
      <c r="G412" s="222"/>
      <c r="H412" s="222"/>
      <c r="I412" s="222"/>
      <c r="J412" s="6"/>
      <c r="K412" s="6"/>
      <c r="L412" s="6"/>
      <c r="M412" s="6"/>
      <c r="N412" s="6"/>
      <c r="O412" s="6"/>
      <c r="P412" s="6"/>
      <c r="Q412" s="6"/>
      <c r="R412" s="6"/>
      <c r="S412" s="6"/>
      <c r="T412" s="6"/>
      <c r="U412" s="6"/>
    </row>
    <row r="413" spans="1:21">
      <c r="A413" s="82"/>
      <c r="B413" s="83"/>
      <c r="C413" s="82"/>
      <c r="D413" s="82"/>
      <c r="E413" s="82"/>
      <c r="F413" s="82"/>
      <c r="G413" s="222"/>
      <c r="H413" s="222"/>
      <c r="I413" s="222"/>
      <c r="J413" s="6"/>
      <c r="K413" s="6"/>
      <c r="L413" s="6"/>
      <c r="M413" s="6"/>
      <c r="N413" s="6"/>
      <c r="O413" s="6"/>
      <c r="P413" s="6"/>
      <c r="Q413" s="6"/>
      <c r="R413" s="6"/>
      <c r="S413" s="6"/>
      <c r="T413" s="6"/>
      <c r="U413" s="6"/>
    </row>
    <row r="414" spans="1:21">
      <c r="A414" s="82"/>
      <c r="B414" s="83"/>
      <c r="C414" s="82"/>
      <c r="D414" s="82"/>
      <c r="E414" s="82"/>
      <c r="F414" s="82"/>
      <c r="G414" s="222"/>
      <c r="H414" s="222"/>
      <c r="I414" s="222"/>
      <c r="J414" s="6"/>
      <c r="K414" s="6"/>
      <c r="L414" s="6"/>
      <c r="M414" s="6"/>
      <c r="N414" s="6"/>
      <c r="O414" s="6"/>
      <c r="P414" s="6"/>
      <c r="Q414" s="6"/>
      <c r="R414" s="6"/>
      <c r="S414" s="6"/>
      <c r="T414" s="6"/>
      <c r="U414" s="6"/>
    </row>
    <row r="415" spans="1:21">
      <c r="A415" s="82"/>
      <c r="B415" s="83"/>
      <c r="C415" s="82"/>
      <c r="D415" s="82"/>
      <c r="E415" s="82"/>
      <c r="F415" s="82"/>
      <c r="G415" s="222"/>
      <c r="H415" s="222"/>
      <c r="I415" s="222"/>
      <c r="J415" s="6"/>
      <c r="K415" s="6"/>
      <c r="L415" s="6"/>
      <c r="M415" s="6"/>
      <c r="N415" s="6"/>
      <c r="O415" s="6"/>
      <c r="P415" s="6"/>
      <c r="Q415" s="6"/>
      <c r="R415" s="6"/>
      <c r="S415" s="6"/>
      <c r="T415" s="6"/>
      <c r="U415" s="6"/>
    </row>
    <row r="416" spans="1:21">
      <c r="A416" s="82"/>
      <c r="B416" s="83"/>
      <c r="C416" s="82"/>
      <c r="D416" s="82"/>
      <c r="E416" s="82"/>
      <c r="F416" s="82"/>
      <c r="G416" s="222"/>
      <c r="H416" s="222"/>
      <c r="I416" s="222"/>
      <c r="J416" s="6"/>
      <c r="K416" s="6"/>
      <c r="L416" s="6"/>
      <c r="M416" s="6"/>
      <c r="N416" s="6"/>
      <c r="O416" s="6"/>
      <c r="P416" s="6"/>
      <c r="Q416" s="6"/>
      <c r="R416" s="6"/>
      <c r="S416" s="6"/>
      <c r="T416" s="6"/>
      <c r="U416" s="6"/>
    </row>
    <row r="417" spans="1:21">
      <c r="A417" s="82"/>
      <c r="B417" s="83"/>
      <c r="C417" s="82"/>
      <c r="D417" s="82"/>
      <c r="E417" s="82"/>
      <c r="F417" s="82"/>
      <c r="G417" s="222"/>
      <c r="H417" s="222"/>
      <c r="I417" s="222"/>
      <c r="J417" s="6"/>
      <c r="K417" s="6"/>
      <c r="L417" s="6"/>
      <c r="M417" s="6"/>
      <c r="N417" s="6"/>
      <c r="O417" s="6"/>
      <c r="P417" s="6"/>
      <c r="Q417" s="6"/>
      <c r="R417" s="6"/>
      <c r="S417" s="6"/>
      <c r="T417" s="6"/>
      <c r="U417" s="6"/>
    </row>
    <row r="418" spans="1:21">
      <c r="A418" s="82"/>
      <c r="B418" s="83"/>
      <c r="C418" s="82"/>
      <c r="D418" s="82"/>
      <c r="E418" s="82"/>
      <c r="F418" s="82"/>
      <c r="G418" s="222"/>
      <c r="H418" s="222"/>
      <c r="I418" s="222"/>
      <c r="J418" s="6"/>
      <c r="K418" s="6"/>
      <c r="L418" s="6"/>
      <c r="M418" s="6"/>
      <c r="N418" s="6"/>
      <c r="O418" s="6"/>
      <c r="P418" s="6"/>
      <c r="Q418" s="6"/>
      <c r="R418" s="6"/>
      <c r="S418" s="6"/>
      <c r="T418" s="6"/>
      <c r="U418" s="6"/>
    </row>
    <row r="419" spans="1:21">
      <c r="A419" s="82"/>
      <c r="B419" s="83"/>
      <c r="C419" s="82"/>
      <c r="D419" s="82"/>
      <c r="E419" s="82"/>
      <c r="F419" s="82"/>
      <c r="G419" s="222"/>
      <c r="H419" s="222"/>
      <c r="I419" s="222"/>
      <c r="J419" s="6"/>
      <c r="K419" s="6"/>
      <c r="L419" s="6"/>
      <c r="M419" s="6"/>
      <c r="N419" s="6"/>
      <c r="O419" s="6"/>
      <c r="P419" s="6"/>
      <c r="Q419" s="6"/>
      <c r="R419" s="6"/>
      <c r="S419" s="6"/>
      <c r="T419" s="6"/>
      <c r="U419" s="6"/>
    </row>
    <row r="420" spans="1:21">
      <c r="A420" s="82"/>
      <c r="B420" s="83"/>
      <c r="C420" s="82"/>
      <c r="D420" s="82"/>
      <c r="E420" s="82"/>
      <c r="F420" s="82"/>
      <c r="G420" s="222"/>
      <c r="H420" s="222"/>
      <c r="I420" s="222"/>
      <c r="J420" s="6"/>
      <c r="K420" s="6"/>
      <c r="L420" s="6"/>
      <c r="M420" s="6"/>
      <c r="N420" s="6"/>
      <c r="O420" s="6"/>
      <c r="P420" s="6"/>
      <c r="Q420" s="6"/>
      <c r="R420" s="6"/>
      <c r="S420" s="6"/>
      <c r="T420" s="6"/>
      <c r="U420" s="6"/>
    </row>
    <row r="421" spans="1:21">
      <c r="A421" s="82"/>
      <c r="B421" s="83"/>
      <c r="C421" s="82"/>
      <c r="D421" s="82"/>
      <c r="E421" s="82"/>
      <c r="F421" s="82"/>
      <c r="G421" s="222"/>
      <c r="H421" s="222"/>
      <c r="I421" s="222"/>
      <c r="J421" s="6"/>
      <c r="K421" s="6"/>
      <c r="L421" s="6"/>
      <c r="M421" s="6"/>
      <c r="N421" s="6"/>
      <c r="O421" s="6"/>
      <c r="P421" s="6"/>
      <c r="Q421" s="6"/>
      <c r="R421" s="6"/>
      <c r="S421" s="6"/>
      <c r="T421" s="6"/>
      <c r="U421" s="6"/>
    </row>
    <row r="422" spans="1:21">
      <c r="A422" s="82"/>
      <c r="B422" s="83"/>
      <c r="C422" s="82"/>
      <c r="D422" s="82"/>
      <c r="E422" s="82"/>
      <c r="F422" s="82"/>
      <c r="G422" s="222"/>
      <c r="H422" s="222"/>
      <c r="I422" s="222"/>
      <c r="J422" s="6"/>
      <c r="K422" s="6"/>
      <c r="L422" s="6"/>
      <c r="M422" s="6"/>
      <c r="N422" s="6"/>
      <c r="O422" s="6"/>
      <c r="P422" s="6"/>
      <c r="Q422" s="6"/>
      <c r="R422" s="6"/>
      <c r="S422" s="6"/>
      <c r="T422" s="6"/>
      <c r="U422" s="6"/>
    </row>
    <row r="423" spans="1:21">
      <c r="A423" s="82"/>
      <c r="B423" s="83"/>
      <c r="C423" s="82"/>
      <c r="D423" s="82"/>
      <c r="E423" s="82"/>
      <c r="F423" s="82"/>
      <c r="G423" s="222"/>
      <c r="H423" s="222"/>
      <c r="I423" s="222"/>
      <c r="J423" s="6"/>
      <c r="K423" s="6"/>
      <c r="L423" s="6"/>
      <c r="M423" s="6"/>
      <c r="N423" s="6"/>
      <c r="O423" s="6"/>
      <c r="P423" s="6"/>
      <c r="Q423" s="6"/>
      <c r="R423" s="6"/>
      <c r="S423" s="6"/>
      <c r="T423" s="6"/>
      <c r="U423" s="6"/>
    </row>
    <row r="424" spans="1:21">
      <c r="A424" s="82"/>
      <c r="B424" s="83"/>
      <c r="C424" s="82"/>
      <c r="D424" s="82"/>
      <c r="E424" s="82"/>
      <c r="F424" s="82"/>
      <c r="G424" s="222"/>
      <c r="H424" s="222"/>
      <c r="I424" s="222"/>
      <c r="J424" s="6"/>
      <c r="K424" s="6"/>
      <c r="L424" s="6"/>
      <c r="M424" s="6"/>
      <c r="N424" s="6"/>
      <c r="O424" s="6"/>
      <c r="P424" s="6"/>
      <c r="Q424" s="6"/>
      <c r="R424" s="6"/>
      <c r="S424" s="6"/>
      <c r="T424" s="6"/>
      <c r="U424" s="6"/>
    </row>
    <row r="425" spans="1:21">
      <c r="A425" s="82"/>
      <c r="B425" s="83"/>
      <c r="C425" s="82"/>
      <c r="D425" s="82"/>
      <c r="E425" s="82"/>
      <c r="F425" s="82"/>
      <c r="G425" s="222"/>
      <c r="H425" s="222"/>
      <c r="I425" s="222"/>
      <c r="J425" s="6"/>
      <c r="K425" s="6"/>
      <c r="L425" s="6"/>
      <c r="M425" s="6"/>
      <c r="N425" s="6"/>
      <c r="O425" s="6"/>
      <c r="P425" s="6"/>
      <c r="Q425" s="6"/>
      <c r="R425" s="6"/>
      <c r="S425" s="6"/>
      <c r="T425" s="6"/>
      <c r="U425" s="6"/>
    </row>
    <row r="426" spans="1:21">
      <c r="A426" s="82"/>
      <c r="B426" s="83"/>
      <c r="C426" s="82"/>
      <c r="D426" s="82"/>
      <c r="E426" s="82"/>
      <c r="F426" s="82"/>
      <c r="G426" s="222"/>
      <c r="H426" s="222"/>
      <c r="I426" s="222"/>
      <c r="J426" s="6"/>
      <c r="K426" s="6"/>
      <c r="L426" s="6"/>
      <c r="M426" s="6"/>
      <c r="N426" s="6"/>
      <c r="O426" s="6"/>
      <c r="P426" s="6"/>
      <c r="Q426" s="6"/>
      <c r="R426" s="6"/>
      <c r="S426" s="6"/>
      <c r="T426" s="6"/>
      <c r="U426" s="6"/>
    </row>
    <row r="427" spans="1:21">
      <c r="A427" s="82"/>
      <c r="B427" s="83"/>
      <c r="C427" s="82"/>
      <c r="D427" s="82"/>
      <c r="E427" s="82"/>
      <c r="F427" s="82"/>
      <c r="G427" s="222"/>
      <c r="H427" s="222"/>
      <c r="I427" s="222"/>
      <c r="J427" s="6"/>
      <c r="K427" s="6"/>
      <c r="L427" s="6"/>
      <c r="M427" s="6"/>
      <c r="N427" s="6"/>
      <c r="O427" s="6"/>
      <c r="P427" s="6"/>
      <c r="Q427" s="6"/>
      <c r="R427" s="6"/>
      <c r="S427" s="6"/>
      <c r="T427" s="6"/>
      <c r="U427" s="6"/>
    </row>
    <row r="428" spans="1:21">
      <c r="A428" s="82"/>
      <c r="B428" s="83"/>
      <c r="C428" s="82"/>
      <c r="D428" s="82"/>
      <c r="E428" s="82"/>
      <c r="F428" s="82"/>
      <c r="G428" s="222"/>
      <c r="H428" s="222"/>
      <c r="I428" s="222"/>
      <c r="J428" s="6"/>
      <c r="K428" s="6"/>
      <c r="L428" s="6"/>
      <c r="M428" s="6"/>
      <c r="N428" s="6"/>
      <c r="O428" s="6"/>
      <c r="P428" s="6"/>
      <c r="Q428" s="6"/>
      <c r="R428" s="6"/>
      <c r="S428" s="6"/>
      <c r="T428" s="6"/>
      <c r="U428" s="6"/>
    </row>
    <row r="429" spans="1:21">
      <c r="A429" s="82"/>
      <c r="B429" s="83"/>
      <c r="C429" s="82"/>
      <c r="D429" s="82"/>
      <c r="E429" s="82"/>
      <c r="F429" s="82"/>
      <c r="G429" s="222"/>
      <c r="H429" s="222"/>
      <c r="I429" s="222"/>
      <c r="J429" s="6"/>
      <c r="K429" s="6"/>
      <c r="L429" s="6"/>
      <c r="M429" s="6"/>
      <c r="N429" s="6"/>
      <c r="O429" s="6"/>
      <c r="P429" s="6"/>
      <c r="Q429" s="6"/>
      <c r="R429" s="6"/>
      <c r="S429" s="6"/>
      <c r="T429" s="6"/>
      <c r="U429" s="6"/>
    </row>
    <row r="430" spans="1:21">
      <c r="A430" s="82"/>
      <c r="B430" s="83"/>
      <c r="C430" s="82"/>
      <c r="D430" s="82"/>
      <c r="E430" s="82"/>
      <c r="F430" s="82"/>
      <c r="G430" s="222"/>
      <c r="H430" s="222"/>
      <c r="I430" s="222"/>
      <c r="J430" s="6"/>
      <c r="K430" s="6"/>
      <c r="L430" s="6"/>
      <c r="M430" s="6"/>
      <c r="N430" s="6"/>
      <c r="O430" s="6"/>
      <c r="P430" s="6"/>
      <c r="Q430" s="6"/>
      <c r="R430" s="6"/>
      <c r="S430" s="6"/>
      <c r="T430" s="6"/>
      <c r="U430" s="6"/>
    </row>
    <row r="431" spans="1:21">
      <c r="A431" s="82"/>
      <c r="B431" s="83"/>
      <c r="C431" s="82"/>
      <c r="D431" s="82"/>
      <c r="E431" s="82"/>
      <c r="F431" s="82"/>
      <c r="G431" s="222"/>
      <c r="H431" s="222"/>
      <c r="I431" s="222"/>
      <c r="J431" s="6"/>
      <c r="K431" s="6"/>
      <c r="L431" s="6"/>
      <c r="M431" s="6"/>
      <c r="N431" s="6"/>
      <c r="O431" s="6"/>
      <c r="P431" s="6"/>
      <c r="Q431" s="6"/>
      <c r="R431" s="6"/>
      <c r="S431" s="6"/>
      <c r="T431" s="6"/>
      <c r="U431" s="6"/>
    </row>
    <row r="432" spans="1:21">
      <c r="A432" s="82"/>
      <c r="B432" s="83"/>
      <c r="C432" s="82"/>
      <c r="D432" s="82"/>
      <c r="E432" s="82"/>
      <c r="F432" s="82"/>
      <c r="G432" s="222"/>
      <c r="H432" s="222"/>
      <c r="I432" s="222"/>
      <c r="J432" s="6"/>
      <c r="K432" s="6"/>
      <c r="L432" s="6"/>
      <c r="M432" s="6"/>
      <c r="N432" s="6"/>
      <c r="O432" s="6"/>
      <c r="P432" s="6"/>
      <c r="Q432" s="6"/>
      <c r="R432" s="6"/>
      <c r="S432" s="6"/>
      <c r="T432" s="6"/>
      <c r="U432" s="6"/>
    </row>
    <row r="433" spans="1:21">
      <c r="A433" s="82"/>
      <c r="B433" s="83"/>
      <c r="C433" s="82"/>
      <c r="D433" s="82"/>
      <c r="E433" s="82"/>
      <c r="F433" s="82"/>
      <c r="G433" s="222"/>
      <c r="H433" s="222"/>
      <c r="I433" s="222"/>
      <c r="J433" s="6"/>
      <c r="K433" s="6"/>
      <c r="L433" s="6"/>
      <c r="M433" s="6"/>
      <c r="N433" s="6"/>
      <c r="O433" s="6"/>
      <c r="P433" s="6"/>
      <c r="Q433" s="6"/>
      <c r="R433" s="6"/>
      <c r="S433" s="6"/>
      <c r="T433" s="6"/>
      <c r="U433" s="6"/>
    </row>
    <row r="434" spans="1:21">
      <c r="A434" s="82"/>
      <c r="B434" s="83"/>
      <c r="C434" s="82"/>
      <c r="D434" s="82"/>
      <c r="E434" s="82"/>
      <c r="F434" s="82"/>
      <c r="G434" s="222"/>
      <c r="H434" s="222"/>
      <c r="I434" s="222"/>
      <c r="J434" s="6"/>
      <c r="K434" s="6"/>
      <c r="L434" s="6"/>
      <c r="M434" s="6"/>
      <c r="N434" s="6"/>
      <c r="O434" s="6"/>
      <c r="P434" s="6"/>
      <c r="Q434" s="6"/>
      <c r="R434" s="6"/>
      <c r="S434" s="6"/>
      <c r="T434" s="6"/>
      <c r="U434" s="6"/>
    </row>
    <row r="435" spans="1:21">
      <c r="A435" s="82"/>
      <c r="B435" s="83"/>
      <c r="C435" s="82"/>
      <c r="D435" s="82"/>
      <c r="E435" s="82"/>
      <c r="F435" s="82"/>
      <c r="G435" s="222"/>
      <c r="H435" s="222"/>
      <c r="I435" s="222"/>
      <c r="J435" s="6"/>
      <c r="K435" s="6"/>
      <c r="L435" s="6"/>
      <c r="M435" s="6"/>
      <c r="N435" s="6"/>
      <c r="O435" s="6"/>
      <c r="P435" s="6"/>
      <c r="Q435" s="6"/>
      <c r="R435" s="6"/>
      <c r="S435" s="6"/>
      <c r="T435" s="6"/>
      <c r="U435" s="6"/>
    </row>
    <row r="436" spans="1:21">
      <c r="A436" s="82"/>
      <c r="B436" s="83"/>
      <c r="C436" s="82"/>
      <c r="D436" s="82"/>
      <c r="E436" s="82"/>
      <c r="F436" s="82"/>
      <c r="G436" s="222"/>
      <c r="H436" s="222"/>
      <c r="I436" s="222"/>
      <c r="J436" s="6"/>
      <c r="K436" s="6"/>
      <c r="L436" s="6"/>
      <c r="M436" s="6"/>
      <c r="N436" s="6"/>
      <c r="O436" s="6"/>
      <c r="P436" s="6"/>
      <c r="Q436" s="6"/>
      <c r="R436" s="6"/>
      <c r="S436" s="6"/>
      <c r="T436" s="6"/>
      <c r="U436" s="6"/>
    </row>
    <row r="437" spans="1:21">
      <c r="A437" s="82"/>
      <c r="B437" s="83"/>
      <c r="C437" s="82"/>
      <c r="D437" s="82"/>
      <c r="E437" s="82"/>
      <c r="F437" s="82"/>
      <c r="G437" s="222"/>
      <c r="H437" s="222"/>
      <c r="I437" s="222"/>
      <c r="J437" s="6"/>
      <c r="K437" s="6"/>
      <c r="L437" s="6"/>
      <c r="M437" s="6"/>
      <c r="N437" s="6"/>
      <c r="O437" s="6"/>
      <c r="P437" s="6"/>
      <c r="Q437" s="6"/>
      <c r="R437" s="6"/>
      <c r="S437" s="6"/>
      <c r="T437" s="6"/>
      <c r="U437" s="6"/>
    </row>
    <row r="438" spans="1:21">
      <c r="A438" s="82"/>
      <c r="B438" s="83"/>
      <c r="C438" s="82"/>
      <c r="D438" s="82"/>
      <c r="E438" s="82"/>
      <c r="F438" s="82"/>
      <c r="G438" s="222"/>
      <c r="H438" s="222"/>
      <c r="I438" s="222"/>
      <c r="J438" s="6"/>
      <c r="K438" s="6"/>
      <c r="L438" s="6"/>
      <c r="M438" s="6"/>
      <c r="N438" s="6"/>
      <c r="O438" s="6"/>
      <c r="P438" s="6"/>
      <c r="Q438" s="6"/>
      <c r="R438" s="6"/>
      <c r="S438" s="6"/>
      <c r="T438" s="6"/>
      <c r="U438" s="6"/>
    </row>
    <row r="439" spans="1:21">
      <c r="A439" s="82"/>
      <c r="B439" s="83"/>
      <c r="C439" s="82"/>
      <c r="D439" s="82"/>
      <c r="E439" s="82"/>
      <c r="F439" s="82"/>
      <c r="G439" s="222"/>
      <c r="H439" s="222"/>
      <c r="I439" s="222"/>
      <c r="J439" s="6"/>
      <c r="K439" s="6"/>
      <c r="L439" s="6"/>
      <c r="M439" s="6"/>
      <c r="N439" s="6"/>
      <c r="O439" s="6"/>
      <c r="P439" s="6"/>
      <c r="Q439" s="6"/>
      <c r="R439" s="6"/>
      <c r="S439" s="6"/>
      <c r="T439" s="6"/>
      <c r="U439" s="6"/>
    </row>
    <row r="440" spans="1:21">
      <c r="A440" s="82"/>
      <c r="B440" s="83"/>
      <c r="C440" s="82"/>
      <c r="D440" s="82"/>
      <c r="E440" s="82"/>
      <c r="F440" s="82"/>
      <c r="G440" s="222"/>
      <c r="H440" s="222"/>
      <c r="I440" s="222"/>
      <c r="J440" s="6"/>
      <c r="K440" s="6"/>
      <c r="L440" s="6"/>
      <c r="M440" s="6"/>
      <c r="N440" s="6"/>
      <c r="O440" s="6"/>
      <c r="P440" s="6"/>
      <c r="Q440" s="6"/>
      <c r="R440" s="6"/>
      <c r="S440" s="6"/>
      <c r="T440" s="6"/>
      <c r="U440" s="6"/>
    </row>
    <row r="441" spans="1:21">
      <c r="A441" s="82"/>
      <c r="B441" s="83"/>
      <c r="C441" s="82"/>
      <c r="D441" s="82"/>
      <c r="E441" s="82"/>
      <c r="F441" s="82"/>
      <c r="G441" s="222"/>
      <c r="H441" s="222"/>
      <c r="I441" s="222"/>
      <c r="J441" s="6"/>
      <c r="K441" s="6"/>
      <c r="L441" s="6"/>
      <c r="M441" s="6"/>
      <c r="N441" s="6"/>
      <c r="O441" s="6"/>
      <c r="P441" s="6"/>
      <c r="Q441" s="6"/>
      <c r="R441" s="6"/>
      <c r="S441" s="6"/>
      <c r="T441" s="6"/>
      <c r="U441" s="6"/>
    </row>
    <row r="442" spans="1:21">
      <c r="A442" s="82"/>
      <c r="B442" s="83"/>
      <c r="C442" s="82"/>
      <c r="D442" s="82"/>
      <c r="E442" s="82"/>
      <c r="F442" s="82"/>
      <c r="G442" s="222"/>
      <c r="H442" s="222"/>
      <c r="I442" s="222"/>
      <c r="J442" s="6"/>
      <c r="K442" s="6"/>
      <c r="L442" s="6"/>
      <c r="M442" s="6"/>
      <c r="N442" s="6"/>
      <c r="O442" s="6"/>
      <c r="P442" s="6"/>
      <c r="Q442" s="6"/>
      <c r="R442" s="6"/>
      <c r="S442" s="6"/>
      <c r="T442" s="6"/>
      <c r="U442" s="6"/>
    </row>
    <row r="443" spans="1:21">
      <c r="A443" s="82"/>
      <c r="B443" s="83"/>
      <c r="C443" s="82"/>
      <c r="D443" s="82"/>
      <c r="E443" s="82"/>
      <c r="F443" s="82"/>
      <c r="G443" s="222"/>
      <c r="H443" s="222"/>
      <c r="I443" s="222"/>
      <c r="J443" s="6"/>
      <c r="K443" s="6"/>
      <c r="L443" s="6"/>
      <c r="M443" s="6"/>
      <c r="N443" s="6"/>
      <c r="O443" s="6"/>
      <c r="P443" s="6"/>
      <c r="Q443" s="6"/>
      <c r="R443" s="6"/>
      <c r="S443" s="6"/>
      <c r="T443" s="6"/>
      <c r="U443" s="6"/>
    </row>
    <row r="444" spans="1:21">
      <c r="A444" s="82"/>
      <c r="B444" s="83"/>
      <c r="C444" s="82"/>
      <c r="D444" s="82"/>
      <c r="E444" s="82"/>
      <c r="F444" s="82"/>
      <c r="G444" s="222"/>
      <c r="H444" s="222"/>
      <c r="I444" s="222"/>
      <c r="J444" s="6"/>
      <c r="K444" s="6"/>
      <c r="L444" s="6"/>
      <c r="M444" s="6"/>
      <c r="N444" s="6"/>
      <c r="O444" s="6"/>
      <c r="P444" s="6"/>
      <c r="Q444" s="6"/>
      <c r="R444" s="6"/>
      <c r="S444" s="6"/>
      <c r="T444" s="6"/>
      <c r="U444" s="6"/>
    </row>
    <row r="445" spans="1:21">
      <c r="A445" s="82"/>
      <c r="B445" s="83"/>
      <c r="C445" s="82"/>
      <c r="D445" s="82"/>
      <c r="E445" s="82"/>
      <c r="F445" s="82"/>
      <c r="G445" s="222"/>
      <c r="H445" s="222"/>
      <c r="I445" s="222"/>
      <c r="J445" s="6"/>
      <c r="K445" s="6"/>
      <c r="L445" s="6"/>
      <c r="M445" s="6"/>
      <c r="N445" s="6"/>
      <c r="O445" s="6"/>
      <c r="P445" s="6"/>
      <c r="Q445" s="6"/>
      <c r="R445" s="6"/>
      <c r="S445" s="6"/>
      <c r="T445" s="6"/>
      <c r="U445" s="6"/>
    </row>
    <row r="446" spans="1:21">
      <c r="A446" s="82"/>
      <c r="B446" s="83"/>
      <c r="C446" s="82"/>
      <c r="D446" s="82"/>
      <c r="E446" s="82"/>
      <c r="F446" s="82"/>
      <c r="G446" s="222"/>
      <c r="H446" s="222"/>
      <c r="I446" s="222"/>
      <c r="J446" s="6"/>
      <c r="K446" s="6"/>
      <c r="L446" s="6"/>
      <c r="M446" s="6"/>
      <c r="N446" s="6"/>
      <c r="O446" s="6"/>
      <c r="P446" s="6"/>
      <c r="Q446" s="6"/>
      <c r="R446" s="6"/>
      <c r="S446" s="6"/>
      <c r="T446" s="6"/>
      <c r="U446" s="6"/>
    </row>
    <row r="447" spans="1:21">
      <c r="A447" s="82"/>
      <c r="B447" s="83"/>
      <c r="C447" s="82"/>
      <c r="D447" s="82"/>
      <c r="E447" s="82"/>
      <c r="F447" s="82"/>
      <c r="G447" s="222"/>
      <c r="H447" s="222"/>
      <c r="I447" s="222"/>
      <c r="J447" s="6"/>
      <c r="K447" s="6"/>
      <c r="L447" s="6"/>
      <c r="M447" s="6"/>
      <c r="N447" s="6"/>
      <c r="O447" s="6"/>
      <c r="P447" s="6"/>
      <c r="Q447" s="6"/>
      <c r="R447" s="6"/>
      <c r="S447" s="6"/>
      <c r="T447" s="6"/>
      <c r="U447" s="6"/>
    </row>
    <row r="448" spans="1:21">
      <c r="A448" s="82"/>
      <c r="B448" s="83"/>
      <c r="C448" s="82"/>
      <c r="D448" s="82"/>
      <c r="E448" s="82"/>
      <c r="F448" s="82"/>
      <c r="G448" s="222"/>
      <c r="H448" s="222"/>
      <c r="I448" s="222"/>
      <c r="J448" s="6"/>
      <c r="K448" s="6"/>
      <c r="L448" s="6"/>
      <c r="M448" s="6"/>
      <c r="N448" s="6"/>
      <c r="O448" s="6"/>
      <c r="P448" s="6"/>
      <c r="Q448" s="6"/>
      <c r="R448" s="6"/>
      <c r="S448" s="6"/>
      <c r="T448" s="6"/>
      <c r="U448" s="6"/>
    </row>
    <row r="449" spans="1:21">
      <c r="A449" s="82"/>
      <c r="B449" s="83"/>
      <c r="C449" s="82"/>
      <c r="D449" s="82"/>
      <c r="E449" s="82"/>
      <c r="F449" s="82"/>
      <c r="G449" s="222"/>
      <c r="H449" s="222"/>
      <c r="I449" s="222"/>
      <c r="J449" s="6"/>
      <c r="K449" s="6"/>
      <c r="L449" s="6"/>
      <c r="M449" s="6"/>
      <c r="N449" s="6"/>
      <c r="O449" s="6"/>
      <c r="P449" s="6"/>
      <c r="Q449" s="6"/>
      <c r="R449" s="6"/>
      <c r="S449" s="6"/>
      <c r="T449" s="6"/>
      <c r="U449" s="6"/>
    </row>
    <row r="450" spans="1:21">
      <c r="A450" s="82"/>
      <c r="B450" s="83"/>
      <c r="C450" s="82"/>
      <c r="D450" s="82"/>
      <c r="E450" s="82"/>
      <c r="F450" s="82"/>
      <c r="G450" s="222"/>
      <c r="H450" s="222"/>
      <c r="I450" s="222"/>
      <c r="J450" s="6"/>
      <c r="K450" s="6"/>
      <c r="L450" s="6"/>
      <c r="M450" s="6"/>
      <c r="N450" s="6"/>
      <c r="O450" s="6"/>
      <c r="P450" s="6"/>
      <c r="Q450" s="6"/>
      <c r="R450" s="6"/>
      <c r="S450" s="6"/>
      <c r="T450" s="6"/>
      <c r="U450" s="6"/>
    </row>
    <row r="451" spans="1:21">
      <c r="A451" s="82"/>
      <c r="B451" s="83"/>
      <c r="C451" s="82"/>
      <c r="D451" s="82"/>
      <c r="E451" s="82"/>
      <c r="F451" s="82"/>
      <c r="G451" s="222"/>
      <c r="H451" s="222"/>
      <c r="I451" s="222"/>
      <c r="J451" s="6"/>
      <c r="K451" s="6"/>
      <c r="L451" s="6"/>
      <c r="M451" s="6"/>
      <c r="N451" s="6"/>
      <c r="O451" s="6"/>
      <c r="P451" s="6"/>
      <c r="Q451" s="6"/>
      <c r="R451" s="6"/>
      <c r="S451" s="6"/>
      <c r="T451" s="6"/>
      <c r="U451" s="6"/>
    </row>
    <row r="452" spans="1:21">
      <c r="A452" s="82"/>
      <c r="B452" s="83"/>
      <c r="C452" s="82"/>
      <c r="D452" s="82"/>
      <c r="E452" s="82"/>
      <c r="F452" s="82"/>
      <c r="G452" s="222"/>
      <c r="H452" s="222"/>
      <c r="I452" s="222"/>
      <c r="J452" s="6"/>
      <c r="K452" s="6"/>
      <c r="L452" s="6"/>
      <c r="M452" s="6"/>
      <c r="N452" s="6"/>
      <c r="O452" s="6"/>
      <c r="P452" s="6"/>
      <c r="Q452" s="6"/>
      <c r="R452" s="6"/>
      <c r="S452" s="6"/>
      <c r="T452" s="6"/>
      <c r="U452" s="6"/>
    </row>
    <row r="453" spans="1:21">
      <c r="A453" s="82"/>
      <c r="B453" s="83"/>
      <c r="C453" s="82"/>
      <c r="D453" s="82"/>
      <c r="E453" s="82"/>
      <c r="F453" s="82"/>
      <c r="G453" s="222"/>
      <c r="H453" s="222"/>
      <c r="I453" s="222"/>
      <c r="J453" s="6"/>
      <c r="K453" s="6"/>
      <c r="L453" s="6"/>
      <c r="M453" s="6"/>
      <c r="N453" s="6"/>
      <c r="O453" s="6"/>
      <c r="P453" s="6"/>
      <c r="Q453" s="6"/>
      <c r="R453" s="6"/>
      <c r="S453" s="6"/>
      <c r="T453" s="6"/>
      <c r="U453" s="6"/>
    </row>
    <row r="454" spans="1:21">
      <c r="A454" s="82"/>
      <c r="B454" s="83"/>
      <c r="C454" s="82"/>
      <c r="D454" s="82"/>
      <c r="E454" s="82"/>
      <c r="F454" s="82"/>
      <c r="G454" s="222"/>
      <c r="H454" s="222"/>
      <c r="I454" s="222"/>
      <c r="J454" s="6"/>
      <c r="K454" s="6"/>
      <c r="L454" s="6"/>
      <c r="M454" s="6"/>
      <c r="N454" s="6"/>
      <c r="O454" s="6"/>
      <c r="P454" s="6"/>
      <c r="Q454" s="6"/>
      <c r="R454" s="6"/>
      <c r="S454" s="6"/>
      <c r="T454" s="6"/>
      <c r="U454" s="6"/>
    </row>
    <row r="455" spans="1:21">
      <c r="A455" s="82"/>
      <c r="B455" s="83"/>
      <c r="C455" s="82"/>
      <c r="D455" s="82"/>
      <c r="E455" s="82"/>
      <c r="F455" s="82"/>
      <c r="G455" s="222"/>
      <c r="H455" s="222"/>
      <c r="I455" s="222"/>
      <c r="J455" s="6"/>
      <c r="K455" s="6"/>
      <c r="L455" s="6"/>
      <c r="M455" s="6"/>
      <c r="N455" s="6"/>
      <c r="O455" s="6"/>
      <c r="P455" s="6"/>
      <c r="Q455" s="6"/>
      <c r="R455" s="6"/>
      <c r="S455" s="6"/>
      <c r="T455" s="6"/>
      <c r="U455" s="6"/>
    </row>
    <row r="456" spans="1:21">
      <c r="A456" s="82"/>
      <c r="B456" s="83"/>
      <c r="C456" s="82"/>
      <c r="D456" s="82"/>
      <c r="E456" s="82"/>
      <c r="F456" s="82"/>
      <c r="G456" s="222"/>
      <c r="H456" s="222"/>
      <c r="I456" s="222"/>
      <c r="J456" s="6"/>
      <c r="K456" s="6"/>
      <c r="L456" s="6"/>
      <c r="M456" s="6"/>
      <c r="N456" s="6"/>
      <c r="O456" s="6"/>
      <c r="P456" s="6"/>
      <c r="Q456" s="6"/>
      <c r="R456" s="6"/>
      <c r="S456" s="6"/>
      <c r="T456" s="6"/>
      <c r="U456" s="6"/>
    </row>
    <row r="457" spans="1:21">
      <c r="A457" s="82"/>
      <c r="B457" s="83"/>
      <c r="C457" s="82"/>
      <c r="D457" s="82"/>
      <c r="E457" s="82"/>
      <c r="F457" s="82"/>
      <c r="G457" s="222"/>
      <c r="H457" s="222"/>
      <c r="I457" s="222"/>
      <c r="J457" s="6"/>
      <c r="K457" s="6"/>
      <c r="L457" s="6"/>
      <c r="M457" s="6"/>
      <c r="N457" s="6"/>
      <c r="O457" s="6"/>
      <c r="P457" s="6"/>
      <c r="Q457" s="6"/>
      <c r="R457" s="6"/>
      <c r="S457" s="6"/>
      <c r="T457" s="6"/>
      <c r="U457" s="6"/>
    </row>
    <row r="458" spans="1:21">
      <c r="A458" s="82"/>
      <c r="B458" s="83"/>
      <c r="C458" s="82"/>
      <c r="D458" s="82"/>
      <c r="E458" s="82"/>
      <c r="F458" s="82"/>
      <c r="G458" s="222"/>
      <c r="H458" s="222"/>
      <c r="I458" s="222"/>
      <c r="J458" s="6"/>
      <c r="K458" s="6"/>
      <c r="L458" s="6"/>
      <c r="M458" s="6"/>
      <c r="N458" s="6"/>
      <c r="O458" s="6"/>
      <c r="P458" s="6"/>
      <c r="Q458" s="6"/>
      <c r="R458" s="6"/>
      <c r="S458" s="6"/>
      <c r="T458" s="6"/>
      <c r="U458" s="6"/>
    </row>
    <row r="459" spans="1:21">
      <c r="A459" s="82"/>
      <c r="B459" s="83"/>
      <c r="C459" s="82"/>
      <c r="D459" s="82"/>
      <c r="E459" s="82"/>
      <c r="F459" s="82"/>
      <c r="G459" s="222"/>
      <c r="H459" s="222"/>
      <c r="I459" s="222"/>
      <c r="J459" s="6"/>
      <c r="K459" s="6"/>
      <c r="L459" s="6"/>
      <c r="M459" s="6"/>
      <c r="N459" s="6"/>
      <c r="O459" s="6"/>
      <c r="P459" s="6"/>
      <c r="Q459" s="6"/>
      <c r="R459" s="6"/>
      <c r="S459" s="6"/>
      <c r="T459" s="6"/>
      <c r="U459" s="6"/>
    </row>
    <row r="460" spans="1:21">
      <c r="A460" s="82"/>
      <c r="B460" s="83"/>
      <c r="C460" s="82"/>
      <c r="D460" s="82"/>
      <c r="E460" s="82"/>
      <c r="F460" s="82"/>
      <c r="G460" s="222"/>
      <c r="H460" s="222"/>
      <c r="I460" s="222"/>
      <c r="J460" s="6"/>
      <c r="K460" s="6"/>
      <c r="L460" s="6"/>
      <c r="M460" s="6"/>
      <c r="N460" s="6"/>
      <c r="O460" s="6"/>
      <c r="P460" s="6"/>
      <c r="Q460" s="6"/>
      <c r="R460" s="6"/>
      <c r="S460" s="6"/>
      <c r="T460" s="6"/>
      <c r="U460" s="6"/>
    </row>
    <row r="461" spans="1:21">
      <c r="A461" s="82"/>
      <c r="B461" s="83"/>
      <c r="C461" s="82"/>
      <c r="D461" s="82"/>
      <c r="E461" s="82"/>
      <c r="F461" s="82"/>
      <c r="G461" s="222"/>
      <c r="H461" s="222"/>
      <c r="I461" s="222"/>
      <c r="J461" s="6"/>
      <c r="K461" s="6"/>
      <c r="L461" s="6"/>
      <c r="M461" s="6"/>
      <c r="N461" s="6"/>
      <c r="O461" s="6"/>
      <c r="P461" s="6"/>
      <c r="Q461" s="6"/>
      <c r="R461" s="6"/>
      <c r="S461" s="6"/>
      <c r="T461" s="6"/>
      <c r="U461" s="6"/>
    </row>
    <row r="462" spans="1:21">
      <c r="A462" s="82"/>
      <c r="B462" s="83"/>
      <c r="C462" s="82"/>
      <c r="D462" s="82"/>
      <c r="E462" s="82"/>
      <c r="F462" s="82"/>
      <c r="G462" s="222"/>
      <c r="H462" s="222"/>
      <c r="I462" s="222"/>
      <c r="J462" s="6"/>
      <c r="K462" s="6"/>
      <c r="L462" s="6"/>
      <c r="M462" s="6"/>
      <c r="N462" s="6"/>
      <c r="O462" s="6"/>
      <c r="P462" s="6"/>
      <c r="Q462" s="6"/>
      <c r="R462" s="6"/>
      <c r="S462" s="6"/>
      <c r="T462" s="6"/>
      <c r="U462" s="6"/>
    </row>
    <row r="463" spans="1:21">
      <c r="A463" s="82"/>
      <c r="B463" s="83"/>
      <c r="C463" s="82"/>
      <c r="D463" s="82"/>
      <c r="E463" s="82"/>
      <c r="F463" s="82"/>
      <c r="G463" s="222"/>
      <c r="H463" s="222"/>
      <c r="I463" s="222"/>
      <c r="J463" s="6"/>
      <c r="K463" s="6"/>
      <c r="L463" s="6"/>
      <c r="M463" s="6"/>
      <c r="N463" s="6"/>
      <c r="O463" s="6"/>
      <c r="P463" s="6"/>
      <c r="Q463" s="6"/>
      <c r="R463" s="6"/>
      <c r="S463" s="6"/>
      <c r="T463" s="6"/>
      <c r="U463" s="6"/>
    </row>
    <row r="464" spans="1:21">
      <c r="A464" s="82"/>
      <c r="B464" s="83"/>
      <c r="C464" s="82"/>
      <c r="D464" s="82"/>
      <c r="E464" s="82"/>
      <c r="F464" s="82"/>
      <c r="G464" s="222"/>
      <c r="H464" s="222"/>
      <c r="I464" s="222"/>
      <c r="J464" s="6"/>
      <c r="K464" s="6"/>
      <c r="L464" s="6"/>
      <c r="M464" s="6"/>
      <c r="N464" s="6"/>
      <c r="O464" s="6"/>
      <c r="P464" s="6"/>
      <c r="Q464" s="6"/>
      <c r="R464" s="6"/>
      <c r="S464" s="6"/>
      <c r="T464" s="6"/>
      <c r="U464" s="6"/>
    </row>
    <row r="465" spans="1:21">
      <c r="A465" s="82"/>
      <c r="B465" s="83"/>
      <c r="C465" s="82"/>
      <c r="D465" s="82"/>
      <c r="E465" s="82"/>
      <c r="F465" s="82"/>
      <c r="G465" s="222"/>
      <c r="H465" s="222"/>
      <c r="I465" s="222"/>
      <c r="J465" s="6"/>
      <c r="K465" s="6"/>
      <c r="L465" s="6"/>
      <c r="M465" s="6"/>
      <c r="N465" s="6"/>
      <c r="O465" s="6"/>
      <c r="P465" s="6"/>
      <c r="Q465" s="6"/>
      <c r="R465" s="6"/>
      <c r="S465" s="6"/>
      <c r="T465" s="6"/>
      <c r="U465" s="6"/>
    </row>
    <row r="466" spans="1:21">
      <c r="A466" s="82"/>
      <c r="B466" s="83"/>
      <c r="C466" s="82"/>
      <c r="D466" s="82"/>
      <c r="E466" s="82"/>
      <c r="F466" s="82"/>
      <c r="G466" s="222"/>
      <c r="H466" s="222"/>
      <c r="I466" s="222"/>
      <c r="J466" s="6"/>
      <c r="K466" s="6"/>
      <c r="L466" s="6"/>
      <c r="M466" s="6"/>
      <c r="N466" s="6"/>
      <c r="O466" s="6"/>
      <c r="P466" s="6"/>
      <c r="Q466" s="6"/>
      <c r="R466" s="6"/>
      <c r="S466" s="6"/>
      <c r="T466" s="6"/>
      <c r="U466" s="6"/>
    </row>
    <row r="467" spans="1:21">
      <c r="A467" s="82"/>
      <c r="B467" s="83"/>
      <c r="C467" s="82"/>
      <c r="D467" s="82"/>
      <c r="E467" s="82"/>
      <c r="F467" s="82"/>
      <c r="G467" s="222"/>
      <c r="H467" s="222"/>
      <c r="I467" s="222"/>
      <c r="J467" s="6"/>
      <c r="K467" s="6"/>
      <c r="L467" s="6"/>
      <c r="M467" s="6"/>
      <c r="N467" s="6"/>
      <c r="O467" s="6"/>
      <c r="P467" s="6"/>
      <c r="Q467" s="6"/>
      <c r="R467" s="6"/>
      <c r="S467" s="6"/>
      <c r="T467" s="6"/>
      <c r="U467" s="6"/>
    </row>
    <row r="468" spans="1:21">
      <c r="A468" s="82"/>
      <c r="B468" s="83"/>
      <c r="C468" s="82"/>
      <c r="D468" s="82"/>
      <c r="E468" s="82"/>
      <c r="F468" s="82"/>
      <c r="G468" s="222"/>
      <c r="H468" s="222"/>
      <c r="I468" s="222"/>
      <c r="J468" s="6"/>
      <c r="K468" s="6"/>
      <c r="L468" s="6"/>
      <c r="M468" s="6"/>
      <c r="N468" s="6"/>
      <c r="O468" s="6"/>
      <c r="P468" s="6"/>
      <c r="Q468" s="6"/>
      <c r="R468" s="6"/>
      <c r="S468" s="6"/>
      <c r="T468" s="6"/>
      <c r="U468" s="6"/>
    </row>
    <row r="469" spans="1:21">
      <c r="A469" s="82"/>
      <c r="B469" s="83"/>
      <c r="C469" s="82"/>
      <c r="D469" s="82"/>
      <c r="E469" s="82"/>
      <c r="F469" s="82"/>
      <c r="G469" s="222"/>
      <c r="H469" s="222"/>
      <c r="I469" s="222"/>
      <c r="J469" s="6"/>
      <c r="K469" s="6"/>
      <c r="L469" s="6"/>
      <c r="M469" s="6"/>
      <c r="N469" s="6"/>
      <c r="O469" s="6"/>
      <c r="P469" s="6"/>
      <c r="Q469" s="6"/>
      <c r="R469" s="6"/>
      <c r="S469" s="6"/>
      <c r="T469" s="6"/>
      <c r="U469" s="6"/>
    </row>
    <row r="470" spans="1:21">
      <c r="A470" s="82"/>
      <c r="B470" s="83"/>
      <c r="C470" s="82"/>
      <c r="D470" s="82"/>
      <c r="E470" s="82"/>
      <c r="F470" s="82"/>
      <c r="G470" s="222"/>
      <c r="H470" s="222"/>
      <c r="I470" s="222"/>
      <c r="J470" s="6"/>
      <c r="K470" s="6"/>
      <c r="L470" s="6"/>
      <c r="M470" s="6"/>
      <c r="N470" s="6"/>
      <c r="O470" s="6"/>
      <c r="P470" s="6"/>
      <c r="Q470" s="6"/>
      <c r="R470" s="6"/>
      <c r="S470" s="6"/>
      <c r="T470" s="6"/>
      <c r="U470" s="6"/>
    </row>
    <row r="471" spans="1:21">
      <c r="A471" s="82"/>
      <c r="B471" s="83"/>
      <c r="C471" s="82"/>
      <c r="D471" s="82"/>
      <c r="E471" s="82"/>
      <c r="F471" s="82"/>
      <c r="G471" s="222"/>
      <c r="H471" s="222"/>
      <c r="I471" s="222"/>
      <c r="J471" s="6"/>
      <c r="K471" s="6"/>
      <c r="L471" s="6"/>
      <c r="M471" s="6"/>
      <c r="N471" s="6"/>
      <c r="O471" s="6"/>
      <c r="P471" s="6"/>
      <c r="Q471" s="6"/>
      <c r="R471" s="6"/>
      <c r="S471" s="6"/>
      <c r="T471" s="6"/>
      <c r="U471" s="6"/>
    </row>
    <row r="472" spans="1:21">
      <c r="A472" s="82"/>
      <c r="B472" s="83"/>
      <c r="C472" s="82"/>
      <c r="D472" s="82"/>
      <c r="E472" s="82"/>
      <c r="F472" s="82"/>
      <c r="G472" s="222"/>
      <c r="H472" s="222"/>
      <c r="I472" s="222"/>
      <c r="J472" s="6"/>
      <c r="K472" s="6"/>
      <c r="L472" s="6"/>
      <c r="M472" s="6"/>
      <c r="N472" s="6"/>
      <c r="O472" s="6"/>
      <c r="P472" s="6"/>
      <c r="Q472" s="6"/>
      <c r="R472" s="6"/>
      <c r="S472" s="6"/>
      <c r="T472" s="6"/>
      <c r="U472" s="6"/>
    </row>
    <row r="473" spans="1:21">
      <c r="A473" s="82"/>
      <c r="B473" s="83"/>
      <c r="C473" s="82"/>
      <c r="D473" s="82"/>
      <c r="E473" s="82"/>
      <c r="F473" s="82"/>
      <c r="G473" s="222"/>
      <c r="H473" s="222"/>
      <c r="I473" s="222"/>
      <c r="J473" s="6"/>
      <c r="K473" s="6"/>
      <c r="L473" s="6"/>
      <c r="M473" s="6"/>
      <c r="N473" s="6"/>
      <c r="O473" s="6"/>
      <c r="P473" s="6"/>
      <c r="Q473" s="6"/>
      <c r="R473" s="6"/>
      <c r="S473" s="6"/>
      <c r="T473" s="6"/>
      <c r="U473" s="6"/>
    </row>
    <row r="474" spans="1:21">
      <c r="A474" s="82"/>
      <c r="B474" s="83"/>
      <c r="C474" s="82"/>
      <c r="D474" s="82"/>
      <c r="E474" s="82"/>
      <c r="F474" s="82"/>
      <c r="G474" s="222"/>
      <c r="H474" s="222"/>
      <c r="I474" s="222"/>
      <c r="J474" s="6"/>
      <c r="K474" s="6"/>
      <c r="L474" s="6"/>
      <c r="M474" s="6"/>
      <c r="N474" s="6"/>
      <c r="O474" s="6"/>
      <c r="P474" s="6"/>
      <c r="Q474" s="6"/>
      <c r="R474" s="6"/>
      <c r="S474" s="6"/>
      <c r="T474" s="6"/>
      <c r="U474" s="6"/>
    </row>
    <row r="475" spans="1:21">
      <c r="A475" s="82"/>
      <c r="B475" s="83"/>
      <c r="C475" s="82"/>
      <c r="D475" s="82"/>
      <c r="E475" s="82"/>
      <c r="F475" s="82"/>
      <c r="G475" s="222"/>
      <c r="H475" s="222"/>
      <c r="I475" s="222"/>
      <c r="J475" s="6"/>
      <c r="K475" s="6"/>
      <c r="L475" s="6"/>
      <c r="M475" s="6"/>
      <c r="N475" s="6"/>
      <c r="O475" s="6"/>
      <c r="P475" s="6"/>
      <c r="Q475" s="6"/>
      <c r="R475" s="6"/>
      <c r="S475" s="6"/>
      <c r="T475" s="6"/>
      <c r="U475" s="6"/>
    </row>
    <row r="476" spans="1:21">
      <c r="A476" s="82"/>
      <c r="B476" s="83"/>
      <c r="C476" s="82"/>
      <c r="D476" s="82"/>
      <c r="E476" s="82"/>
      <c r="F476" s="82"/>
      <c r="G476" s="222"/>
      <c r="H476" s="222"/>
      <c r="I476" s="222"/>
      <c r="J476" s="6"/>
      <c r="K476" s="6"/>
      <c r="L476" s="6"/>
      <c r="M476" s="6"/>
      <c r="N476" s="6"/>
      <c r="O476" s="6"/>
      <c r="P476" s="6"/>
      <c r="Q476" s="6"/>
      <c r="R476" s="6"/>
      <c r="S476" s="6"/>
      <c r="T476" s="6"/>
      <c r="U476" s="6"/>
    </row>
    <row r="477" spans="1:21">
      <c r="A477" s="82"/>
      <c r="B477" s="83"/>
      <c r="C477" s="82"/>
      <c r="D477" s="82"/>
      <c r="E477" s="82"/>
      <c r="F477" s="82"/>
      <c r="G477" s="222"/>
      <c r="H477" s="222"/>
      <c r="I477" s="222"/>
      <c r="J477" s="6"/>
      <c r="K477" s="6"/>
      <c r="L477" s="6"/>
      <c r="M477" s="6"/>
      <c r="N477" s="6"/>
      <c r="O477" s="6"/>
      <c r="P477" s="6"/>
      <c r="Q477" s="6"/>
      <c r="R477" s="6"/>
      <c r="S477" s="6"/>
      <c r="T477" s="6"/>
      <c r="U477" s="6"/>
    </row>
    <row r="478" spans="1:21">
      <c r="A478" s="82"/>
      <c r="B478" s="83"/>
      <c r="C478" s="82"/>
      <c r="D478" s="82"/>
      <c r="E478" s="82"/>
      <c r="F478" s="82"/>
      <c r="G478" s="222"/>
      <c r="H478" s="222"/>
      <c r="I478" s="222"/>
      <c r="J478" s="6"/>
      <c r="K478" s="6"/>
      <c r="L478" s="6"/>
      <c r="M478" s="6"/>
      <c r="N478" s="6"/>
      <c r="O478" s="6"/>
      <c r="P478" s="6"/>
      <c r="Q478" s="6"/>
      <c r="R478" s="6"/>
      <c r="S478" s="6"/>
      <c r="T478" s="6"/>
      <c r="U478" s="6"/>
    </row>
    <row r="479" spans="1:21">
      <c r="A479" s="82"/>
      <c r="B479" s="83"/>
      <c r="C479" s="82"/>
      <c r="D479" s="82"/>
      <c r="E479" s="82"/>
      <c r="F479" s="82"/>
      <c r="G479" s="222"/>
      <c r="H479" s="222"/>
      <c r="I479" s="222"/>
      <c r="J479" s="6"/>
      <c r="K479" s="6"/>
      <c r="L479" s="6"/>
      <c r="M479" s="6"/>
      <c r="N479" s="6"/>
      <c r="O479" s="6"/>
      <c r="P479" s="6"/>
      <c r="Q479" s="6"/>
      <c r="R479" s="6"/>
      <c r="S479" s="6"/>
      <c r="T479" s="6"/>
      <c r="U479" s="6"/>
    </row>
    <row r="480" spans="1:21">
      <c r="A480" s="82"/>
      <c r="B480" s="83"/>
      <c r="C480" s="82"/>
      <c r="D480" s="82"/>
      <c r="E480" s="82"/>
      <c r="F480" s="82"/>
      <c r="G480" s="222"/>
      <c r="H480" s="222"/>
      <c r="I480" s="222"/>
      <c r="J480" s="6"/>
      <c r="K480" s="6"/>
      <c r="L480" s="6"/>
      <c r="M480" s="6"/>
      <c r="N480" s="6"/>
      <c r="O480" s="6"/>
      <c r="P480" s="6"/>
      <c r="Q480" s="6"/>
      <c r="R480" s="6"/>
      <c r="S480" s="6"/>
      <c r="T480" s="6"/>
      <c r="U480" s="6"/>
    </row>
    <row r="481" spans="1:21">
      <c r="A481" s="82"/>
      <c r="B481" s="83"/>
      <c r="C481" s="82"/>
      <c r="D481" s="82"/>
      <c r="E481" s="82"/>
      <c r="F481" s="82"/>
      <c r="G481" s="222"/>
      <c r="H481" s="222"/>
      <c r="I481" s="222"/>
      <c r="J481" s="6"/>
      <c r="K481" s="6"/>
      <c r="L481" s="6"/>
      <c r="M481" s="6"/>
      <c r="N481" s="6"/>
      <c r="O481" s="6"/>
      <c r="P481" s="6"/>
      <c r="Q481" s="6"/>
      <c r="R481" s="6"/>
      <c r="S481" s="6"/>
      <c r="T481" s="6"/>
      <c r="U481" s="6"/>
    </row>
    <row r="482" spans="1:21">
      <c r="A482" s="82"/>
      <c r="B482" s="83"/>
      <c r="C482" s="82"/>
      <c r="D482" s="82"/>
      <c r="E482" s="82"/>
      <c r="F482" s="82"/>
      <c r="G482" s="222"/>
      <c r="H482" s="222"/>
      <c r="I482" s="222"/>
      <c r="J482" s="6"/>
      <c r="K482" s="6"/>
      <c r="L482" s="6"/>
      <c r="M482" s="6"/>
      <c r="N482" s="6"/>
      <c r="O482" s="6"/>
      <c r="P482" s="6"/>
      <c r="Q482" s="6"/>
      <c r="R482" s="6"/>
      <c r="S482" s="6"/>
      <c r="T482" s="6"/>
      <c r="U482" s="6"/>
    </row>
    <row r="483" spans="1:21">
      <c r="A483" s="82"/>
      <c r="B483" s="83"/>
      <c r="C483" s="82"/>
      <c r="D483" s="82"/>
      <c r="E483" s="82"/>
      <c r="F483" s="82"/>
      <c r="G483" s="222"/>
      <c r="H483" s="222"/>
      <c r="I483" s="222"/>
      <c r="J483" s="6"/>
      <c r="K483" s="6"/>
      <c r="L483" s="6"/>
      <c r="M483" s="6"/>
      <c r="N483" s="6"/>
      <c r="O483" s="6"/>
      <c r="P483" s="6"/>
      <c r="Q483" s="6"/>
      <c r="R483" s="6"/>
      <c r="S483" s="6"/>
      <c r="T483" s="6"/>
      <c r="U483" s="6"/>
    </row>
    <row r="484" spans="1:21">
      <c r="A484" s="82"/>
      <c r="B484" s="83"/>
      <c r="C484" s="82"/>
      <c r="D484" s="82"/>
      <c r="E484" s="82"/>
      <c r="F484" s="82"/>
      <c r="G484" s="222"/>
      <c r="H484" s="222"/>
      <c r="I484" s="222"/>
      <c r="J484" s="6"/>
      <c r="K484" s="6"/>
      <c r="L484" s="6"/>
      <c r="M484" s="6"/>
      <c r="N484" s="6"/>
      <c r="O484" s="6"/>
      <c r="P484" s="6"/>
      <c r="Q484" s="6"/>
      <c r="R484" s="6"/>
      <c r="S484" s="6"/>
      <c r="T484" s="6"/>
      <c r="U484" s="6"/>
    </row>
    <row r="485" spans="1:21">
      <c r="A485" s="82"/>
      <c r="B485" s="83"/>
      <c r="C485" s="82"/>
      <c r="D485" s="82"/>
      <c r="E485" s="82"/>
      <c r="F485" s="82"/>
      <c r="G485" s="222"/>
      <c r="H485" s="222"/>
      <c r="I485" s="222"/>
      <c r="J485" s="6"/>
      <c r="K485" s="6"/>
      <c r="L485" s="6"/>
      <c r="M485" s="6"/>
      <c r="N485" s="6"/>
      <c r="O485" s="6"/>
      <c r="P485" s="6"/>
      <c r="Q485" s="6"/>
      <c r="R485" s="6"/>
      <c r="S485" s="6"/>
      <c r="T485" s="6"/>
      <c r="U485" s="6"/>
    </row>
    <row r="486" spans="1:21">
      <c r="A486" s="82"/>
      <c r="B486" s="83"/>
      <c r="C486" s="82"/>
      <c r="D486" s="82"/>
      <c r="E486" s="82"/>
      <c r="F486" s="82"/>
      <c r="G486" s="222"/>
      <c r="H486" s="222"/>
      <c r="I486" s="222"/>
      <c r="J486" s="6"/>
      <c r="K486" s="6"/>
      <c r="L486" s="6"/>
      <c r="M486" s="6"/>
      <c r="N486" s="6"/>
      <c r="O486" s="6"/>
      <c r="P486" s="6"/>
      <c r="Q486" s="6"/>
      <c r="R486" s="6"/>
      <c r="S486" s="6"/>
      <c r="T486" s="6"/>
      <c r="U486" s="6"/>
    </row>
    <row r="487" spans="1:21">
      <c r="A487" s="82"/>
      <c r="B487" s="83"/>
      <c r="C487" s="82"/>
      <c r="D487" s="82"/>
      <c r="E487" s="82"/>
      <c r="F487" s="82"/>
      <c r="G487" s="222"/>
      <c r="H487" s="222"/>
      <c r="I487" s="222"/>
      <c r="J487" s="6"/>
      <c r="K487" s="6"/>
      <c r="L487" s="6"/>
      <c r="M487" s="6"/>
      <c r="N487" s="6"/>
      <c r="O487" s="6"/>
      <c r="P487" s="6"/>
      <c r="Q487" s="6"/>
      <c r="R487" s="6"/>
      <c r="S487" s="6"/>
      <c r="T487" s="6"/>
      <c r="U487" s="6"/>
    </row>
    <row r="488" spans="1:21">
      <c r="A488" s="82"/>
      <c r="B488" s="83"/>
      <c r="C488" s="82"/>
      <c r="D488" s="82"/>
      <c r="E488" s="82"/>
      <c r="F488" s="82"/>
      <c r="G488" s="222"/>
      <c r="H488" s="222"/>
      <c r="I488" s="222"/>
      <c r="J488" s="6"/>
      <c r="K488" s="6"/>
      <c r="L488" s="6"/>
      <c r="M488" s="6"/>
      <c r="N488" s="6"/>
      <c r="O488" s="6"/>
      <c r="P488" s="6"/>
      <c r="Q488" s="6"/>
      <c r="R488" s="6"/>
      <c r="S488" s="6"/>
      <c r="T488" s="6"/>
      <c r="U488" s="6"/>
    </row>
    <row r="489" spans="1:21">
      <c r="A489" s="82"/>
      <c r="B489" s="83"/>
      <c r="C489" s="82"/>
      <c r="D489" s="82"/>
      <c r="E489" s="82"/>
      <c r="F489" s="82"/>
      <c r="G489" s="222"/>
      <c r="H489" s="222"/>
      <c r="I489" s="222"/>
      <c r="J489" s="6"/>
      <c r="K489" s="6"/>
      <c r="L489" s="6"/>
      <c r="M489" s="6"/>
      <c r="N489" s="6"/>
      <c r="O489" s="6"/>
      <c r="P489" s="6"/>
      <c r="Q489" s="6"/>
      <c r="R489" s="6"/>
      <c r="S489" s="6"/>
      <c r="T489" s="6"/>
      <c r="U489" s="6"/>
    </row>
    <row r="490" spans="1:21">
      <c r="A490" s="82"/>
      <c r="B490" s="83"/>
      <c r="C490" s="82"/>
      <c r="D490" s="82"/>
      <c r="E490" s="82"/>
      <c r="F490" s="82"/>
      <c r="G490" s="222"/>
      <c r="H490" s="222"/>
      <c r="I490" s="222"/>
      <c r="J490" s="6"/>
      <c r="K490" s="6"/>
      <c r="L490" s="6"/>
      <c r="M490" s="6"/>
      <c r="N490" s="6"/>
      <c r="O490" s="6"/>
      <c r="P490" s="6"/>
      <c r="Q490" s="6"/>
      <c r="R490" s="6"/>
      <c r="S490" s="6"/>
      <c r="T490" s="6"/>
      <c r="U490" s="6"/>
    </row>
    <row r="491" spans="1:21">
      <c r="A491" s="82"/>
      <c r="B491" s="83"/>
      <c r="C491" s="82"/>
      <c r="D491" s="82"/>
      <c r="E491" s="82"/>
      <c r="F491" s="82"/>
      <c r="G491" s="222"/>
      <c r="H491" s="222"/>
      <c r="I491" s="222"/>
      <c r="J491" s="6"/>
      <c r="K491" s="6"/>
      <c r="L491" s="6"/>
      <c r="M491" s="6"/>
      <c r="N491" s="6"/>
      <c r="O491" s="6"/>
      <c r="P491" s="6"/>
      <c r="Q491" s="6"/>
      <c r="R491" s="6"/>
      <c r="S491" s="6"/>
      <c r="T491" s="6"/>
      <c r="U491" s="6"/>
    </row>
    <row r="492" spans="1:21">
      <c r="A492" s="82"/>
      <c r="B492" s="83"/>
      <c r="C492" s="82"/>
      <c r="D492" s="82"/>
      <c r="E492" s="82"/>
      <c r="F492" s="82"/>
      <c r="G492" s="222"/>
      <c r="H492" s="222"/>
      <c r="I492" s="222"/>
      <c r="J492" s="6"/>
      <c r="K492" s="6"/>
      <c r="L492" s="6"/>
      <c r="M492" s="6"/>
      <c r="N492" s="6"/>
      <c r="O492" s="6"/>
      <c r="P492" s="6"/>
      <c r="Q492" s="6"/>
      <c r="R492" s="6"/>
      <c r="S492" s="6"/>
      <c r="T492" s="6"/>
      <c r="U492" s="6"/>
    </row>
    <row r="493" spans="1:21">
      <c r="A493" s="82"/>
      <c r="B493" s="83"/>
      <c r="C493" s="82"/>
      <c r="D493" s="82"/>
      <c r="E493" s="82"/>
      <c r="F493" s="82"/>
      <c r="G493" s="222"/>
      <c r="H493" s="222"/>
      <c r="I493" s="222"/>
      <c r="J493" s="6"/>
      <c r="K493" s="6"/>
      <c r="L493" s="6"/>
      <c r="M493" s="6"/>
      <c r="N493" s="6"/>
      <c r="O493" s="6"/>
      <c r="P493" s="6"/>
      <c r="Q493" s="6"/>
      <c r="R493" s="6"/>
      <c r="S493" s="6"/>
      <c r="T493" s="6"/>
      <c r="U493" s="6"/>
    </row>
    <row r="494" spans="1:21">
      <c r="A494" s="82"/>
      <c r="B494" s="83"/>
      <c r="C494" s="82"/>
      <c r="D494" s="82"/>
      <c r="E494" s="82"/>
      <c r="F494" s="82"/>
      <c r="G494" s="222"/>
      <c r="H494" s="222"/>
      <c r="I494" s="222"/>
      <c r="J494" s="6"/>
      <c r="K494" s="6"/>
      <c r="L494" s="6"/>
      <c r="M494" s="6"/>
      <c r="N494" s="6"/>
      <c r="O494" s="6"/>
      <c r="P494" s="6"/>
      <c r="Q494" s="6"/>
      <c r="R494" s="6"/>
      <c r="S494" s="6"/>
      <c r="T494" s="6"/>
      <c r="U494" s="6"/>
    </row>
    <row r="495" spans="1:21">
      <c r="A495" s="82"/>
      <c r="B495" s="83"/>
      <c r="C495" s="82"/>
      <c r="D495" s="82"/>
      <c r="E495" s="82"/>
      <c r="F495" s="82"/>
      <c r="G495" s="222"/>
      <c r="H495" s="222"/>
      <c r="I495" s="222"/>
      <c r="J495" s="6"/>
      <c r="K495" s="6"/>
      <c r="L495" s="6"/>
      <c r="M495" s="6"/>
      <c r="N495" s="6"/>
      <c r="O495" s="6"/>
      <c r="P495" s="6"/>
      <c r="Q495" s="6"/>
      <c r="R495" s="6"/>
      <c r="S495" s="6"/>
      <c r="T495" s="6"/>
      <c r="U495" s="6"/>
    </row>
    <row r="496" spans="1:21">
      <c r="A496" s="82"/>
      <c r="B496" s="83"/>
      <c r="C496" s="82"/>
      <c r="D496" s="82"/>
      <c r="E496" s="82"/>
      <c r="F496" s="82"/>
      <c r="G496" s="222"/>
      <c r="H496" s="222"/>
      <c r="I496" s="222"/>
      <c r="J496" s="6"/>
      <c r="K496" s="6"/>
      <c r="L496" s="6"/>
      <c r="M496" s="6"/>
      <c r="N496" s="6"/>
      <c r="O496" s="6"/>
      <c r="P496" s="6"/>
      <c r="Q496" s="6"/>
      <c r="R496" s="6"/>
      <c r="S496" s="6"/>
      <c r="T496" s="6"/>
      <c r="U496" s="6"/>
    </row>
    <row r="497" spans="1:21">
      <c r="A497" s="82"/>
      <c r="B497" s="83"/>
      <c r="C497" s="82"/>
      <c r="D497" s="82"/>
      <c r="E497" s="82"/>
      <c r="F497" s="82"/>
      <c r="G497" s="222"/>
      <c r="H497" s="222"/>
      <c r="I497" s="222"/>
      <c r="J497" s="6"/>
      <c r="K497" s="6"/>
      <c r="L497" s="6"/>
      <c r="M497" s="6"/>
      <c r="N497" s="6"/>
      <c r="O497" s="6"/>
      <c r="P497" s="6"/>
      <c r="Q497" s="6"/>
      <c r="R497" s="6"/>
      <c r="S497" s="6"/>
      <c r="T497" s="6"/>
      <c r="U497" s="6"/>
    </row>
    <row r="498" spans="1:21">
      <c r="A498" s="82"/>
      <c r="B498" s="83"/>
      <c r="C498" s="82"/>
      <c r="D498" s="82"/>
      <c r="E498" s="82"/>
      <c r="F498" s="82"/>
      <c r="G498" s="222"/>
      <c r="H498" s="222"/>
      <c r="I498" s="222"/>
      <c r="J498" s="6"/>
      <c r="K498" s="6"/>
      <c r="L498" s="6"/>
      <c r="M498" s="6"/>
      <c r="N498" s="6"/>
      <c r="O498" s="6"/>
      <c r="P498" s="6"/>
      <c r="Q498" s="6"/>
      <c r="R498" s="6"/>
      <c r="S498" s="6"/>
      <c r="T498" s="6"/>
      <c r="U498" s="6"/>
    </row>
    <row r="499" spans="1:21">
      <c r="A499" s="82"/>
      <c r="B499" s="83"/>
      <c r="C499" s="82"/>
      <c r="D499" s="82"/>
      <c r="E499" s="82"/>
      <c r="F499" s="82"/>
      <c r="G499" s="222"/>
      <c r="H499" s="222"/>
      <c r="I499" s="222"/>
      <c r="J499" s="6"/>
      <c r="K499" s="6"/>
      <c r="L499" s="6"/>
      <c r="M499" s="6"/>
      <c r="N499" s="6"/>
      <c r="O499" s="6"/>
      <c r="P499" s="6"/>
      <c r="Q499" s="6"/>
      <c r="R499" s="6"/>
      <c r="S499" s="6"/>
      <c r="T499" s="6"/>
      <c r="U499" s="6"/>
    </row>
    <row r="500" spans="1:21">
      <c r="A500" s="82"/>
      <c r="B500" s="83"/>
      <c r="C500" s="82"/>
      <c r="D500" s="82"/>
      <c r="E500" s="82"/>
      <c r="F500" s="82"/>
      <c r="G500" s="222"/>
      <c r="H500" s="222"/>
      <c r="I500" s="222"/>
      <c r="J500" s="6"/>
      <c r="K500" s="6"/>
      <c r="L500" s="6"/>
      <c r="M500" s="6"/>
      <c r="N500" s="6"/>
      <c r="O500" s="6"/>
      <c r="P500" s="6"/>
      <c r="Q500" s="6"/>
      <c r="R500" s="6"/>
      <c r="S500" s="6"/>
      <c r="T500" s="6"/>
      <c r="U500" s="6"/>
    </row>
    <row r="501" spans="1:21">
      <c r="A501" s="82"/>
      <c r="B501" s="83"/>
      <c r="C501" s="82"/>
      <c r="D501" s="82"/>
      <c r="E501" s="82"/>
      <c r="F501" s="82"/>
      <c r="G501" s="222"/>
      <c r="H501" s="222"/>
      <c r="I501" s="222"/>
      <c r="J501" s="6"/>
      <c r="K501" s="6"/>
      <c r="L501" s="6"/>
      <c r="M501" s="6"/>
      <c r="N501" s="6"/>
      <c r="O501" s="6"/>
      <c r="P501" s="6"/>
      <c r="Q501" s="6"/>
      <c r="R501" s="6"/>
      <c r="S501" s="6"/>
      <c r="T501" s="6"/>
      <c r="U501" s="6"/>
    </row>
    <row r="502" spans="1:21">
      <c r="A502" s="82"/>
      <c r="B502" s="83"/>
      <c r="C502" s="82"/>
      <c r="D502" s="82"/>
      <c r="E502" s="82"/>
      <c r="F502" s="82"/>
      <c r="G502" s="222"/>
      <c r="H502" s="222"/>
      <c r="I502" s="222"/>
      <c r="J502" s="6"/>
      <c r="K502" s="6"/>
      <c r="L502" s="6"/>
      <c r="M502" s="6"/>
      <c r="N502" s="6"/>
      <c r="O502" s="6"/>
      <c r="P502" s="6"/>
      <c r="Q502" s="6"/>
      <c r="R502" s="6"/>
      <c r="S502" s="6"/>
      <c r="T502" s="6"/>
      <c r="U502" s="6"/>
    </row>
    <row r="503" spans="1:21">
      <c r="A503" s="82"/>
      <c r="B503" s="83"/>
      <c r="C503" s="82"/>
      <c r="D503" s="82"/>
      <c r="E503" s="82"/>
      <c r="F503" s="82"/>
      <c r="G503" s="222"/>
      <c r="H503" s="222"/>
      <c r="I503" s="222"/>
      <c r="J503" s="6"/>
      <c r="K503" s="6"/>
      <c r="L503" s="6"/>
      <c r="M503" s="6"/>
      <c r="N503" s="6"/>
      <c r="O503" s="6"/>
      <c r="P503" s="6"/>
      <c r="Q503" s="6"/>
      <c r="R503" s="6"/>
      <c r="S503" s="6"/>
      <c r="T503" s="6"/>
      <c r="U503" s="6"/>
    </row>
    <row r="504" spans="1:21">
      <c r="A504" s="82"/>
      <c r="B504" s="83"/>
      <c r="C504" s="82"/>
      <c r="D504" s="82"/>
      <c r="E504" s="82"/>
      <c r="F504" s="82"/>
      <c r="G504" s="222"/>
      <c r="H504" s="222"/>
      <c r="I504" s="222"/>
      <c r="J504" s="6"/>
      <c r="K504" s="6"/>
      <c r="L504" s="6"/>
      <c r="M504" s="6"/>
      <c r="N504" s="6"/>
      <c r="O504" s="6"/>
      <c r="P504" s="6"/>
      <c r="Q504" s="6"/>
      <c r="R504" s="6"/>
      <c r="S504" s="6"/>
      <c r="T504" s="6"/>
      <c r="U504" s="6"/>
    </row>
    <row r="505" spans="1:21">
      <c r="A505" s="82"/>
      <c r="B505" s="83"/>
      <c r="C505" s="82"/>
      <c r="D505" s="82"/>
      <c r="E505" s="82"/>
      <c r="F505" s="82"/>
      <c r="G505" s="222"/>
      <c r="H505" s="222"/>
      <c r="I505" s="222"/>
      <c r="J505" s="6"/>
      <c r="K505" s="6"/>
      <c r="L505" s="6"/>
      <c r="M505" s="6"/>
      <c r="N505" s="6"/>
      <c r="O505" s="6"/>
      <c r="P505" s="6"/>
      <c r="Q505" s="6"/>
      <c r="R505" s="6"/>
      <c r="S505" s="6"/>
      <c r="T505" s="6"/>
      <c r="U505" s="6"/>
    </row>
    <row r="506" spans="1:21">
      <c r="A506" s="82"/>
      <c r="B506" s="83"/>
      <c r="C506" s="82"/>
      <c r="D506" s="82"/>
      <c r="E506" s="82"/>
      <c r="F506" s="82"/>
      <c r="G506" s="222"/>
      <c r="H506" s="222"/>
      <c r="I506" s="222"/>
      <c r="J506" s="6"/>
      <c r="K506" s="6"/>
      <c r="L506" s="6"/>
      <c r="M506" s="6"/>
      <c r="N506" s="6"/>
      <c r="O506" s="6"/>
      <c r="P506" s="6"/>
      <c r="Q506" s="6"/>
      <c r="R506" s="6"/>
      <c r="S506" s="6"/>
      <c r="T506" s="6"/>
      <c r="U506" s="6"/>
    </row>
    <row r="507" spans="1:21">
      <c r="A507" s="82"/>
      <c r="B507" s="83"/>
      <c r="C507" s="82"/>
      <c r="D507" s="82"/>
      <c r="E507" s="82"/>
      <c r="F507" s="82"/>
      <c r="G507" s="222"/>
      <c r="H507" s="222"/>
      <c r="I507" s="222"/>
      <c r="J507" s="6"/>
      <c r="K507" s="6"/>
      <c r="L507" s="6"/>
      <c r="M507" s="6"/>
      <c r="N507" s="6"/>
      <c r="O507" s="6"/>
      <c r="P507" s="6"/>
      <c r="Q507" s="6"/>
      <c r="R507" s="6"/>
      <c r="S507" s="6"/>
      <c r="T507" s="6"/>
      <c r="U507" s="6"/>
    </row>
    <row r="508" spans="1:21">
      <c r="A508" s="82"/>
      <c r="B508" s="83"/>
      <c r="C508" s="82"/>
      <c r="D508" s="82"/>
      <c r="E508" s="82"/>
      <c r="F508" s="82"/>
      <c r="G508" s="222"/>
      <c r="H508" s="222"/>
      <c r="I508" s="222"/>
      <c r="J508" s="6"/>
      <c r="K508" s="6"/>
      <c r="L508" s="6"/>
      <c r="M508" s="6"/>
      <c r="N508" s="6"/>
      <c r="O508" s="6"/>
      <c r="P508" s="6"/>
      <c r="Q508" s="6"/>
      <c r="R508" s="6"/>
      <c r="S508" s="6"/>
      <c r="T508" s="6"/>
      <c r="U508" s="6"/>
    </row>
    <row r="509" spans="1:21">
      <c r="A509" s="82"/>
      <c r="B509" s="83"/>
      <c r="C509" s="82"/>
      <c r="D509" s="82"/>
      <c r="E509" s="82"/>
      <c r="F509" s="82"/>
      <c r="G509" s="222"/>
      <c r="H509" s="222"/>
      <c r="I509" s="222"/>
      <c r="J509" s="6"/>
      <c r="K509" s="6"/>
      <c r="L509" s="6"/>
      <c r="M509" s="6"/>
      <c r="N509" s="6"/>
      <c r="O509" s="6"/>
      <c r="P509" s="6"/>
      <c r="Q509" s="6"/>
      <c r="R509" s="6"/>
      <c r="S509" s="6"/>
      <c r="T509" s="6"/>
      <c r="U509" s="6"/>
    </row>
    <row r="510" spans="1:21">
      <c r="A510" s="82"/>
      <c r="B510" s="83"/>
      <c r="C510" s="82"/>
      <c r="D510" s="82"/>
      <c r="E510" s="82"/>
      <c r="F510" s="82"/>
      <c r="G510" s="222"/>
      <c r="H510" s="222"/>
      <c r="I510" s="222"/>
      <c r="J510" s="6"/>
      <c r="K510" s="6"/>
      <c r="L510" s="6"/>
      <c r="M510" s="6"/>
      <c r="N510" s="6"/>
      <c r="O510" s="6"/>
      <c r="P510" s="6"/>
      <c r="Q510" s="6"/>
      <c r="R510" s="6"/>
      <c r="S510" s="6"/>
      <c r="T510" s="6"/>
      <c r="U510" s="6"/>
    </row>
    <row r="511" spans="1:21">
      <c r="A511" s="82"/>
      <c r="B511" s="83"/>
      <c r="C511" s="82"/>
      <c r="D511" s="82"/>
      <c r="E511" s="82"/>
      <c r="F511" s="82"/>
      <c r="G511" s="222"/>
      <c r="H511" s="222"/>
      <c r="I511" s="222"/>
      <c r="J511" s="6"/>
      <c r="K511" s="6"/>
      <c r="L511" s="6"/>
      <c r="M511" s="6"/>
      <c r="N511" s="6"/>
      <c r="O511" s="6"/>
      <c r="P511" s="6"/>
      <c r="Q511" s="6"/>
      <c r="R511" s="6"/>
      <c r="S511" s="6"/>
      <c r="T511" s="6"/>
      <c r="U511" s="6"/>
    </row>
    <row r="512" spans="1:21">
      <c r="A512" s="82"/>
      <c r="B512" s="83"/>
      <c r="C512" s="82"/>
      <c r="D512" s="82"/>
      <c r="E512" s="82"/>
      <c r="F512" s="82"/>
      <c r="G512" s="222"/>
      <c r="H512" s="222"/>
      <c r="I512" s="222"/>
      <c r="J512" s="6"/>
      <c r="K512" s="6"/>
      <c r="L512" s="6"/>
      <c r="M512" s="6"/>
      <c r="N512" s="6"/>
      <c r="O512" s="6"/>
      <c r="P512" s="6"/>
      <c r="Q512" s="6"/>
      <c r="R512" s="6"/>
      <c r="S512" s="6"/>
      <c r="T512" s="6"/>
      <c r="U512" s="6"/>
    </row>
    <row r="513" spans="1:21">
      <c r="A513" s="82"/>
      <c r="B513" s="83"/>
      <c r="C513" s="82"/>
      <c r="D513" s="82"/>
      <c r="E513" s="82"/>
      <c r="F513" s="82"/>
      <c r="G513" s="222"/>
      <c r="H513" s="222"/>
      <c r="I513" s="222"/>
      <c r="J513" s="6"/>
      <c r="K513" s="6"/>
      <c r="L513" s="6"/>
      <c r="M513" s="6"/>
      <c r="N513" s="6"/>
      <c r="O513" s="6"/>
      <c r="P513" s="6"/>
      <c r="Q513" s="6"/>
      <c r="R513" s="6"/>
      <c r="S513" s="6"/>
      <c r="T513" s="6"/>
      <c r="U513" s="6"/>
    </row>
    <row r="514" spans="1:21">
      <c r="A514" s="82"/>
      <c r="B514" s="83"/>
      <c r="C514" s="82"/>
      <c r="D514" s="82"/>
      <c r="E514" s="82"/>
      <c r="F514" s="82"/>
      <c r="G514" s="222"/>
      <c r="H514" s="222"/>
      <c r="I514" s="222"/>
      <c r="J514" s="6"/>
      <c r="K514" s="6"/>
      <c r="L514" s="6"/>
      <c r="M514" s="6"/>
      <c r="N514" s="6"/>
      <c r="O514" s="6"/>
      <c r="P514" s="6"/>
      <c r="Q514" s="6"/>
      <c r="R514" s="6"/>
      <c r="S514" s="6"/>
      <c r="T514" s="6"/>
      <c r="U514" s="6"/>
    </row>
    <row r="515" spans="1:21">
      <c r="A515" s="82"/>
      <c r="B515" s="83"/>
      <c r="C515" s="82"/>
      <c r="D515" s="82"/>
      <c r="E515" s="82"/>
      <c r="F515" s="82"/>
      <c r="G515" s="222"/>
      <c r="H515" s="222"/>
      <c r="I515" s="222"/>
      <c r="J515" s="6"/>
      <c r="K515" s="6"/>
      <c r="L515" s="6"/>
      <c r="M515" s="6"/>
      <c r="N515" s="6"/>
      <c r="O515" s="6"/>
      <c r="P515" s="6"/>
      <c r="Q515" s="6"/>
      <c r="R515" s="6"/>
      <c r="S515" s="6"/>
      <c r="T515" s="6"/>
      <c r="U515" s="6"/>
    </row>
    <row r="516" spans="1:21">
      <c r="A516" s="82"/>
      <c r="B516" s="83"/>
      <c r="C516" s="82"/>
      <c r="D516" s="82"/>
      <c r="E516" s="82"/>
      <c r="F516" s="82"/>
      <c r="G516" s="222"/>
      <c r="H516" s="222"/>
      <c r="I516" s="222"/>
      <c r="J516" s="6"/>
      <c r="K516" s="6"/>
      <c r="L516" s="6"/>
      <c r="M516" s="6"/>
      <c r="N516" s="6"/>
      <c r="O516" s="6"/>
      <c r="P516" s="6"/>
      <c r="Q516" s="6"/>
      <c r="R516" s="6"/>
      <c r="S516" s="6"/>
      <c r="T516" s="6"/>
      <c r="U516" s="6"/>
    </row>
    <row r="517" spans="1:21">
      <c r="A517" s="82"/>
      <c r="B517" s="83"/>
      <c r="C517" s="82"/>
      <c r="D517" s="82"/>
      <c r="E517" s="82"/>
      <c r="F517" s="82"/>
      <c r="G517" s="222"/>
      <c r="H517" s="222"/>
      <c r="I517" s="222"/>
      <c r="J517" s="6"/>
      <c r="K517" s="6"/>
      <c r="L517" s="6"/>
      <c r="M517" s="6"/>
      <c r="N517" s="6"/>
      <c r="O517" s="6"/>
      <c r="P517" s="6"/>
      <c r="Q517" s="6"/>
      <c r="R517" s="6"/>
      <c r="S517" s="6"/>
      <c r="T517" s="6"/>
      <c r="U517" s="6"/>
    </row>
    <row r="518" spans="1:21">
      <c r="A518" s="82"/>
      <c r="B518" s="83"/>
      <c r="C518" s="82"/>
      <c r="D518" s="82"/>
      <c r="E518" s="82"/>
      <c r="F518" s="82"/>
      <c r="G518" s="222"/>
      <c r="H518" s="222"/>
      <c r="I518" s="222"/>
      <c r="J518" s="6"/>
      <c r="K518" s="6"/>
      <c r="L518" s="6"/>
      <c r="M518" s="6"/>
      <c r="N518" s="6"/>
      <c r="O518" s="6"/>
      <c r="P518" s="6"/>
      <c r="Q518" s="6"/>
      <c r="R518" s="6"/>
      <c r="S518" s="6"/>
      <c r="T518" s="6"/>
      <c r="U518" s="6"/>
    </row>
    <row r="519" spans="1:21">
      <c r="A519" s="82"/>
      <c r="B519" s="83"/>
      <c r="C519" s="82"/>
      <c r="D519" s="82"/>
      <c r="E519" s="82"/>
      <c r="F519" s="82"/>
      <c r="G519" s="222"/>
      <c r="H519" s="222"/>
      <c r="I519" s="222"/>
      <c r="J519" s="6"/>
      <c r="K519" s="6"/>
      <c r="L519" s="6"/>
      <c r="M519" s="6"/>
      <c r="N519" s="6"/>
      <c r="O519" s="6"/>
      <c r="P519" s="6"/>
      <c r="Q519" s="6"/>
      <c r="R519" s="6"/>
      <c r="S519" s="6"/>
      <c r="T519" s="6"/>
      <c r="U519" s="6"/>
    </row>
    <row r="520" spans="1:21">
      <c r="A520" s="82"/>
      <c r="B520" s="83"/>
      <c r="C520" s="82"/>
      <c r="D520" s="82"/>
      <c r="E520" s="82"/>
      <c r="F520" s="82"/>
      <c r="G520" s="222"/>
      <c r="H520" s="222"/>
      <c r="I520" s="222"/>
      <c r="J520" s="6"/>
      <c r="K520" s="6"/>
      <c r="L520" s="6"/>
      <c r="M520" s="6"/>
      <c r="N520" s="6"/>
      <c r="O520" s="6"/>
      <c r="P520" s="6"/>
      <c r="Q520" s="6"/>
      <c r="R520" s="6"/>
      <c r="S520" s="6"/>
      <c r="T520" s="6"/>
      <c r="U520" s="6"/>
    </row>
    <row r="521" spans="1:21">
      <c r="A521" s="82"/>
      <c r="B521" s="83"/>
      <c r="C521" s="82"/>
      <c r="D521" s="82"/>
      <c r="E521" s="82"/>
      <c r="F521" s="82"/>
      <c r="G521" s="222"/>
      <c r="H521" s="222"/>
      <c r="I521" s="222"/>
      <c r="J521" s="6"/>
      <c r="K521" s="6"/>
      <c r="L521" s="6"/>
      <c r="M521" s="6"/>
      <c r="N521" s="6"/>
      <c r="O521" s="6"/>
      <c r="P521" s="6"/>
      <c r="Q521" s="6"/>
      <c r="R521" s="6"/>
      <c r="S521" s="6"/>
      <c r="T521" s="6"/>
      <c r="U521" s="6"/>
    </row>
    <row r="522" spans="1:21">
      <c r="A522" s="82"/>
      <c r="B522" s="83"/>
      <c r="C522" s="82"/>
      <c r="D522" s="82"/>
      <c r="E522" s="82"/>
      <c r="F522" s="82"/>
      <c r="G522" s="222"/>
      <c r="H522" s="222"/>
      <c r="I522" s="222"/>
      <c r="J522" s="6"/>
      <c r="K522" s="6"/>
      <c r="L522" s="6"/>
      <c r="M522" s="6"/>
      <c r="N522" s="6"/>
      <c r="O522" s="6"/>
      <c r="P522" s="6"/>
      <c r="Q522" s="6"/>
      <c r="R522" s="6"/>
      <c r="S522" s="6"/>
      <c r="T522" s="6"/>
      <c r="U522" s="6"/>
    </row>
    <row r="523" spans="1:21">
      <c r="A523" s="82"/>
      <c r="B523" s="83"/>
      <c r="C523" s="82"/>
      <c r="D523" s="82"/>
      <c r="E523" s="82"/>
      <c r="F523" s="82"/>
      <c r="G523" s="222"/>
      <c r="H523" s="222"/>
      <c r="I523" s="222"/>
      <c r="J523" s="6"/>
      <c r="K523" s="6"/>
      <c r="L523" s="6"/>
      <c r="M523" s="6"/>
      <c r="N523" s="6"/>
      <c r="O523" s="6"/>
      <c r="P523" s="6"/>
      <c r="Q523" s="6"/>
      <c r="R523" s="6"/>
      <c r="S523" s="6"/>
      <c r="T523" s="6"/>
      <c r="U523" s="6"/>
    </row>
    <row r="524" spans="1:21">
      <c r="A524" s="82"/>
      <c r="B524" s="83"/>
      <c r="C524" s="82"/>
      <c r="D524" s="82"/>
      <c r="E524" s="82"/>
      <c r="F524" s="82"/>
      <c r="G524" s="222"/>
      <c r="H524" s="222"/>
      <c r="I524" s="222"/>
      <c r="J524" s="6"/>
      <c r="K524" s="6"/>
      <c r="L524" s="6"/>
      <c r="M524" s="6"/>
      <c r="N524" s="6"/>
      <c r="O524" s="6"/>
      <c r="P524" s="6"/>
      <c r="Q524" s="6"/>
      <c r="R524" s="6"/>
      <c r="S524" s="6"/>
      <c r="T524" s="6"/>
      <c r="U524" s="6"/>
    </row>
    <row r="525" spans="1:21">
      <c r="A525" s="82"/>
      <c r="B525" s="83"/>
      <c r="C525" s="82"/>
      <c r="D525" s="82"/>
      <c r="E525" s="82"/>
      <c r="F525" s="82"/>
      <c r="G525" s="222"/>
      <c r="H525" s="222"/>
      <c r="I525" s="222"/>
      <c r="J525" s="6"/>
      <c r="K525" s="6"/>
      <c r="L525" s="6"/>
      <c r="M525" s="6"/>
      <c r="N525" s="6"/>
      <c r="O525" s="6"/>
      <c r="P525" s="6"/>
      <c r="Q525" s="6"/>
      <c r="R525" s="6"/>
      <c r="S525" s="6"/>
      <c r="T525" s="6"/>
      <c r="U525" s="6"/>
    </row>
    <row r="526" spans="1:21">
      <c r="A526" s="82"/>
      <c r="B526" s="83"/>
      <c r="C526" s="82"/>
      <c r="D526" s="82"/>
      <c r="E526" s="82"/>
      <c r="F526" s="82"/>
      <c r="G526" s="222"/>
      <c r="H526" s="222"/>
      <c r="I526" s="222"/>
      <c r="J526" s="6"/>
      <c r="K526" s="6"/>
      <c r="L526" s="6"/>
      <c r="M526" s="6"/>
      <c r="N526" s="6"/>
      <c r="O526" s="6"/>
      <c r="P526" s="6"/>
      <c r="Q526" s="6"/>
      <c r="R526" s="6"/>
      <c r="S526" s="6"/>
      <c r="T526" s="6"/>
      <c r="U526" s="6"/>
    </row>
    <row r="527" spans="1:21">
      <c r="A527" s="82"/>
      <c r="B527" s="83"/>
      <c r="C527" s="82"/>
      <c r="D527" s="82"/>
      <c r="E527" s="82"/>
      <c r="F527" s="82"/>
      <c r="G527" s="222"/>
      <c r="H527" s="222"/>
      <c r="I527" s="222"/>
      <c r="J527" s="6"/>
      <c r="K527" s="6"/>
      <c r="L527" s="6"/>
      <c r="M527" s="6"/>
      <c r="N527" s="6"/>
      <c r="O527" s="6"/>
      <c r="P527" s="6"/>
      <c r="Q527" s="6"/>
      <c r="R527" s="6"/>
      <c r="S527" s="6"/>
      <c r="T527" s="6"/>
      <c r="U527" s="6"/>
    </row>
    <row r="528" spans="1:21">
      <c r="A528" s="82"/>
      <c r="B528" s="83"/>
      <c r="C528" s="82"/>
      <c r="D528" s="82"/>
      <c r="E528" s="82"/>
      <c r="F528" s="82"/>
      <c r="G528" s="222"/>
      <c r="H528" s="222"/>
      <c r="I528" s="222"/>
      <c r="J528" s="6"/>
      <c r="K528" s="6"/>
      <c r="L528" s="6"/>
      <c r="M528" s="6"/>
      <c r="N528" s="6"/>
      <c r="O528" s="6"/>
      <c r="P528" s="6"/>
      <c r="Q528" s="6"/>
      <c r="R528" s="6"/>
      <c r="S528" s="6"/>
      <c r="T528" s="6"/>
      <c r="U528" s="6"/>
    </row>
    <row r="529" spans="1:21">
      <c r="A529" s="82"/>
      <c r="B529" s="83"/>
      <c r="C529" s="82"/>
      <c r="D529" s="82"/>
      <c r="E529" s="82"/>
      <c r="F529" s="82"/>
      <c r="G529" s="222"/>
      <c r="H529" s="222"/>
      <c r="I529" s="222"/>
      <c r="J529" s="6"/>
      <c r="K529" s="6"/>
      <c r="L529" s="6"/>
      <c r="M529" s="6"/>
      <c r="N529" s="6"/>
      <c r="O529" s="6"/>
      <c r="P529" s="6"/>
      <c r="Q529" s="6"/>
      <c r="R529" s="6"/>
      <c r="S529" s="6"/>
      <c r="T529" s="6"/>
      <c r="U529" s="6"/>
    </row>
    <row r="530" spans="1:21">
      <c r="A530" s="82"/>
      <c r="B530" s="83"/>
      <c r="C530" s="82"/>
      <c r="D530" s="82"/>
      <c r="E530" s="82"/>
      <c r="F530" s="82"/>
      <c r="G530" s="222"/>
      <c r="H530" s="222"/>
      <c r="I530" s="222"/>
      <c r="J530" s="6"/>
      <c r="K530" s="6"/>
      <c r="L530" s="6"/>
      <c r="M530" s="6"/>
      <c r="N530" s="6"/>
      <c r="O530" s="6"/>
      <c r="P530" s="6"/>
      <c r="Q530" s="6"/>
      <c r="R530" s="6"/>
      <c r="S530" s="6"/>
      <c r="T530" s="6"/>
      <c r="U530" s="6"/>
    </row>
    <row r="531" spans="1:21">
      <c r="A531" s="82"/>
      <c r="B531" s="83"/>
      <c r="C531" s="82"/>
      <c r="D531" s="82"/>
      <c r="E531" s="82"/>
      <c r="F531" s="82"/>
      <c r="G531" s="222"/>
      <c r="H531" s="222"/>
      <c r="I531" s="222"/>
      <c r="J531" s="6"/>
      <c r="K531" s="6"/>
      <c r="L531" s="6"/>
      <c r="M531" s="6"/>
      <c r="N531" s="6"/>
      <c r="O531" s="6"/>
      <c r="P531" s="6"/>
      <c r="Q531" s="6"/>
      <c r="R531" s="6"/>
      <c r="S531" s="6"/>
      <c r="T531" s="6"/>
      <c r="U531" s="6"/>
    </row>
    <row r="532" spans="1:21">
      <c r="A532" s="82"/>
      <c r="B532" s="83"/>
      <c r="C532" s="82"/>
      <c r="D532" s="82"/>
      <c r="E532" s="82"/>
      <c r="F532" s="82"/>
      <c r="G532" s="222"/>
      <c r="H532" s="222"/>
      <c r="I532" s="222"/>
      <c r="J532" s="6"/>
      <c r="K532" s="6"/>
      <c r="L532" s="6"/>
      <c r="M532" s="6"/>
      <c r="N532" s="6"/>
      <c r="O532" s="6"/>
      <c r="P532" s="6"/>
      <c r="Q532" s="6"/>
      <c r="R532" s="6"/>
      <c r="S532" s="6"/>
      <c r="T532" s="6"/>
      <c r="U532" s="6"/>
    </row>
    <row r="533" spans="1:21">
      <c r="A533" s="82"/>
      <c r="B533" s="83"/>
      <c r="C533" s="82"/>
      <c r="D533" s="82"/>
      <c r="E533" s="82"/>
      <c r="F533" s="82"/>
      <c r="G533" s="222"/>
      <c r="H533" s="222"/>
      <c r="I533" s="222"/>
      <c r="J533" s="6"/>
      <c r="K533" s="6"/>
      <c r="L533" s="6"/>
      <c r="M533" s="6"/>
      <c r="N533" s="6"/>
      <c r="O533" s="6"/>
      <c r="P533" s="6"/>
      <c r="Q533" s="6"/>
      <c r="R533" s="6"/>
      <c r="S533" s="6"/>
      <c r="T533" s="6"/>
      <c r="U533" s="6"/>
    </row>
    <row r="534" spans="1:21">
      <c r="A534" s="82"/>
      <c r="B534" s="83"/>
      <c r="C534" s="82"/>
      <c r="D534" s="82"/>
      <c r="E534" s="82"/>
      <c r="F534" s="82"/>
      <c r="G534" s="222"/>
      <c r="H534" s="222"/>
      <c r="I534" s="222"/>
      <c r="J534" s="6"/>
      <c r="K534" s="6"/>
      <c r="L534" s="6"/>
      <c r="M534" s="6"/>
      <c r="N534" s="6"/>
      <c r="O534" s="6"/>
      <c r="P534" s="6"/>
      <c r="Q534" s="6"/>
      <c r="R534" s="6"/>
      <c r="S534" s="6"/>
      <c r="T534" s="6"/>
      <c r="U534" s="6"/>
    </row>
    <row r="535" spans="1:21">
      <c r="A535" s="82"/>
      <c r="B535" s="83"/>
      <c r="C535" s="82"/>
      <c r="D535" s="82"/>
      <c r="E535" s="82"/>
      <c r="F535" s="82"/>
      <c r="G535" s="222"/>
      <c r="H535" s="222"/>
      <c r="I535" s="222"/>
      <c r="J535" s="6"/>
      <c r="K535" s="6"/>
      <c r="L535" s="6"/>
      <c r="M535" s="6"/>
      <c r="N535" s="6"/>
      <c r="O535" s="6"/>
      <c r="P535" s="6"/>
      <c r="Q535" s="6"/>
      <c r="R535" s="6"/>
      <c r="S535" s="6"/>
      <c r="T535" s="6"/>
      <c r="U535" s="6"/>
    </row>
    <row r="536" spans="1:21">
      <c r="A536" s="82"/>
      <c r="B536" s="83"/>
      <c r="C536" s="82"/>
      <c r="D536" s="82"/>
      <c r="E536" s="82"/>
      <c r="F536" s="82"/>
      <c r="G536" s="222"/>
      <c r="H536" s="222"/>
      <c r="I536" s="222"/>
      <c r="J536" s="6"/>
      <c r="K536" s="6"/>
      <c r="L536" s="6"/>
      <c r="M536" s="6"/>
      <c r="N536" s="6"/>
      <c r="O536" s="6"/>
      <c r="P536" s="6"/>
      <c r="Q536" s="6"/>
      <c r="R536" s="6"/>
      <c r="S536" s="6"/>
      <c r="T536" s="6"/>
      <c r="U536" s="6"/>
    </row>
    <row r="537" spans="1:21">
      <c r="A537" s="82"/>
      <c r="B537" s="83"/>
      <c r="C537" s="82"/>
      <c r="D537" s="82"/>
      <c r="E537" s="82"/>
      <c r="F537" s="82"/>
      <c r="G537" s="222"/>
      <c r="H537" s="222"/>
      <c r="I537" s="222"/>
      <c r="J537" s="6"/>
      <c r="K537" s="6"/>
      <c r="L537" s="6"/>
      <c r="M537" s="6"/>
      <c r="N537" s="6"/>
      <c r="O537" s="6"/>
      <c r="P537" s="6"/>
      <c r="Q537" s="6"/>
      <c r="R537" s="6"/>
      <c r="S537" s="6"/>
      <c r="T537" s="6"/>
      <c r="U537" s="6"/>
    </row>
    <row r="538" spans="1:21">
      <c r="A538" s="82"/>
      <c r="B538" s="83"/>
      <c r="C538" s="82"/>
      <c r="D538" s="82"/>
      <c r="E538" s="82"/>
      <c r="F538" s="82"/>
      <c r="G538" s="222"/>
      <c r="H538" s="222"/>
      <c r="I538" s="222"/>
      <c r="J538" s="6"/>
      <c r="K538" s="6"/>
      <c r="L538" s="6"/>
      <c r="M538" s="6"/>
      <c r="N538" s="6"/>
      <c r="O538" s="6"/>
      <c r="P538" s="6"/>
      <c r="Q538" s="6"/>
      <c r="R538" s="6"/>
      <c r="S538" s="6"/>
      <c r="T538" s="6"/>
      <c r="U538" s="6"/>
    </row>
    <row r="539" spans="1:21">
      <c r="A539" s="82"/>
      <c r="B539" s="83"/>
      <c r="C539" s="82"/>
      <c r="D539" s="82"/>
      <c r="E539" s="82"/>
      <c r="F539" s="82"/>
      <c r="G539" s="222"/>
      <c r="H539" s="222"/>
      <c r="I539" s="222"/>
      <c r="J539" s="6"/>
      <c r="K539" s="6"/>
      <c r="L539" s="6"/>
      <c r="M539" s="6"/>
      <c r="N539" s="6"/>
      <c r="O539" s="6"/>
      <c r="P539" s="6"/>
      <c r="Q539" s="6"/>
      <c r="R539" s="6"/>
      <c r="S539" s="6"/>
      <c r="T539" s="6"/>
      <c r="U539" s="6"/>
    </row>
    <row r="540" spans="1:21">
      <c r="A540" s="82"/>
      <c r="B540" s="83"/>
      <c r="C540" s="82"/>
      <c r="D540" s="82"/>
      <c r="E540" s="82"/>
      <c r="F540" s="82"/>
      <c r="G540" s="222"/>
      <c r="H540" s="222"/>
      <c r="I540" s="222"/>
      <c r="J540" s="6"/>
      <c r="K540" s="6"/>
      <c r="L540" s="6"/>
      <c r="M540" s="6"/>
      <c r="N540" s="6"/>
      <c r="O540" s="6"/>
      <c r="P540" s="6"/>
      <c r="Q540" s="6"/>
      <c r="R540" s="6"/>
      <c r="S540" s="6"/>
      <c r="T540" s="6"/>
      <c r="U540" s="6"/>
    </row>
    <row r="541" spans="1:21">
      <c r="A541" s="82"/>
      <c r="B541" s="83"/>
      <c r="C541" s="82"/>
      <c r="D541" s="82"/>
      <c r="E541" s="82"/>
      <c r="F541" s="82"/>
      <c r="G541" s="222"/>
      <c r="H541" s="222"/>
      <c r="I541" s="222"/>
      <c r="J541" s="6"/>
      <c r="K541" s="6"/>
      <c r="L541" s="6"/>
      <c r="M541" s="6"/>
      <c r="N541" s="6"/>
      <c r="O541" s="6"/>
      <c r="P541" s="6"/>
      <c r="Q541" s="6"/>
      <c r="R541" s="6"/>
      <c r="S541" s="6"/>
      <c r="T541" s="6"/>
      <c r="U541" s="6"/>
    </row>
    <row r="542" spans="1:21">
      <c r="A542" s="82"/>
      <c r="B542" s="83"/>
      <c r="C542" s="82"/>
      <c r="D542" s="82"/>
      <c r="E542" s="82"/>
      <c r="F542" s="82"/>
      <c r="G542" s="222"/>
      <c r="H542" s="222"/>
      <c r="I542" s="222"/>
      <c r="J542" s="6"/>
      <c r="K542" s="6"/>
      <c r="L542" s="6"/>
      <c r="M542" s="6"/>
      <c r="N542" s="6"/>
      <c r="O542" s="6"/>
      <c r="P542" s="6"/>
      <c r="Q542" s="6"/>
      <c r="R542" s="6"/>
      <c r="S542" s="6"/>
      <c r="T542" s="6"/>
      <c r="U542" s="6"/>
    </row>
    <row r="543" spans="1:21">
      <c r="A543" s="82"/>
      <c r="B543" s="83"/>
      <c r="C543" s="82"/>
      <c r="D543" s="82"/>
      <c r="E543" s="82"/>
      <c r="F543" s="82"/>
      <c r="G543" s="222"/>
      <c r="H543" s="222"/>
      <c r="I543" s="222"/>
      <c r="J543" s="6"/>
      <c r="K543" s="6"/>
      <c r="L543" s="6"/>
      <c r="M543" s="6"/>
      <c r="N543" s="6"/>
      <c r="O543" s="6"/>
      <c r="P543" s="6"/>
      <c r="Q543" s="6"/>
      <c r="R543" s="6"/>
      <c r="S543" s="6"/>
      <c r="T543" s="6"/>
      <c r="U543" s="6"/>
    </row>
    <row r="544" spans="1:21">
      <c r="A544" s="82"/>
      <c r="B544" s="83"/>
      <c r="C544" s="82"/>
      <c r="D544" s="82"/>
      <c r="E544" s="82"/>
      <c r="F544" s="82"/>
      <c r="G544" s="222"/>
      <c r="H544" s="222"/>
      <c r="I544" s="222"/>
      <c r="J544" s="6"/>
      <c r="K544" s="6"/>
      <c r="L544" s="6"/>
      <c r="M544" s="6"/>
      <c r="N544" s="6"/>
      <c r="O544" s="6"/>
      <c r="P544" s="6"/>
      <c r="Q544" s="6"/>
      <c r="R544" s="6"/>
      <c r="S544" s="6"/>
      <c r="T544" s="6"/>
      <c r="U544" s="6"/>
    </row>
    <row r="545" spans="1:21">
      <c r="A545" s="82"/>
      <c r="B545" s="83"/>
      <c r="C545" s="82"/>
      <c r="D545" s="82"/>
      <c r="E545" s="82"/>
      <c r="F545" s="82"/>
      <c r="G545" s="222"/>
      <c r="H545" s="222"/>
      <c r="I545" s="222"/>
      <c r="J545" s="6"/>
      <c r="K545" s="6"/>
      <c r="L545" s="6"/>
      <c r="M545" s="6"/>
      <c r="N545" s="6"/>
      <c r="O545" s="6"/>
      <c r="P545" s="6"/>
      <c r="Q545" s="6"/>
      <c r="R545" s="6"/>
      <c r="S545" s="6"/>
      <c r="T545" s="6"/>
      <c r="U545" s="6"/>
    </row>
    <row r="546" spans="1:21">
      <c r="A546" s="82"/>
      <c r="B546" s="83"/>
      <c r="C546" s="82"/>
      <c r="D546" s="82"/>
      <c r="E546" s="82"/>
      <c r="F546" s="82"/>
      <c r="G546" s="222"/>
      <c r="H546" s="222"/>
      <c r="I546" s="222"/>
      <c r="J546" s="6"/>
      <c r="K546" s="6"/>
      <c r="L546" s="6"/>
      <c r="M546" s="6"/>
      <c r="N546" s="6"/>
      <c r="O546" s="6"/>
      <c r="P546" s="6"/>
      <c r="Q546" s="6"/>
      <c r="R546" s="6"/>
      <c r="S546" s="6"/>
      <c r="T546" s="6"/>
      <c r="U546" s="6"/>
    </row>
    <row r="547" spans="1:21">
      <c r="A547" s="82"/>
      <c r="B547" s="83"/>
      <c r="C547" s="82"/>
      <c r="D547" s="82"/>
      <c r="E547" s="82"/>
      <c r="F547" s="82"/>
      <c r="G547" s="222"/>
      <c r="H547" s="222"/>
      <c r="I547" s="222"/>
      <c r="J547" s="6"/>
      <c r="K547" s="6"/>
      <c r="L547" s="6"/>
      <c r="M547" s="6"/>
      <c r="N547" s="6"/>
      <c r="O547" s="6"/>
      <c r="P547" s="6"/>
      <c r="Q547" s="6"/>
      <c r="R547" s="6"/>
      <c r="S547" s="6"/>
      <c r="T547" s="6"/>
      <c r="U547" s="6"/>
    </row>
    <row r="548" spans="1:21">
      <c r="A548" s="82"/>
      <c r="B548" s="83"/>
      <c r="C548" s="82"/>
      <c r="D548" s="82"/>
      <c r="E548" s="82"/>
      <c r="F548" s="82"/>
      <c r="G548" s="222"/>
      <c r="H548" s="222"/>
      <c r="I548" s="222"/>
      <c r="J548" s="6"/>
      <c r="K548" s="6"/>
      <c r="L548" s="6"/>
      <c r="M548" s="6"/>
      <c r="N548" s="6"/>
      <c r="O548" s="6"/>
      <c r="P548" s="6"/>
      <c r="Q548" s="6"/>
      <c r="R548" s="6"/>
      <c r="S548" s="6"/>
      <c r="T548" s="6"/>
      <c r="U548" s="6"/>
    </row>
    <row r="549" spans="1:21">
      <c r="A549" s="82"/>
      <c r="B549" s="83"/>
      <c r="C549" s="82"/>
      <c r="D549" s="82"/>
      <c r="E549" s="82"/>
      <c r="F549" s="82"/>
      <c r="G549" s="222"/>
      <c r="H549" s="222"/>
      <c r="I549" s="222"/>
      <c r="J549" s="6"/>
      <c r="K549" s="6"/>
      <c r="L549" s="6"/>
      <c r="M549" s="6"/>
      <c r="N549" s="6"/>
      <c r="O549" s="6"/>
      <c r="P549" s="6"/>
      <c r="Q549" s="6"/>
      <c r="R549" s="6"/>
      <c r="S549" s="6"/>
      <c r="T549" s="6"/>
      <c r="U549" s="6"/>
    </row>
    <row r="550" spans="1:21">
      <c r="A550" s="82"/>
      <c r="B550" s="83"/>
      <c r="C550" s="82"/>
      <c r="D550" s="82"/>
      <c r="E550" s="82"/>
      <c r="F550" s="82"/>
      <c r="G550" s="222"/>
      <c r="H550" s="222"/>
      <c r="I550" s="222"/>
      <c r="J550" s="6"/>
      <c r="K550" s="6"/>
      <c r="L550" s="6"/>
      <c r="M550" s="6"/>
      <c r="N550" s="6"/>
      <c r="O550" s="6"/>
      <c r="P550" s="6"/>
      <c r="Q550" s="6"/>
      <c r="R550" s="6"/>
      <c r="S550" s="6"/>
      <c r="T550" s="6"/>
      <c r="U550" s="6"/>
    </row>
    <row r="551" spans="1:21">
      <c r="A551" s="82"/>
      <c r="B551" s="83"/>
      <c r="C551" s="82"/>
      <c r="D551" s="82"/>
      <c r="E551" s="82"/>
      <c r="F551" s="82"/>
      <c r="G551" s="222"/>
      <c r="H551" s="222"/>
      <c r="I551" s="222"/>
      <c r="J551" s="6"/>
      <c r="K551" s="6"/>
      <c r="L551" s="6"/>
      <c r="M551" s="6"/>
      <c r="N551" s="6"/>
      <c r="O551" s="6"/>
      <c r="P551" s="6"/>
      <c r="Q551" s="6"/>
      <c r="R551" s="6"/>
      <c r="S551" s="6"/>
      <c r="T551" s="6"/>
      <c r="U551" s="6"/>
    </row>
    <row r="552" spans="1:21">
      <c r="A552" s="82"/>
      <c r="B552" s="83"/>
      <c r="C552" s="82"/>
      <c r="D552" s="82"/>
      <c r="E552" s="82"/>
      <c r="F552" s="82"/>
      <c r="G552" s="222"/>
      <c r="H552" s="222"/>
      <c r="I552" s="222"/>
      <c r="J552" s="6"/>
      <c r="K552" s="6"/>
      <c r="L552" s="6"/>
      <c r="M552" s="6"/>
      <c r="N552" s="6"/>
      <c r="O552" s="6"/>
      <c r="P552" s="6"/>
      <c r="Q552" s="6"/>
      <c r="R552" s="6"/>
      <c r="S552" s="6"/>
      <c r="T552" s="6"/>
      <c r="U552" s="6"/>
    </row>
    <row r="553" spans="1:21">
      <c r="A553" s="82"/>
      <c r="B553" s="83"/>
      <c r="C553" s="82"/>
      <c r="D553" s="82"/>
      <c r="E553" s="82"/>
      <c r="F553" s="82"/>
      <c r="G553" s="222"/>
      <c r="H553" s="222"/>
      <c r="I553" s="222"/>
      <c r="J553" s="6"/>
      <c r="K553" s="6"/>
      <c r="L553" s="6"/>
      <c r="M553" s="6"/>
      <c r="N553" s="6"/>
      <c r="O553" s="6"/>
      <c r="P553" s="6"/>
      <c r="Q553" s="6"/>
      <c r="R553" s="6"/>
      <c r="S553" s="6"/>
      <c r="T553" s="6"/>
      <c r="U553" s="6"/>
    </row>
    <row r="554" spans="1:21">
      <c r="A554" s="82"/>
      <c r="B554" s="83"/>
      <c r="C554" s="82"/>
      <c r="D554" s="82"/>
      <c r="E554" s="82"/>
      <c r="F554" s="82"/>
      <c r="G554" s="222"/>
      <c r="H554" s="222"/>
      <c r="I554" s="222"/>
      <c r="J554" s="6"/>
      <c r="K554" s="6"/>
      <c r="L554" s="6"/>
      <c r="M554" s="6"/>
      <c r="N554" s="6"/>
      <c r="O554" s="6"/>
      <c r="P554" s="6"/>
      <c r="Q554" s="6"/>
      <c r="R554" s="6"/>
      <c r="S554" s="6"/>
      <c r="T554" s="6"/>
      <c r="U554" s="6"/>
    </row>
    <row r="555" spans="1:21">
      <c r="A555" s="82"/>
      <c r="B555" s="83"/>
      <c r="C555" s="82"/>
      <c r="D555" s="82"/>
      <c r="E555" s="82"/>
      <c r="F555" s="82"/>
      <c r="G555" s="222"/>
      <c r="H555" s="222"/>
      <c r="I555" s="222"/>
      <c r="J555" s="6"/>
      <c r="K555" s="6"/>
      <c r="L555" s="6"/>
      <c r="M555" s="6"/>
      <c r="N555" s="6"/>
      <c r="O555" s="6"/>
      <c r="P555" s="6"/>
      <c r="Q555" s="6"/>
      <c r="R555" s="6"/>
      <c r="S555" s="6"/>
      <c r="T555" s="6"/>
      <c r="U555" s="6"/>
    </row>
    <row r="556" spans="1:21">
      <c r="A556" s="82"/>
      <c r="B556" s="83"/>
      <c r="C556" s="82"/>
      <c r="D556" s="82"/>
      <c r="E556" s="82"/>
      <c r="F556" s="82"/>
      <c r="G556" s="222"/>
      <c r="H556" s="222"/>
      <c r="I556" s="222"/>
      <c r="J556" s="6"/>
      <c r="K556" s="6"/>
      <c r="L556" s="6"/>
      <c r="M556" s="6"/>
      <c r="N556" s="6"/>
      <c r="O556" s="6"/>
      <c r="P556" s="6"/>
      <c r="Q556" s="6"/>
      <c r="R556" s="6"/>
      <c r="S556" s="6"/>
      <c r="T556" s="6"/>
      <c r="U556" s="6"/>
    </row>
    <row r="557" spans="1:21">
      <c r="A557" s="82"/>
      <c r="B557" s="83"/>
      <c r="C557" s="82"/>
      <c r="D557" s="82"/>
      <c r="E557" s="82"/>
      <c r="F557" s="82"/>
      <c r="G557" s="222"/>
      <c r="H557" s="222"/>
      <c r="I557" s="222"/>
      <c r="J557" s="6"/>
      <c r="K557" s="6"/>
      <c r="L557" s="6"/>
      <c r="M557" s="6"/>
      <c r="N557" s="6"/>
      <c r="O557" s="6"/>
      <c r="P557" s="6"/>
      <c r="Q557" s="6"/>
      <c r="R557" s="6"/>
      <c r="S557" s="6"/>
      <c r="T557" s="6"/>
      <c r="U557" s="6"/>
    </row>
    <row r="558" spans="1:21">
      <c r="A558" s="82"/>
      <c r="B558" s="83"/>
      <c r="C558" s="82"/>
      <c r="D558" s="82"/>
      <c r="E558" s="82"/>
      <c r="F558" s="82"/>
      <c r="G558" s="222"/>
      <c r="H558" s="222"/>
      <c r="I558" s="222"/>
      <c r="J558" s="6"/>
      <c r="K558" s="6"/>
      <c r="L558" s="6"/>
      <c r="M558" s="6"/>
      <c r="N558" s="6"/>
      <c r="O558" s="6"/>
      <c r="P558" s="6"/>
      <c r="Q558" s="6"/>
      <c r="R558" s="6"/>
      <c r="S558" s="6"/>
      <c r="T558" s="6"/>
      <c r="U558" s="6"/>
    </row>
    <row r="559" spans="1:21">
      <c r="A559" s="82"/>
      <c r="B559" s="83"/>
      <c r="C559" s="82"/>
      <c r="D559" s="82"/>
      <c r="E559" s="82"/>
      <c r="F559" s="82"/>
      <c r="G559" s="222"/>
      <c r="H559" s="222"/>
      <c r="I559" s="222"/>
      <c r="J559" s="6"/>
      <c r="K559" s="6"/>
      <c r="L559" s="6"/>
      <c r="M559" s="6"/>
      <c r="N559" s="6"/>
      <c r="O559" s="6"/>
      <c r="P559" s="6"/>
      <c r="Q559" s="6"/>
      <c r="R559" s="6"/>
      <c r="S559" s="6"/>
      <c r="T559" s="6"/>
      <c r="U559" s="6"/>
    </row>
    <row r="560" spans="1:21">
      <c r="A560" s="82"/>
      <c r="B560" s="83"/>
      <c r="C560" s="82"/>
      <c r="D560" s="82"/>
      <c r="E560" s="82"/>
      <c r="F560" s="82"/>
      <c r="G560" s="222"/>
      <c r="H560" s="222"/>
      <c r="I560" s="222"/>
      <c r="J560" s="6"/>
      <c r="K560" s="6"/>
      <c r="L560" s="6"/>
      <c r="M560" s="6"/>
      <c r="N560" s="6"/>
      <c r="O560" s="6"/>
      <c r="P560" s="6"/>
      <c r="Q560" s="6"/>
      <c r="R560" s="6"/>
      <c r="S560" s="6"/>
      <c r="T560" s="6"/>
      <c r="U560" s="6"/>
    </row>
    <row r="561" spans="1:21">
      <c r="A561" s="82"/>
      <c r="B561" s="83"/>
      <c r="C561" s="82"/>
      <c r="D561" s="82"/>
      <c r="E561" s="82"/>
      <c r="F561" s="82"/>
      <c r="G561" s="222"/>
      <c r="H561" s="222"/>
      <c r="I561" s="222"/>
      <c r="J561" s="6"/>
      <c r="K561" s="6"/>
      <c r="L561" s="6"/>
      <c r="M561" s="6"/>
      <c r="N561" s="6"/>
      <c r="O561" s="6"/>
      <c r="P561" s="6"/>
      <c r="Q561" s="6"/>
      <c r="R561" s="6"/>
      <c r="S561" s="6"/>
      <c r="T561" s="6"/>
      <c r="U561" s="6"/>
    </row>
    <row r="562" spans="1:21">
      <c r="A562" s="82"/>
      <c r="B562" s="83"/>
      <c r="C562" s="82"/>
      <c r="D562" s="82"/>
      <c r="E562" s="82"/>
      <c r="F562" s="82"/>
      <c r="G562" s="222"/>
      <c r="H562" s="222"/>
      <c r="I562" s="222"/>
      <c r="J562" s="6"/>
      <c r="K562" s="6"/>
      <c r="L562" s="6"/>
      <c r="M562" s="6"/>
      <c r="N562" s="6"/>
      <c r="O562" s="6"/>
      <c r="P562" s="6"/>
      <c r="Q562" s="6"/>
      <c r="R562" s="6"/>
      <c r="S562" s="6"/>
      <c r="T562" s="6"/>
      <c r="U562" s="6"/>
    </row>
    <row r="563" spans="1:21">
      <c r="A563" s="82"/>
      <c r="B563" s="83"/>
      <c r="C563" s="82"/>
      <c r="D563" s="82"/>
      <c r="E563" s="82"/>
      <c r="F563" s="82"/>
      <c r="G563" s="222"/>
      <c r="H563" s="222"/>
      <c r="I563" s="222"/>
      <c r="J563" s="6"/>
      <c r="K563" s="6"/>
      <c r="L563" s="6"/>
      <c r="M563" s="6"/>
      <c r="N563" s="6"/>
      <c r="O563" s="6"/>
      <c r="P563" s="6"/>
      <c r="Q563" s="6"/>
      <c r="R563" s="6"/>
      <c r="S563" s="6"/>
      <c r="T563" s="6"/>
      <c r="U563" s="6"/>
    </row>
    <row r="564" spans="1:21">
      <c r="A564" s="82"/>
      <c r="B564" s="83"/>
      <c r="C564" s="82"/>
      <c r="D564" s="82"/>
      <c r="E564" s="82"/>
      <c r="F564" s="82"/>
      <c r="G564" s="222"/>
      <c r="H564" s="222"/>
      <c r="I564" s="222"/>
      <c r="J564" s="6"/>
      <c r="K564" s="6"/>
      <c r="L564" s="6"/>
      <c r="M564" s="6"/>
      <c r="N564" s="6"/>
      <c r="O564" s="6"/>
      <c r="P564" s="6"/>
      <c r="Q564" s="6"/>
      <c r="R564" s="6"/>
      <c r="S564" s="6"/>
      <c r="T564" s="6"/>
      <c r="U564" s="6"/>
    </row>
    <row r="565" spans="1:21">
      <c r="A565" s="82"/>
      <c r="B565" s="83"/>
      <c r="C565" s="82"/>
      <c r="D565" s="82"/>
      <c r="E565" s="82"/>
      <c r="F565" s="82"/>
      <c r="G565" s="222"/>
      <c r="H565" s="222"/>
      <c r="I565" s="222"/>
      <c r="J565" s="6"/>
      <c r="K565" s="6"/>
      <c r="L565" s="6"/>
      <c r="M565" s="6"/>
      <c r="N565" s="6"/>
      <c r="O565" s="6"/>
      <c r="P565" s="6"/>
      <c r="Q565" s="6"/>
      <c r="R565" s="6"/>
      <c r="S565" s="6"/>
      <c r="T565" s="6"/>
      <c r="U565" s="6"/>
    </row>
    <row r="566" spans="1:21">
      <c r="A566" s="82"/>
      <c r="B566" s="83"/>
      <c r="C566" s="82"/>
      <c r="D566" s="82"/>
      <c r="E566" s="82"/>
      <c r="F566" s="82"/>
      <c r="G566" s="222"/>
      <c r="H566" s="222"/>
      <c r="I566" s="222"/>
      <c r="J566" s="6"/>
      <c r="K566" s="6"/>
      <c r="L566" s="6"/>
      <c r="M566" s="6"/>
      <c r="N566" s="6"/>
      <c r="O566" s="6"/>
      <c r="P566" s="6"/>
      <c r="Q566" s="6"/>
      <c r="R566" s="6"/>
      <c r="S566" s="6"/>
      <c r="T566" s="6"/>
      <c r="U566" s="6"/>
    </row>
    <row r="567" spans="1:21">
      <c r="A567" s="82"/>
      <c r="B567" s="83"/>
      <c r="C567" s="82"/>
      <c r="D567" s="82"/>
      <c r="E567" s="82"/>
      <c r="F567" s="82"/>
      <c r="G567" s="222"/>
      <c r="H567" s="222"/>
      <c r="I567" s="222"/>
      <c r="J567" s="6"/>
      <c r="K567" s="6"/>
      <c r="L567" s="6"/>
      <c r="M567" s="6"/>
      <c r="N567" s="6"/>
      <c r="O567" s="6"/>
      <c r="P567" s="6"/>
      <c r="Q567" s="6"/>
      <c r="R567" s="6"/>
      <c r="S567" s="6"/>
      <c r="T567" s="6"/>
      <c r="U567" s="6"/>
    </row>
    <row r="568" spans="1:21">
      <c r="A568" s="82"/>
      <c r="B568" s="83"/>
      <c r="C568" s="82"/>
      <c r="D568" s="82"/>
      <c r="E568" s="82"/>
      <c r="F568" s="82"/>
      <c r="G568" s="222"/>
      <c r="H568" s="222"/>
      <c r="I568" s="222"/>
      <c r="J568" s="6"/>
      <c r="K568" s="6"/>
      <c r="L568" s="6"/>
      <c r="M568" s="6"/>
      <c r="N568" s="6"/>
      <c r="O568" s="6"/>
      <c r="P568" s="6"/>
      <c r="Q568" s="6"/>
      <c r="R568" s="6"/>
      <c r="S568" s="6"/>
      <c r="T568" s="6"/>
      <c r="U568" s="6"/>
    </row>
    <row r="569" spans="1:21">
      <c r="A569" s="82"/>
      <c r="B569" s="83"/>
      <c r="C569" s="82"/>
      <c r="D569" s="82"/>
      <c r="E569" s="82"/>
      <c r="F569" s="82"/>
      <c r="G569" s="222"/>
      <c r="H569" s="222"/>
      <c r="I569" s="222"/>
      <c r="J569" s="6"/>
      <c r="K569" s="6"/>
      <c r="L569" s="6"/>
      <c r="M569" s="6"/>
      <c r="N569" s="6"/>
      <c r="O569" s="6"/>
      <c r="P569" s="6"/>
      <c r="Q569" s="6"/>
      <c r="R569" s="6"/>
      <c r="S569" s="6"/>
      <c r="T569" s="6"/>
      <c r="U569" s="6"/>
    </row>
    <row r="570" spans="1:21">
      <c r="A570" s="82"/>
      <c r="B570" s="83"/>
      <c r="C570" s="82"/>
      <c r="D570" s="82"/>
      <c r="E570" s="82"/>
      <c r="F570" s="82"/>
      <c r="G570" s="222"/>
      <c r="H570" s="222"/>
      <c r="I570" s="222"/>
      <c r="J570" s="6"/>
      <c r="K570" s="6"/>
      <c r="L570" s="6"/>
      <c r="M570" s="6"/>
      <c r="N570" s="6"/>
      <c r="O570" s="6"/>
      <c r="P570" s="6"/>
      <c r="Q570" s="6"/>
      <c r="R570" s="6"/>
      <c r="S570" s="6"/>
      <c r="T570" s="6"/>
      <c r="U570" s="6"/>
    </row>
    <row r="571" spans="1:21">
      <c r="A571" s="82"/>
      <c r="B571" s="83"/>
      <c r="C571" s="82"/>
      <c r="D571" s="82"/>
      <c r="E571" s="82"/>
      <c r="F571" s="82"/>
      <c r="G571" s="222"/>
      <c r="H571" s="222"/>
      <c r="I571" s="222"/>
      <c r="J571" s="6"/>
      <c r="K571" s="6"/>
      <c r="L571" s="6"/>
      <c r="M571" s="6"/>
      <c r="N571" s="6"/>
      <c r="O571" s="6"/>
      <c r="P571" s="6"/>
      <c r="Q571" s="6"/>
      <c r="R571" s="6"/>
      <c r="S571" s="6"/>
      <c r="T571" s="6"/>
      <c r="U571" s="6"/>
    </row>
    <row r="572" spans="1:21">
      <c r="A572" s="82"/>
      <c r="B572" s="83"/>
      <c r="C572" s="82"/>
      <c r="D572" s="82"/>
      <c r="E572" s="82"/>
      <c r="F572" s="82"/>
      <c r="G572" s="222"/>
      <c r="H572" s="222"/>
      <c r="I572" s="222"/>
      <c r="J572" s="6"/>
      <c r="K572" s="6"/>
      <c r="L572" s="6"/>
      <c r="M572" s="6"/>
      <c r="N572" s="6"/>
      <c r="O572" s="6"/>
      <c r="P572" s="6"/>
      <c r="Q572" s="6"/>
      <c r="R572" s="6"/>
      <c r="S572" s="6"/>
      <c r="T572" s="6"/>
      <c r="U572" s="6"/>
    </row>
    <row r="573" spans="1:21">
      <c r="A573" s="82"/>
      <c r="B573" s="83"/>
      <c r="C573" s="82"/>
      <c r="D573" s="82"/>
      <c r="E573" s="82"/>
      <c r="F573" s="82"/>
      <c r="G573" s="222"/>
      <c r="H573" s="222"/>
      <c r="I573" s="222"/>
      <c r="J573" s="6"/>
      <c r="K573" s="6"/>
      <c r="L573" s="6"/>
      <c r="M573" s="6"/>
      <c r="N573" s="6"/>
      <c r="O573" s="6"/>
      <c r="P573" s="6"/>
      <c r="Q573" s="6"/>
      <c r="R573" s="6"/>
      <c r="S573" s="6"/>
      <c r="T573" s="6"/>
      <c r="U573" s="6"/>
    </row>
    <row r="574" spans="1:21">
      <c r="A574" s="82"/>
      <c r="B574" s="83"/>
      <c r="C574" s="82"/>
      <c r="D574" s="82"/>
      <c r="E574" s="82"/>
      <c r="F574" s="82"/>
      <c r="G574" s="222"/>
      <c r="H574" s="222"/>
      <c r="I574" s="222"/>
      <c r="J574" s="6"/>
      <c r="K574" s="6"/>
      <c r="L574" s="6"/>
      <c r="M574" s="6"/>
      <c r="N574" s="6"/>
      <c r="O574" s="6"/>
      <c r="P574" s="6"/>
      <c r="Q574" s="6"/>
      <c r="R574" s="6"/>
      <c r="S574" s="6"/>
      <c r="T574" s="6"/>
      <c r="U574" s="6"/>
    </row>
    <row r="575" spans="1:21">
      <c r="A575" s="82"/>
      <c r="B575" s="83"/>
      <c r="C575" s="82"/>
      <c r="D575" s="82"/>
      <c r="E575" s="82"/>
      <c r="F575" s="82"/>
      <c r="G575" s="222"/>
      <c r="H575" s="222"/>
      <c r="I575" s="222"/>
      <c r="J575" s="6"/>
      <c r="K575" s="6"/>
      <c r="L575" s="6"/>
      <c r="M575" s="6"/>
      <c r="N575" s="6"/>
      <c r="O575" s="6"/>
      <c r="P575" s="6"/>
      <c r="Q575" s="6"/>
      <c r="R575" s="6"/>
      <c r="S575" s="6"/>
      <c r="T575" s="6"/>
      <c r="U575" s="6"/>
    </row>
    <row r="576" spans="1:21">
      <c r="A576" s="82"/>
      <c r="B576" s="83"/>
      <c r="C576" s="82"/>
      <c r="D576" s="82"/>
      <c r="E576" s="82"/>
      <c r="F576" s="82"/>
      <c r="G576" s="222"/>
      <c r="H576" s="222"/>
      <c r="I576" s="222"/>
      <c r="J576" s="6"/>
      <c r="K576" s="6"/>
      <c r="L576" s="6"/>
      <c r="M576" s="6"/>
      <c r="N576" s="6"/>
      <c r="O576" s="6"/>
      <c r="P576" s="6"/>
      <c r="Q576" s="6"/>
      <c r="R576" s="6"/>
      <c r="S576" s="6"/>
      <c r="T576" s="6"/>
      <c r="U576" s="6"/>
    </row>
    <row r="577" spans="1:21">
      <c r="A577" s="82"/>
      <c r="B577" s="83"/>
      <c r="C577" s="82"/>
      <c r="D577" s="82"/>
      <c r="E577" s="82"/>
      <c r="F577" s="82"/>
      <c r="G577" s="222"/>
      <c r="H577" s="222"/>
      <c r="I577" s="222"/>
      <c r="J577" s="6"/>
      <c r="K577" s="6"/>
      <c r="L577" s="6"/>
      <c r="M577" s="6"/>
      <c r="N577" s="6"/>
      <c r="O577" s="6"/>
      <c r="P577" s="6"/>
      <c r="Q577" s="6"/>
      <c r="R577" s="6"/>
      <c r="S577" s="6"/>
      <c r="T577" s="6"/>
      <c r="U577" s="6"/>
    </row>
    <row r="578" spans="1:21">
      <c r="A578" s="82"/>
      <c r="B578" s="83"/>
      <c r="C578" s="82"/>
      <c r="D578" s="82"/>
      <c r="E578" s="82"/>
      <c r="F578" s="82"/>
      <c r="G578" s="222"/>
      <c r="H578" s="222"/>
      <c r="I578" s="222"/>
      <c r="J578" s="6"/>
      <c r="K578" s="6"/>
      <c r="L578" s="6"/>
      <c r="M578" s="6"/>
      <c r="N578" s="6"/>
      <c r="O578" s="6"/>
      <c r="P578" s="6"/>
      <c r="Q578" s="6"/>
      <c r="R578" s="6"/>
      <c r="S578" s="6"/>
      <c r="T578" s="6"/>
      <c r="U578" s="6"/>
    </row>
    <row r="579" spans="1:21">
      <c r="A579" s="82"/>
      <c r="B579" s="83"/>
      <c r="C579" s="82"/>
      <c r="D579" s="82"/>
      <c r="E579" s="82"/>
      <c r="F579" s="82"/>
      <c r="G579" s="222"/>
      <c r="H579" s="222"/>
      <c r="I579" s="222"/>
      <c r="J579" s="6"/>
      <c r="K579" s="6"/>
      <c r="L579" s="6"/>
      <c r="M579" s="6"/>
      <c r="N579" s="6"/>
      <c r="O579" s="6"/>
      <c r="P579" s="6"/>
      <c r="Q579" s="6"/>
      <c r="R579" s="6"/>
      <c r="S579" s="6"/>
      <c r="T579" s="6"/>
      <c r="U579" s="6"/>
    </row>
    <row r="580" spans="1:21">
      <c r="A580" s="82"/>
      <c r="B580" s="83"/>
      <c r="C580" s="82"/>
      <c r="D580" s="82"/>
      <c r="E580" s="82"/>
      <c r="F580" s="82"/>
      <c r="G580" s="222"/>
      <c r="H580" s="222"/>
      <c r="I580" s="222"/>
      <c r="J580" s="6"/>
      <c r="K580" s="6"/>
      <c r="L580" s="6"/>
      <c r="M580" s="6"/>
      <c r="N580" s="6"/>
      <c r="O580" s="6"/>
      <c r="P580" s="6"/>
      <c r="Q580" s="6"/>
      <c r="R580" s="6"/>
      <c r="S580" s="6"/>
      <c r="T580" s="6"/>
      <c r="U580" s="6"/>
    </row>
    <row r="581" spans="1:21">
      <c r="A581" s="82"/>
      <c r="B581" s="83"/>
      <c r="C581" s="82"/>
      <c r="D581" s="82"/>
      <c r="E581" s="82"/>
      <c r="F581" s="82"/>
      <c r="G581" s="222"/>
      <c r="H581" s="222"/>
      <c r="I581" s="222"/>
      <c r="J581" s="6"/>
      <c r="K581" s="6"/>
      <c r="L581" s="6"/>
      <c r="M581" s="6"/>
      <c r="N581" s="6"/>
      <c r="O581" s="6"/>
      <c r="P581" s="6"/>
      <c r="Q581" s="6"/>
      <c r="R581" s="6"/>
      <c r="S581" s="6"/>
      <c r="T581" s="6"/>
      <c r="U581" s="6"/>
    </row>
    <row r="582" spans="1:21">
      <c r="A582" s="82"/>
      <c r="B582" s="83"/>
      <c r="C582" s="82"/>
      <c r="D582" s="82"/>
      <c r="E582" s="82"/>
      <c r="F582" s="82"/>
      <c r="G582" s="222"/>
      <c r="H582" s="222"/>
      <c r="I582" s="222"/>
      <c r="J582" s="6"/>
      <c r="K582" s="6"/>
      <c r="L582" s="6"/>
      <c r="M582" s="6"/>
      <c r="N582" s="6"/>
      <c r="O582" s="6"/>
      <c r="P582" s="6"/>
      <c r="Q582" s="6"/>
      <c r="R582" s="6"/>
      <c r="S582" s="6"/>
      <c r="T582" s="6"/>
      <c r="U582" s="6"/>
    </row>
    <row r="583" spans="1:21">
      <c r="A583" s="82"/>
      <c r="B583" s="83"/>
      <c r="C583" s="82"/>
      <c r="D583" s="82"/>
      <c r="E583" s="82"/>
      <c r="F583" s="82"/>
      <c r="G583" s="222"/>
      <c r="H583" s="222"/>
      <c r="I583" s="222"/>
      <c r="J583" s="6"/>
      <c r="K583" s="6"/>
      <c r="L583" s="6"/>
      <c r="M583" s="6"/>
      <c r="N583" s="6"/>
      <c r="O583" s="6"/>
      <c r="P583" s="6"/>
      <c r="Q583" s="6"/>
      <c r="R583" s="6"/>
      <c r="S583" s="6"/>
      <c r="T583" s="6"/>
      <c r="U583" s="6"/>
    </row>
    <row r="584" spans="1:21">
      <c r="A584" s="82"/>
      <c r="B584" s="83"/>
      <c r="C584" s="82"/>
      <c r="D584" s="82"/>
      <c r="E584" s="82"/>
      <c r="F584" s="82"/>
      <c r="G584" s="222"/>
      <c r="H584" s="222"/>
      <c r="I584" s="222"/>
      <c r="J584" s="6"/>
      <c r="K584" s="6"/>
      <c r="L584" s="6"/>
      <c r="M584" s="6"/>
      <c r="N584" s="6"/>
      <c r="O584" s="6"/>
      <c r="P584" s="6"/>
      <c r="Q584" s="6"/>
      <c r="R584" s="6"/>
      <c r="S584" s="6"/>
      <c r="T584" s="6"/>
      <c r="U584" s="6"/>
    </row>
    <row r="585" spans="1:21">
      <c r="A585" s="82"/>
      <c r="B585" s="83"/>
      <c r="C585" s="82"/>
      <c r="D585" s="82"/>
      <c r="E585" s="82"/>
      <c r="F585" s="82"/>
      <c r="G585" s="222"/>
      <c r="H585" s="222"/>
      <c r="I585" s="222"/>
      <c r="J585" s="6"/>
      <c r="K585" s="6"/>
      <c r="L585" s="6"/>
      <c r="M585" s="6"/>
      <c r="N585" s="6"/>
      <c r="O585" s="6"/>
      <c r="P585" s="6"/>
      <c r="Q585" s="6"/>
      <c r="R585" s="6"/>
      <c r="S585" s="6"/>
      <c r="T585" s="6"/>
      <c r="U585" s="6"/>
    </row>
    <row r="586" spans="1:21">
      <c r="A586" s="82"/>
      <c r="B586" s="83"/>
      <c r="C586" s="82"/>
      <c r="D586" s="82"/>
      <c r="E586" s="82"/>
      <c r="F586" s="82"/>
      <c r="G586" s="222"/>
      <c r="H586" s="222"/>
      <c r="I586" s="222"/>
      <c r="J586" s="6"/>
      <c r="K586" s="6"/>
      <c r="L586" s="6"/>
      <c r="M586" s="6"/>
      <c r="N586" s="6"/>
      <c r="O586" s="6"/>
      <c r="P586" s="6"/>
      <c r="Q586" s="6"/>
      <c r="R586" s="6"/>
      <c r="S586" s="6"/>
      <c r="T586" s="6"/>
      <c r="U586" s="6"/>
    </row>
    <row r="587" spans="1:21">
      <c r="A587" s="82"/>
      <c r="B587" s="83"/>
      <c r="C587" s="82"/>
      <c r="D587" s="82"/>
      <c r="E587" s="82"/>
      <c r="F587" s="82"/>
      <c r="G587" s="222"/>
      <c r="H587" s="222"/>
      <c r="I587" s="222"/>
      <c r="J587" s="6"/>
      <c r="K587" s="6"/>
      <c r="L587" s="6"/>
      <c r="M587" s="6"/>
      <c r="N587" s="6"/>
      <c r="O587" s="6"/>
      <c r="P587" s="6"/>
      <c r="Q587" s="6"/>
      <c r="R587" s="6"/>
      <c r="S587" s="6"/>
      <c r="T587" s="6"/>
      <c r="U587" s="6"/>
    </row>
    <row r="588" spans="1:21">
      <c r="A588" s="82"/>
      <c r="B588" s="83"/>
      <c r="C588" s="82"/>
      <c r="D588" s="82"/>
      <c r="E588" s="82"/>
      <c r="F588" s="82"/>
      <c r="G588" s="222"/>
      <c r="H588" s="222"/>
      <c r="I588" s="222"/>
      <c r="J588" s="6"/>
      <c r="K588" s="6"/>
      <c r="L588" s="6"/>
      <c r="M588" s="6"/>
      <c r="N588" s="6"/>
      <c r="O588" s="6"/>
      <c r="P588" s="6"/>
      <c r="Q588" s="6"/>
      <c r="R588" s="6"/>
      <c r="S588" s="6"/>
      <c r="T588" s="6"/>
      <c r="U588" s="6"/>
    </row>
    <row r="589" spans="1:21">
      <c r="A589" s="82"/>
      <c r="B589" s="83"/>
      <c r="C589" s="82"/>
      <c r="D589" s="82"/>
      <c r="E589" s="82"/>
      <c r="F589" s="82"/>
      <c r="G589" s="222"/>
      <c r="H589" s="222"/>
      <c r="I589" s="222"/>
      <c r="J589" s="6"/>
      <c r="K589" s="6"/>
      <c r="L589" s="6"/>
      <c r="M589" s="6"/>
      <c r="N589" s="6"/>
      <c r="O589" s="6"/>
      <c r="P589" s="6"/>
      <c r="Q589" s="6"/>
      <c r="R589" s="6"/>
      <c r="S589" s="6"/>
      <c r="T589" s="6"/>
      <c r="U589" s="6"/>
    </row>
    <row r="590" spans="1:21">
      <c r="A590" s="82"/>
      <c r="B590" s="83"/>
      <c r="C590" s="82"/>
      <c r="D590" s="82"/>
      <c r="E590" s="82"/>
      <c r="F590" s="82"/>
      <c r="G590" s="222"/>
      <c r="H590" s="222"/>
      <c r="I590" s="222"/>
      <c r="J590" s="6"/>
      <c r="K590" s="6"/>
      <c r="L590" s="6"/>
      <c r="M590" s="6"/>
      <c r="N590" s="6"/>
      <c r="O590" s="6"/>
      <c r="P590" s="6"/>
      <c r="Q590" s="6"/>
      <c r="R590" s="6"/>
      <c r="S590" s="6"/>
      <c r="T590" s="6"/>
      <c r="U590" s="6"/>
    </row>
    <row r="591" spans="1:21">
      <c r="A591" s="82"/>
      <c r="B591" s="83"/>
      <c r="C591" s="82"/>
      <c r="D591" s="82"/>
      <c r="E591" s="82"/>
      <c r="F591" s="82"/>
      <c r="G591" s="222"/>
      <c r="H591" s="222"/>
      <c r="I591" s="222"/>
      <c r="J591" s="6"/>
      <c r="K591" s="6"/>
      <c r="L591" s="6"/>
      <c r="M591" s="6"/>
      <c r="N591" s="6"/>
      <c r="O591" s="6"/>
      <c r="P591" s="6"/>
      <c r="Q591" s="6"/>
      <c r="R591" s="6"/>
      <c r="S591" s="6"/>
      <c r="T591" s="6"/>
      <c r="U591" s="6"/>
    </row>
    <row r="592" spans="1:21">
      <c r="A592" s="82"/>
      <c r="B592" s="83"/>
      <c r="C592" s="82"/>
      <c r="D592" s="82"/>
      <c r="E592" s="82"/>
      <c r="F592" s="82"/>
      <c r="G592" s="222"/>
      <c r="H592" s="222"/>
      <c r="I592" s="222"/>
      <c r="J592" s="6"/>
      <c r="K592" s="6"/>
      <c r="L592" s="6"/>
      <c r="M592" s="6"/>
      <c r="N592" s="6"/>
      <c r="O592" s="6"/>
      <c r="P592" s="6"/>
      <c r="Q592" s="6"/>
      <c r="R592" s="6"/>
      <c r="S592" s="6"/>
      <c r="T592" s="6"/>
      <c r="U592" s="6"/>
    </row>
    <row r="593" spans="1:21">
      <c r="A593" s="82"/>
      <c r="B593" s="83"/>
      <c r="C593" s="82"/>
      <c r="D593" s="82"/>
      <c r="E593" s="82"/>
      <c r="F593" s="82"/>
      <c r="G593" s="222"/>
      <c r="H593" s="222"/>
      <c r="I593" s="222"/>
      <c r="J593" s="6"/>
      <c r="K593" s="6"/>
      <c r="L593" s="6"/>
      <c r="M593" s="6"/>
      <c r="N593" s="6"/>
      <c r="O593" s="6"/>
      <c r="P593" s="6"/>
      <c r="Q593" s="6"/>
      <c r="R593" s="6"/>
      <c r="S593" s="6"/>
      <c r="T593" s="6"/>
      <c r="U593" s="6"/>
    </row>
    <row r="594" spans="1:21">
      <c r="A594" s="82"/>
      <c r="B594" s="83"/>
      <c r="C594" s="82"/>
      <c r="D594" s="82"/>
      <c r="E594" s="82"/>
      <c r="F594" s="82"/>
      <c r="G594" s="222"/>
      <c r="H594" s="222"/>
      <c r="I594" s="222"/>
      <c r="J594" s="6"/>
      <c r="K594" s="6"/>
      <c r="L594" s="6"/>
      <c r="M594" s="6"/>
      <c r="N594" s="6"/>
      <c r="O594" s="6"/>
      <c r="P594" s="6"/>
      <c r="Q594" s="6"/>
      <c r="R594" s="6"/>
      <c r="S594" s="6"/>
      <c r="T594" s="6"/>
      <c r="U594" s="6"/>
    </row>
    <row r="595" spans="1:21">
      <c r="A595" s="82"/>
      <c r="B595" s="83"/>
      <c r="C595" s="82"/>
      <c r="D595" s="82"/>
      <c r="E595" s="82"/>
      <c r="F595" s="82"/>
      <c r="G595" s="222"/>
      <c r="H595" s="222"/>
      <c r="I595" s="222"/>
      <c r="J595" s="6"/>
      <c r="K595" s="6"/>
      <c r="L595" s="6"/>
      <c r="M595" s="6"/>
      <c r="N595" s="6"/>
      <c r="O595" s="6"/>
      <c r="P595" s="6"/>
      <c r="Q595" s="6"/>
      <c r="R595" s="6"/>
      <c r="S595" s="6"/>
      <c r="T595" s="6"/>
      <c r="U595" s="6"/>
    </row>
    <row r="596" spans="1:21">
      <c r="A596" s="82"/>
      <c r="B596" s="83"/>
      <c r="C596" s="82"/>
      <c r="D596" s="82"/>
      <c r="E596" s="82"/>
      <c r="F596" s="82"/>
      <c r="G596" s="222"/>
      <c r="H596" s="222"/>
      <c r="I596" s="222"/>
      <c r="J596" s="6"/>
      <c r="K596" s="6"/>
      <c r="L596" s="6"/>
      <c r="M596" s="6"/>
      <c r="N596" s="6"/>
      <c r="O596" s="6"/>
      <c r="P596" s="6"/>
      <c r="Q596" s="6"/>
      <c r="R596" s="6"/>
      <c r="S596" s="6"/>
      <c r="T596" s="6"/>
      <c r="U596" s="6"/>
    </row>
    <row r="597" spans="1:21">
      <c r="A597" s="82"/>
      <c r="B597" s="83"/>
      <c r="C597" s="82"/>
      <c r="D597" s="82"/>
      <c r="E597" s="82"/>
      <c r="F597" s="82"/>
      <c r="G597" s="222"/>
      <c r="H597" s="222"/>
      <c r="I597" s="222"/>
      <c r="J597" s="6"/>
      <c r="K597" s="6"/>
      <c r="L597" s="6"/>
      <c r="M597" s="6"/>
      <c r="N597" s="6"/>
      <c r="O597" s="6"/>
      <c r="P597" s="6"/>
      <c r="Q597" s="6"/>
      <c r="R597" s="6"/>
      <c r="S597" s="6"/>
      <c r="T597" s="6"/>
      <c r="U597" s="6"/>
    </row>
    <row r="598" spans="1:21">
      <c r="A598" s="82"/>
      <c r="B598" s="83"/>
      <c r="C598" s="82"/>
      <c r="D598" s="82"/>
      <c r="E598" s="82"/>
      <c r="F598" s="82"/>
      <c r="G598" s="222"/>
      <c r="H598" s="222"/>
      <c r="I598" s="222"/>
      <c r="J598" s="6"/>
      <c r="K598" s="6"/>
      <c r="L598" s="6"/>
      <c r="M598" s="6"/>
      <c r="N598" s="6"/>
      <c r="O598" s="6"/>
      <c r="P598" s="6"/>
      <c r="Q598" s="6"/>
      <c r="R598" s="6"/>
      <c r="S598" s="6"/>
      <c r="T598" s="6"/>
      <c r="U598" s="6"/>
    </row>
    <row r="599" spans="1:21">
      <c r="A599" s="82"/>
      <c r="B599" s="83"/>
      <c r="C599" s="82"/>
      <c r="D599" s="82"/>
      <c r="E599" s="82"/>
      <c r="F599" s="82"/>
      <c r="G599" s="222"/>
      <c r="H599" s="222"/>
      <c r="I599" s="222"/>
      <c r="J599" s="6"/>
      <c r="K599" s="6"/>
      <c r="L599" s="6"/>
      <c r="M599" s="6"/>
      <c r="N599" s="6"/>
      <c r="O599" s="6"/>
      <c r="P599" s="6"/>
      <c r="Q599" s="6"/>
      <c r="R599" s="6"/>
      <c r="S599" s="6"/>
      <c r="T599" s="6"/>
      <c r="U599" s="6"/>
    </row>
    <row r="600" spans="1:21">
      <c r="A600" s="82"/>
      <c r="B600" s="83"/>
      <c r="C600" s="82"/>
      <c r="D600" s="82"/>
      <c r="E600" s="82"/>
      <c r="F600" s="82"/>
      <c r="G600" s="222"/>
      <c r="H600" s="222"/>
      <c r="I600" s="222"/>
      <c r="J600" s="6"/>
      <c r="K600" s="6"/>
      <c r="L600" s="6"/>
      <c r="M600" s="6"/>
      <c r="N600" s="6"/>
      <c r="O600" s="6"/>
      <c r="P600" s="6"/>
      <c r="Q600" s="6"/>
      <c r="R600" s="6"/>
      <c r="S600" s="6"/>
      <c r="T600" s="6"/>
      <c r="U600" s="6"/>
    </row>
    <row r="601" spans="1:21">
      <c r="A601" s="82"/>
      <c r="B601" s="83"/>
      <c r="C601" s="82"/>
      <c r="D601" s="82"/>
      <c r="E601" s="82"/>
      <c r="F601" s="82"/>
      <c r="G601" s="222"/>
      <c r="H601" s="222"/>
      <c r="I601" s="222"/>
      <c r="J601" s="6"/>
      <c r="K601" s="6"/>
      <c r="L601" s="6"/>
      <c r="M601" s="6"/>
      <c r="N601" s="6"/>
      <c r="O601" s="6"/>
      <c r="P601" s="6"/>
      <c r="Q601" s="6"/>
      <c r="R601" s="6"/>
      <c r="S601" s="6"/>
      <c r="T601" s="6"/>
      <c r="U601" s="6"/>
    </row>
    <row r="602" spans="1:21">
      <c r="A602" s="82"/>
      <c r="B602" s="83"/>
      <c r="C602" s="82"/>
      <c r="D602" s="82"/>
      <c r="E602" s="82"/>
      <c r="F602" s="82"/>
      <c r="G602" s="222"/>
      <c r="H602" s="222"/>
      <c r="I602" s="222"/>
      <c r="J602" s="6"/>
      <c r="K602" s="6"/>
      <c r="L602" s="6"/>
      <c r="M602" s="6"/>
      <c r="N602" s="6"/>
      <c r="O602" s="6"/>
      <c r="P602" s="6"/>
      <c r="Q602" s="6"/>
      <c r="R602" s="6"/>
      <c r="S602" s="6"/>
      <c r="T602" s="6"/>
      <c r="U602" s="6"/>
    </row>
    <row r="603" spans="1:21">
      <c r="A603" s="82"/>
      <c r="B603" s="83"/>
      <c r="C603" s="82"/>
      <c r="D603" s="82"/>
      <c r="E603" s="82"/>
      <c r="F603" s="82"/>
      <c r="G603" s="222"/>
      <c r="H603" s="222"/>
      <c r="I603" s="222"/>
      <c r="J603" s="6"/>
      <c r="K603" s="6"/>
      <c r="L603" s="6"/>
      <c r="M603" s="6"/>
      <c r="N603" s="6"/>
      <c r="O603" s="6"/>
      <c r="P603" s="6"/>
      <c r="Q603" s="6"/>
      <c r="R603" s="6"/>
      <c r="S603" s="6"/>
      <c r="T603" s="6"/>
      <c r="U603" s="6"/>
    </row>
    <row r="604" spans="1:21">
      <c r="A604" s="82"/>
      <c r="B604" s="83"/>
      <c r="C604" s="82"/>
      <c r="D604" s="82"/>
      <c r="E604" s="82"/>
      <c r="F604" s="82"/>
      <c r="G604" s="222"/>
      <c r="H604" s="222"/>
      <c r="I604" s="222"/>
      <c r="J604" s="6"/>
      <c r="K604" s="6"/>
      <c r="L604" s="6"/>
      <c r="M604" s="6"/>
      <c r="N604" s="6"/>
      <c r="O604" s="6"/>
      <c r="P604" s="6"/>
      <c r="Q604" s="6"/>
      <c r="R604" s="6"/>
      <c r="S604" s="6"/>
      <c r="T604" s="6"/>
      <c r="U604" s="6"/>
    </row>
    <row r="605" spans="1:21">
      <c r="A605" s="82"/>
      <c r="B605" s="83"/>
      <c r="C605" s="82"/>
      <c r="D605" s="82"/>
      <c r="E605" s="82"/>
      <c r="F605" s="82"/>
      <c r="G605" s="222"/>
      <c r="H605" s="222"/>
      <c r="I605" s="222"/>
      <c r="J605" s="6"/>
      <c r="K605" s="6"/>
      <c r="L605" s="6"/>
      <c r="M605" s="6"/>
      <c r="N605" s="6"/>
      <c r="O605" s="6"/>
      <c r="P605" s="6"/>
      <c r="Q605" s="6"/>
      <c r="R605" s="6"/>
      <c r="S605" s="6"/>
      <c r="T605" s="6"/>
      <c r="U605" s="6"/>
    </row>
    <row r="606" spans="1:21">
      <c r="A606" s="82"/>
      <c r="B606" s="83"/>
      <c r="C606" s="82"/>
      <c r="D606" s="82"/>
      <c r="E606" s="82"/>
      <c r="F606" s="82"/>
      <c r="G606" s="222"/>
      <c r="H606" s="222"/>
      <c r="I606" s="222"/>
      <c r="J606" s="6"/>
      <c r="K606" s="6"/>
      <c r="L606" s="6"/>
      <c r="M606" s="6"/>
      <c r="N606" s="6"/>
      <c r="O606" s="6"/>
      <c r="P606" s="6"/>
      <c r="Q606" s="6"/>
      <c r="R606" s="6"/>
      <c r="S606" s="6"/>
      <c r="T606" s="6"/>
      <c r="U606" s="6"/>
    </row>
    <row r="607" spans="1:21">
      <c r="A607" s="82"/>
      <c r="B607" s="83"/>
      <c r="C607" s="82"/>
      <c r="D607" s="82"/>
      <c r="E607" s="82"/>
      <c r="F607" s="82"/>
      <c r="G607" s="222"/>
      <c r="H607" s="222"/>
      <c r="I607" s="222"/>
      <c r="J607" s="6"/>
      <c r="K607" s="6"/>
      <c r="L607" s="6"/>
      <c r="M607" s="6"/>
      <c r="N607" s="6"/>
      <c r="O607" s="6"/>
      <c r="P607" s="6"/>
      <c r="Q607" s="6"/>
      <c r="R607" s="6"/>
      <c r="S607" s="6"/>
      <c r="T607" s="6"/>
      <c r="U607" s="6"/>
    </row>
    <row r="608" spans="1:21">
      <c r="A608" s="82"/>
      <c r="B608" s="83"/>
      <c r="C608" s="82"/>
      <c r="D608" s="82"/>
      <c r="E608" s="82"/>
      <c r="F608" s="82"/>
      <c r="G608" s="222"/>
      <c r="H608" s="222"/>
      <c r="I608" s="222"/>
      <c r="J608" s="6"/>
      <c r="K608" s="6"/>
      <c r="L608" s="6"/>
      <c r="M608" s="6"/>
      <c r="N608" s="6"/>
      <c r="O608" s="6"/>
      <c r="P608" s="6"/>
      <c r="Q608" s="6"/>
      <c r="R608" s="6"/>
      <c r="S608" s="6"/>
      <c r="T608" s="6"/>
      <c r="U608" s="6"/>
    </row>
    <row r="609" spans="1:21">
      <c r="A609" s="82"/>
      <c r="B609" s="83"/>
      <c r="C609" s="82"/>
      <c r="D609" s="82"/>
      <c r="E609" s="82"/>
      <c r="F609" s="82"/>
      <c r="G609" s="222"/>
      <c r="H609" s="222"/>
      <c r="I609" s="222"/>
      <c r="J609" s="6"/>
      <c r="K609" s="6"/>
      <c r="L609" s="6"/>
      <c r="M609" s="6"/>
      <c r="N609" s="6"/>
      <c r="O609" s="6"/>
      <c r="P609" s="6"/>
      <c r="Q609" s="6"/>
      <c r="R609" s="6"/>
      <c r="S609" s="6"/>
      <c r="T609" s="6"/>
      <c r="U609" s="6"/>
    </row>
    <row r="610" spans="1:21">
      <c r="A610" s="82"/>
      <c r="B610" s="83"/>
      <c r="C610" s="82"/>
      <c r="D610" s="82"/>
      <c r="E610" s="82"/>
      <c r="F610" s="82"/>
      <c r="G610" s="222"/>
      <c r="H610" s="222"/>
      <c r="I610" s="222"/>
      <c r="J610" s="6"/>
      <c r="K610" s="6"/>
      <c r="L610" s="6"/>
      <c r="M610" s="6"/>
      <c r="N610" s="6"/>
      <c r="O610" s="6"/>
      <c r="P610" s="6"/>
      <c r="Q610" s="6"/>
      <c r="R610" s="6"/>
      <c r="S610" s="6"/>
      <c r="T610" s="6"/>
      <c r="U610" s="6"/>
    </row>
    <row r="611" spans="1:21">
      <c r="A611" s="82"/>
      <c r="B611" s="83"/>
      <c r="C611" s="82"/>
      <c r="D611" s="82"/>
      <c r="E611" s="82"/>
      <c r="F611" s="82"/>
      <c r="G611" s="222"/>
      <c r="H611" s="222"/>
      <c r="I611" s="222"/>
      <c r="J611" s="6"/>
      <c r="K611" s="6"/>
      <c r="L611" s="6"/>
      <c r="M611" s="6"/>
      <c r="N611" s="6"/>
      <c r="O611" s="6"/>
      <c r="P611" s="6"/>
      <c r="Q611" s="6"/>
      <c r="R611" s="6"/>
      <c r="S611" s="6"/>
      <c r="T611" s="6"/>
      <c r="U611" s="6"/>
    </row>
    <row r="612" spans="1:21">
      <c r="A612" s="82"/>
      <c r="B612" s="83"/>
      <c r="C612" s="82"/>
      <c r="D612" s="82"/>
      <c r="E612" s="82"/>
      <c r="F612" s="82"/>
      <c r="G612" s="222"/>
      <c r="H612" s="222"/>
      <c r="I612" s="222"/>
      <c r="J612" s="6"/>
      <c r="K612" s="6"/>
      <c r="L612" s="6"/>
      <c r="M612" s="6"/>
      <c r="N612" s="6"/>
      <c r="O612" s="6"/>
      <c r="P612" s="6"/>
      <c r="Q612" s="6"/>
      <c r="R612" s="6"/>
      <c r="S612" s="6"/>
      <c r="T612" s="6"/>
      <c r="U612" s="6"/>
    </row>
    <row r="613" spans="1:21">
      <c r="A613" s="82"/>
      <c r="B613" s="83"/>
      <c r="C613" s="82"/>
      <c r="D613" s="82"/>
      <c r="E613" s="82"/>
      <c r="F613" s="82"/>
      <c r="G613" s="222"/>
      <c r="H613" s="222"/>
      <c r="I613" s="222"/>
      <c r="J613" s="6"/>
      <c r="K613" s="6"/>
      <c r="L613" s="6"/>
      <c r="M613" s="6"/>
      <c r="N613" s="6"/>
      <c r="O613" s="6"/>
      <c r="P613" s="6"/>
      <c r="Q613" s="6"/>
      <c r="R613" s="6"/>
      <c r="S613" s="6"/>
      <c r="T613" s="6"/>
      <c r="U613" s="6"/>
    </row>
    <row r="614" spans="1:21">
      <c r="A614" s="82"/>
      <c r="B614" s="83"/>
      <c r="C614" s="82"/>
      <c r="D614" s="82"/>
      <c r="E614" s="82"/>
      <c r="F614" s="82"/>
      <c r="G614" s="222"/>
      <c r="H614" s="222"/>
      <c r="I614" s="222"/>
      <c r="J614" s="6"/>
      <c r="K614" s="6"/>
      <c r="L614" s="6"/>
      <c r="M614" s="6"/>
      <c r="N614" s="6"/>
      <c r="O614" s="6"/>
      <c r="P614" s="6"/>
      <c r="Q614" s="6"/>
      <c r="R614" s="6"/>
      <c r="S614" s="6"/>
      <c r="T614" s="6"/>
      <c r="U614" s="6"/>
    </row>
    <row r="615" spans="1:21">
      <c r="A615" s="82"/>
      <c r="B615" s="83"/>
      <c r="C615" s="82"/>
      <c r="D615" s="82"/>
      <c r="E615" s="82"/>
      <c r="F615" s="82"/>
      <c r="G615" s="222"/>
      <c r="H615" s="222"/>
      <c r="I615" s="222"/>
      <c r="J615" s="6"/>
      <c r="K615" s="6"/>
      <c r="L615" s="6"/>
      <c r="M615" s="6"/>
      <c r="N615" s="6"/>
      <c r="O615" s="6"/>
      <c r="P615" s="6"/>
      <c r="Q615" s="6"/>
      <c r="R615" s="6"/>
      <c r="S615" s="6"/>
      <c r="T615" s="6"/>
      <c r="U615" s="6"/>
    </row>
    <row r="616" spans="1:21">
      <c r="A616" s="82"/>
      <c r="B616" s="83"/>
      <c r="C616" s="82"/>
      <c r="D616" s="82"/>
      <c r="E616" s="82"/>
      <c r="F616" s="82"/>
      <c r="G616" s="222"/>
      <c r="H616" s="222"/>
      <c r="I616" s="222"/>
      <c r="J616" s="6"/>
      <c r="K616" s="6"/>
      <c r="L616" s="6"/>
      <c r="M616" s="6"/>
      <c r="N616" s="6"/>
      <c r="O616" s="6"/>
      <c r="P616" s="6"/>
      <c r="Q616" s="6"/>
      <c r="R616" s="6"/>
      <c r="S616" s="6"/>
      <c r="T616" s="6"/>
      <c r="U616" s="6"/>
    </row>
    <row r="617" spans="1:21">
      <c r="A617" s="82"/>
      <c r="B617" s="83"/>
      <c r="C617" s="82"/>
      <c r="D617" s="82"/>
      <c r="E617" s="82"/>
      <c r="F617" s="82"/>
      <c r="G617" s="222"/>
      <c r="H617" s="222"/>
      <c r="I617" s="222"/>
      <c r="J617" s="6"/>
      <c r="K617" s="6"/>
      <c r="L617" s="6"/>
      <c r="M617" s="6"/>
      <c r="N617" s="6"/>
      <c r="O617" s="6"/>
      <c r="P617" s="6"/>
      <c r="Q617" s="6"/>
      <c r="R617" s="6"/>
      <c r="S617" s="6"/>
      <c r="T617" s="6"/>
      <c r="U617" s="6"/>
    </row>
    <row r="618" spans="1:21">
      <c r="A618" s="82"/>
      <c r="B618" s="83"/>
      <c r="C618" s="82"/>
      <c r="D618" s="82"/>
      <c r="E618" s="82"/>
      <c r="F618" s="82"/>
      <c r="G618" s="222"/>
      <c r="H618" s="222"/>
      <c r="I618" s="222"/>
      <c r="J618" s="6"/>
      <c r="K618" s="6"/>
      <c r="L618" s="6"/>
      <c r="M618" s="6"/>
      <c r="N618" s="6"/>
      <c r="O618" s="6"/>
      <c r="P618" s="6"/>
      <c r="Q618" s="6"/>
      <c r="R618" s="6"/>
      <c r="S618" s="6"/>
      <c r="T618" s="6"/>
      <c r="U618" s="6"/>
    </row>
    <row r="619" spans="1:21">
      <c r="A619" s="82"/>
      <c r="B619" s="83"/>
      <c r="C619" s="82"/>
      <c r="D619" s="82"/>
      <c r="E619" s="82"/>
      <c r="F619" s="82"/>
      <c r="G619" s="222"/>
      <c r="H619" s="222"/>
      <c r="I619" s="222"/>
      <c r="J619" s="6"/>
      <c r="K619" s="6"/>
      <c r="L619" s="6"/>
      <c r="M619" s="6"/>
      <c r="N619" s="6"/>
      <c r="O619" s="6"/>
      <c r="P619" s="6"/>
      <c r="Q619" s="6"/>
      <c r="R619" s="6"/>
      <c r="S619" s="6"/>
      <c r="T619" s="6"/>
      <c r="U619" s="6"/>
    </row>
    <row r="620" spans="1:21">
      <c r="A620" s="82"/>
      <c r="B620" s="83"/>
      <c r="C620" s="82"/>
      <c r="D620" s="82"/>
      <c r="E620" s="82"/>
      <c r="F620" s="82"/>
      <c r="G620" s="222"/>
      <c r="H620" s="222"/>
      <c r="I620" s="222"/>
      <c r="J620" s="6"/>
      <c r="K620" s="6"/>
      <c r="L620" s="6"/>
      <c r="M620" s="6"/>
      <c r="N620" s="6"/>
      <c r="O620" s="6"/>
      <c r="P620" s="6"/>
      <c r="Q620" s="6"/>
      <c r="R620" s="6"/>
      <c r="S620" s="6"/>
      <c r="T620" s="6"/>
      <c r="U620" s="6"/>
    </row>
    <row r="621" spans="1:21">
      <c r="A621" s="82"/>
      <c r="B621" s="83"/>
      <c r="C621" s="82"/>
      <c r="D621" s="82"/>
      <c r="E621" s="82"/>
      <c r="F621" s="82"/>
      <c r="G621" s="222"/>
      <c r="H621" s="222"/>
      <c r="I621" s="222"/>
      <c r="J621" s="6"/>
      <c r="K621" s="6"/>
      <c r="L621" s="6"/>
      <c r="M621" s="6"/>
      <c r="N621" s="6"/>
      <c r="O621" s="6"/>
      <c r="P621" s="6"/>
      <c r="Q621" s="6"/>
      <c r="R621" s="6"/>
      <c r="S621" s="6"/>
      <c r="T621" s="6"/>
      <c r="U621" s="6"/>
    </row>
    <row r="622" spans="1:21">
      <c r="A622" s="82"/>
      <c r="B622" s="83"/>
      <c r="C622" s="82"/>
      <c r="D622" s="82"/>
      <c r="E622" s="82"/>
      <c r="F622" s="82"/>
      <c r="G622" s="222"/>
      <c r="H622" s="222"/>
      <c r="I622" s="222"/>
      <c r="J622" s="6"/>
      <c r="K622" s="6"/>
      <c r="L622" s="6"/>
      <c r="M622" s="6"/>
      <c r="N622" s="6"/>
      <c r="O622" s="6"/>
      <c r="P622" s="6"/>
      <c r="Q622" s="6"/>
      <c r="R622" s="6"/>
      <c r="S622" s="6"/>
      <c r="T622" s="6"/>
      <c r="U622" s="6"/>
    </row>
    <row r="623" spans="1:21">
      <c r="A623" s="82"/>
      <c r="B623" s="83"/>
      <c r="C623" s="82"/>
      <c r="D623" s="82"/>
      <c r="E623" s="82"/>
      <c r="F623" s="82"/>
      <c r="G623" s="222"/>
      <c r="H623" s="222"/>
      <c r="I623" s="222"/>
      <c r="J623" s="6"/>
      <c r="K623" s="6"/>
      <c r="L623" s="6"/>
      <c r="M623" s="6"/>
      <c r="N623" s="6"/>
      <c r="O623" s="6"/>
      <c r="P623" s="6"/>
      <c r="Q623" s="6"/>
      <c r="R623" s="6"/>
      <c r="S623" s="6"/>
      <c r="T623" s="6"/>
      <c r="U623" s="6"/>
    </row>
    <row r="624" spans="1:21">
      <c r="A624" s="82"/>
      <c r="B624" s="83"/>
      <c r="C624" s="82"/>
      <c r="D624" s="82"/>
      <c r="E624" s="82"/>
      <c r="F624" s="82"/>
      <c r="G624" s="222"/>
      <c r="H624" s="222"/>
      <c r="I624" s="222"/>
      <c r="J624" s="6"/>
      <c r="K624" s="6"/>
      <c r="L624" s="6"/>
      <c r="M624" s="6"/>
      <c r="N624" s="6"/>
      <c r="O624" s="6"/>
      <c r="P624" s="6"/>
      <c r="Q624" s="6"/>
      <c r="R624" s="6"/>
      <c r="S624" s="6"/>
      <c r="T624" s="6"/>
      <c r="U624" s="6"/>
    </row>
    <row r="625" spans="1:21">
      <c r="A625" s="82"/>
      <c r="B625" s="83"/>
      <c r="C625" s="82"/>
      <c r="D625" s="82"/>
      <c r="E625" s="82"/>
      <c r="F625" s="82"/>
      <c r="G625" s="222"/>
      <c r="H625" s="222"/>
      <c r="I625" s="222"/>
      <c r="J625" s="6"/>
      <c r="K625" s="6"/>
      <c r="L625" s="6"/>
      <c r="M625" s="6"/>
      <c r="N625" s="6"/>
      <c r="O625" s="6"/>
      <c r="P625" s="6"/>
      <c r="Q625" s="6"/>
      <c r="R625" s="6"/>
      <c r="S625" s="6"/>
      <c r="T625" s="6"/>
      <c r="U625" s="6"/>
    </row>
    <row r="626" spans="1:21">
      <c r="A626" s="82"/>
      <c r="B626" s="83"/>
      <c r="C626" s="82"/>
      <c r="D626" s="82"/>
      <c r="E626" s="82"/>
      <c r="F626" s="82"/>
      <c r="G626" s="222"/>
      <c r="H626" s="222"/>
      <c r="I626" s="222"/>
      <c r="J626" s="6"/>
      <c r="K626" s="6"/>
      <c r="L626" s="6"/>
      <c r="M626" s="6"/>
      <c r="N626" s="6"/>
      <c r="O626" s="6"/>
      <c r="P626" s="6"/>
      <c r="Q626" s="6"/>
      <c r="R626" s="6"/>
      <c r="S626" s="6"/>
      <c r="T626" s="6"/>
      <c r="U626" s="6"/>
    </row>
    <row r="627" spans="1:21">
      <c r="A627" s="82"/>
      <c r="B627" s="83"/>
      <c r="C627" s="82"/>
      <c r="D627" s="82"/>
      <c r="E627" s="82"/>
      <c r="F627" s="82"/>
      <c r="G627" s="222"/>
      <c r="H627" s="222"/>
      <c r="I627" s="222"/>
      <c r="J627" s="6"/>
      <c r="K627" s="6"/>
      <c r="L627" s="6"/>
      <c r="M627" s="6"/>
      <c r="N627" s="6"/>
      <c r="O627" s="6"/>
      <c r="P627" s="6"/>
      <c r="Q627" s="6"/>
      <c r="R627" s="6"/>
      <c r="S627" s="6"/>
      <c r="T627" s="6"/>
      <c r="U627" s="6"/>
    </row>
    <row r="628" spans="1:21">
      <c r="A628" s="82"/>
      <c r="B628" s="83"/>
      <c r="C628" s="82"/>
      <c r="D628" s="82"/>
      <c r="E628" s="82"/>
      <c r="F628" s="82"/>
      <c r="G628" s="222"/>
      <c r="H628" s="222"/>
      <c r="I628" s="222"/>
      <c r="J628" s="6"/>
      <c r="K628" s="6"/>
      <c r="L628" s="6"/>
      <c r="M628" s="6"/>
      <c r="N628" s="6"/>
      <c r="O628" s="6"/>
      <c r="P628" s="6"/>
      <c r="Q628" s="6"/>
      <c r="R628" s="6"/>
      <c r="S628" s="6"/>
      <c r="T628" s="6"/>
      <c r="U628" s="6"/>
    </row>
    <row r="629" spans="1:21">
      <c r="A629" s="82"/>
      <c r="B629" s="83"/>
      <c r="C629" s="82"/>
      <c r="D629" s="82"/>
      <c r="E629" s="82"/>
      <c r="F629" s="82"/>
      <c r="G629" s="222"/>
      <c r="H629" s="222"/>
      <c r="I629" s="222"/>
      <c r="J629" s="6"/>
      <c r="K629" s="6"/>
      <c r="L629" s="6"/>
      <c r="M629" s="6"/>
      <c r="N629" s="6"/>
      <c r="O629" s="6"/>
      <c r="P629" s="6"/>
      <c r="Q629" s="6"/>
      <c r="R629" s="6"/>
      <c r="S629" s="6"/>
      <c r="T629" s="6"/>
      <c r="U629" s="6"/>
    </row>
    <row r="630" spans="1:21">
      <c r="A630" s="82"/>
      <c r="B630" s="83"/>
      <c r="C630" s="82"/>
      <c r="D630" s="82"/>
      <c r="E630" s="82"/>
      <c r="F630" s="82"/>
      <c r="G630" s="222"/>
      <c r="H630" s="222"/>
      <c r="I630" s="222"/>
      <c r="J630" s="6"/>
      <c r="K630" s="6"/>
      <c r="L630" s="6"/>
      <c r="M630" s="6"/>
      <c r="N630" s="6"/>
      <c r="O630" s="6"/>
      <c r="P630" s="6"/>
      <c r="Q630" s="6"/>
      <c r="R630" s="6"/>
      <c r="S630" s="6"/>
      <c r="T630" s="6"/>
      <c r="U630" s="6"/>
    </row>
    <row r="631" spans="1:21">
      <c r="A631" s="82"/>
      <c r="B631" s="83"/>
      <c r="C631" s="82"/>
      <c r="D631" s="82"/>
      <c r="E631" s="82"/>
      <c r="F631" s="82"/>
      <c r="G631" s="222"/>
      <c r="H631" s="222"/>
      <c r="I631" s="222"/>
      <c r="J631" s="6"/>
      <c r="K631" s="6"/>
      <c r="L631" s="6"/>
      <c r="M631" s="6"/>
      <c r="N631" s="6"/>
      <c r="O631" s="6"/>
      <c r="P631" s="6"/>
      <c r="Q631" s="6"/>
      <c r="R631" s="6"/>
      <c r="S631" s="6"/>
      <c r="T631" s="6"/>
      <c r="U631" s="6"/>
    </row>
    <row r="632" spans="1:21">
      <c r="A632" s="82"/>
      <c r="B632" s="83"/>
      <c r="C632" s="82"/>
      <c r="D632" s="82"/>
      <c r="E632" s="82"/>
      <c r="F632" s="82"/>
      <c r="G632" s="222"/>
      <c r="H632" s="222"/>
      <c r="I632" s="222"/>
      <c r="J632" s="6"/>
      <c r="K632" s="6"/>
      <c r="L632" s="6"/>
      <c r="M632" s="6"/>
      <c r="N632" s="6"/>
      <c r="O632" s="6"/>
      <c r="P632" s="6"/>
      <c r="Q632" s="6"/>
      <c r="R632" s="6"/>
      <c r="S632" s="6"/>
      <c r="T632" s="6"/>
      <c r="U632" s="6"/>
    </row>
    <row r="633" spans="1:21">
      <c r="A633" s="82"/>
      <c r="B633" s="83"/>
      <c r="C633" s="82"/>
      <c r="D633" s="82"/>
      <c r="E633" s="82"/>
      <c r="F633" s="82"/>
      <c r="G633" s="222"/>
      <c r="H633" s="222"/>
      <c r="I633" s="222"/>
      <c r="J633" s="6"/>
      <c r="K633" s="6"/>
      <c r="L633" s="6"/>
      <c r="M633" s="6"/>
      <c r="N633" s="6"/>
      <c r="O633" s="6"/>
      <c r="P633" s="6"/>
      <c r="Q633" s="6"/>
      <c r="R633" s="6"/>
      <c r="S633" s="6"/>
      <c r="T633" s="6"/>
      <c r="U633" s="6"/>
    </row>
    <row r="634" spans="1:21">
      <c r="A634" s="82"/>
      <c r="B634" s="83"/>
      <c r="C634" s="82"/>
      <c r="D634" s="82"/>
      <c r="E634" s="82"/>
      <c r="F634" s="82"/>
      <c r="G634" s="222"/>
      <c r="H634" s="222"/>
      <c r="I634" s="222"/>
      <c r="J634" s="6"/>
      <c r="K634" s="6"/>
      <c r="L634" s="6"/>
      <c r="M634" s="6"/>
      <c r="N634" s="6"/>
      <c r="O634" s="6"/>
      <c r="P634" s="6"/>
      <c r="Q634" s="6"/>
      <c r="R634" s="6"/>
      <c r="S634" s="6"/>
      <c r="T634" s="6"/>
      <c r="U634" s="6"/>
    </row>
    <row r="635" spans="1:21">
      <c r="A635" s="82"/>
      <c r="B635" s="83"/>
      <c r="C635" s="82"/>
      <c r="D635" s="82"/>
      <c r="E635" s="82"/>
      <c r="F635" s="82"/>
      <c r="G635" s="222"/>
      <c r="H635" s="222"/>
      <c r="I635" s="222"/>
      <c r="J635" s="6"/>
      <c r="K635" s="6"/>
      <c r="L635" s="6"/>
      <c r="M635" s="6"/>
      <c r="N635" s="6"/>
      <c r="O635" s="6"/>
      <c r="P635" s="6"/>
      <c r="Q635" s="6"/>
      <c r="R635" s="6"/>
      <c r="S635" s="6"/>
      <c r="T635" s="6"/>
      <c r="U635" s="6"/>
    </row>
    <row r="636" spans="1:21">
      <c r="A636" s="82"/>
      <c r="B636" s="83"/>
      <c r="C636" s="82"/>
      <c r="D636" s="82"/>
      <c r="E636" s="82"/>
      <c r="F636" s="82"/>
      <c r="G636" s="222"/>
      <c r="H636" s="222"/>
      <c r="I636" s="222"/>
      <c r="J636" s="6"/>
      <c r="K636" s="6"/>
      <c r="L636" s="6"/>
      <c r="M636" s="6"/>
      <c r="N636" s="6"/>
      <c r="O636" s="6"/>
      <c r="P636" s="6"/>
      <c r="Q636" s="6"/>
      <c r="R636" s="6"/>
      <c r="S636" s="6"/>
      <c r="T636" s="6"/>
      <c r="U636" s="6"/>
    </row>
    <row r="637" spans="1:21">
      <c r="A637" s="82"/>
      <c r="B637" s="83"/>
      <c r="C637" s="82"/>
      <c r="D637" s="82"/>
      <c r="E637" s="82"/>
      <c r="F637" s="82"/>
      <c r="G637" s="222"/>
      <c r="H637" s="222"/>
      <c r="I637" s="222"/>
      <c r="J637" s="6"/>
      <c r="K637" s="6"/>
      <c r="L637" s="6"/>
      <c r="M637" s="6"/>
      <c r="N637" s="6"/>
      <c r="O637" s="6"/>
      <c r="P637" s="6"/>
      <c r="Q637" s="6"/>
      <c r="R637" s="6"/>
      <c r="S637" s="6"/>
      <c r="T637" s="6"/>
      <c r="U637" s="6"/>
    </row>
    <row r="638" spans="1:21">
      <c r="A638" s="82"/>
      <c r="B638" s="83"/>
      <c r="C638" s="82"/>
      <c r="D638" s="82"/>
      <c r="E638" s="82"/>
      <c r="F638" s="82"/>
      <c r="G638" s="222"/>
      <c r="H638" s="222"/>
      <c r="I638" s="222"/>
      <c r="J638" s="6"/>
      <c r="K638" s="6"/>
      <c r="L638" s="6"/>
      <c r="M638" s="6"/>
      <c r="N638" s="6"/>
      <c r="O638" s="6"/>
      <c r="P638" s="6"/>
      <c r="Q638" s="6"/>
      <c r="R638" s="6"/>
      <c r="S638" s="6"/>
      <c r="T638" s="6"/>
      <c r="U638" s="6"/>
    </row>
    <row r="639" spans="1:21">
      <c r="A639" s="82"/>
      <c r="B639" s="83"/>
      <c r="C639" s="82"/>
      <c r="D639" s="82"/>
      <c r="E639" s="82"/>
      <c r="F639" s="82"/>
      <c r="G639" s="222"/>
      <c r="H639" s="222"/>
      <c r="I639" s="222"/>
      <c r="J639" s="6"/>
      <c r="K639" s="6"/>
      <c r="L639" s="6"/>
      <c r="M639" s="6"/>
      <c r="N639" s="6"/>
      <c r="O639" s="6"/>
      <c r="P639" s="6"/>
      <c r="Q639" s="6"/>
      <c r="R639" s="6"/>
      <c r="S639" s="6"/>
      <c r="T639" s="6"/>
      <c r="U639" s="6"/>
    </row>
    <row r="640" spans="1:21">
      <c r="A640" s="82"/>
      <c r="B640" s="83"/>
      <c r="C640" s="82"/>
      <c r="D640" s="82"/>
      <c r="E640" s="82"/>
      <c r="F640" s="82"/>
      <c r="G640" s="222"/>
      <c r="H640" s="222"/>
      <c r="I640" s="222"/>
      <c r="J640" s="6"/>
      <c r="K640" s="6"/>
      <c r="L640" s="6"/>
      <c r="M640" s="6"/>
      <c r="N640" s="6"/>
      <c r="O640" s="6"/>
      <c r="P640" s="6"/>
      <c r="Q640" s="6"/>
      <c r="R640" s="6"/>
      <c r="S640" s="6"/>
      <c r="T640" s="6"/>
      <c r="U640" s="6"/>
    </row>
    <row r="641" spans="1:21">
      <c r="A641" s="82"/>
      <c r="B641" s="83"/>
      <c r="C641" s="82"/>
      <c r="D641" s="82"/>
      <c r="E641" s="82"/>
      <c r="F641" s="82"/>
      <c r="G641" s="222"/>
      <c r="H641" s="222"/>
      <c r="I641" s="222"/>
      <c r="J641" s="6"/>
      <c r="K641" s="6"/>
      <c r="L641" s="6"/>
      <c r="M641" s="6"/>
      <c r="N641" s="6"/>
      <c r="O641" s="6"/>
      <c r="P641" s="6"/>
      <c r="Q641" s="6"/>
      <c r="R641" s="6"/>
      <c r="S641" s="6"/>
      <c r="T641" s="6"/>
      <c r="U641" s="6"/>
    </row>
    <row r="642" spans="1:21">
      <c r="A642" s="82"/>
      <c r="B642" s="83"/>
      <c r="C642" s="82"/>
      <c r="D642" s="82"/>
      <c r="E642" s="82"/>
      <c r="F642" s="82"/>
      <c r="G642" s="222"/>
      <c r="H642" s="222"/>
      <c r="I642" s="222"/>
      <c r="J642" s="6"/>
      <c r="K642" s="6"/>
      <c r="L642" s="6"/>
      <c r="M642" s="6"/>
      <c r="N642" s="6"/>
      <c r="O642" s="6"/>
      <c r="P642" s="6"/>
      <c r="Q642" s="6"/>
      <c r="R642" s="6"/>
      <c r="S642" s="6"/>
      <c r="T642" s="6"/>
      <c r="U642" s="6"/>
    </row>
    <row r="643" spans="1:21">
      <c r="A643" s="82"/>
      <c r="B643" s="83"/>
      <c r="C643" s="82"/>
      <c r="D643" s="82"/>
      <c r="E643" s="82"/>
      <c r="F643" s="82"/>
      <c r="G643" s="222"/>
      <c r="H643" s="222"/>
      <c r="I643" s="222"/>
      <c r="J643" s="6"/>
      <c r="K643" s="6"/>
      <c r="L643" s="6"/>
      <c r="M643" s="6"/>
      <c r="N643" s="6"/>
      <c r="O643" s="6"/>
      <c r="P643" s="6"/>
      <c r="Q643" s="6"/>
      <c r="R643" s="6"/>
      <c r="S643" s="6"/>
      <c r="T643" s="6"/>
      <c r="U643" s="6"/>
    </row>
    <row r="644" spans="1:21">
      <c r="A644" s="82"/>
      <c r="B644" s="83"/>
      <c r="C644" s="82"/>
      <c r="D644" s="82"/>
      <c r="E644" s="82"/>
      <c r="F644" s="82"/>
      <c r="G644" s="222"/>
      <c r="H644" s="222"/>
      <c r="I644" s="222"/>
      <c r="J644" s="6"/>
      <c r="K644" s="6"/>
      <c r="L644" s="6"/>
      <c r="M644" s="6"/>
      <c r="N644" s="6"/>
      <c r="O644" s="6"/>
      <c r="P644" s="6"/>
      <c r="Q644" s="6"/>
      <c r="R644" s="6"/>
      <c r="S644" s="6"/>
      <c r="T644" s="6"/>
      <c r="U644" s="6"/>
    </row>
    <row r="645" spans="1:21">
      <c r="A645" s="82"/>
      <c r="B645" s="83"/>
      <c r="C645" s="82"/>
      <c r="D645" s="82"/>
      <c r="E645" s="82"/>
      <c r="F645" s="82"/>
      <c r="G645" s="222"/>
      <c r="H645" s="222"/>
      <c r="I645" s="222"/>
      <c r="J645" s="6"/>
      <c r="K645" s="6"/>
      <c r="L645" s="6"/>
      <c r="M645" s="6"/>
      <c r="N645" s="6"/>
      <c r="O645" s="6"/>
      <c r="P645" s="6"/>
      <c r="Q645" s="6"/>
      <c r="R645" s="6"/>
      <c r="S645" s="6"/>
      <c r="T645" s="6"/>
      <c r="U645" s="6"/>
    </row>
    <row r="646" spans="1:21">
      <c r="A646" s="82"/>
      <c r="B646" s="83"/>
      <c r="C646" s="82"/>
      <c r="D646" s="82"/>
      <c r="E646" s="82"/>
      <c r="F646" s="82"/>
      <c r="G646" s="222"/>
      <c r="H646" s="222"/>
      <c r="I646" s="222"/>
      <c r="J646" s="6"/>
      <c r="K646" s="6"/>
      <c r="L646" s="6"/>
      <c r="M646" s="6"/>
      <c r="N646" s="6"/>
      <c r="O646" s="6"/>
      <c r="P646" s="6"/>
      <c r="Q646" s="6"/>
      <c r="R646" s="6"/>
      <c r="S646" s="6"/>
      <c r="T646" s="6"/>
      <c r="U646" s="6"/>
    </row>
    <row r="647" spans="1:21">
      <c r="A647" s="82"/>
      <c r="B647" s="83"/>
      <c r="C647" s="82"/>
      <c r="D647" s="82"/>
      <c r="E647" s="82"/>
      <c r="F647" s="82"/>
      <c r="G647" s="222"/>
      <c r="H647" s="222"/>
      <c r="I647" s="222"/>
      <c r="J647" s="6"/>
      <c r="K647" s="6"/>
      <c r="L647" s="6"/>
      <c r="M647" s="6"/>
      <c r="N647" s="6"/>
      <c r="O647" s="6"/>
      <c r="P647" s="6"/>
      <c r="Q647" s="6"/>
      <c r="R647" s="6"/>
      <c r="S647" s="6"/>
      <c r="T647" s="6"/>
      <c r="U647" s="6"/>
    </row>
    <row r="648" spans="1:21">
      <c r="A648" s="82"/>
      <c r="B648" s="83"/>
      <c r="C648" s="82"/>
      <c r="D648" s="82"/>
      <c r="E648" s="82"/>
      <c r="F648" s="82"/>
      <c r="G648" s="222"/>
      <c r="H648" s="222"/>
      <c r="I648" s="222"/>
      <c r="J648" s="6"/>
      <c r="K648" s="6"/>
      <c r="L648" s="6"/>
      <c r="M648" s="6"/>
      <c r="N648" s="6"/>
      <c r="O648" s="6"/>
      <c r="P648" s="6"/>
      <c r="Q648" s="6"/>
      <c r="R648" s="6"/>
      <c r="S648" s="6"/>
      <c r="T648" s="6"/>
      <c r="U648" s="6"/>
    </row>
    <row r="649" spans="1:21">
      <c r="A649" s="82"/>
      <c r="B649" s="83"/>
      <c r="C649" s="82"/>
      <c r="D649" s="82"/>
      <c r="E649" s="82"/>
      <c r="F649" s="82"/>
      <c r="G649" s="222"/>
      <c r="H649" s="222"/>
      <c r="I649" s="222"/>
      <c r="J649" s="6"/>
      <c r="K649" s="6"/>
      <c r="L649" s="6"/>
      <c r="M649" s="6"/>
      <c r="N649" s="6"/>
      <c r="O649" s="6"/>
      <c r="P649" s="6"/>
      <c r="Q649" s="6"/>
      <c r="R649" s="6"/>
      <c r="S649" s="6"/>
      <c r="T649" s="6"/>
      <c r="U649" s="6"/>
    </row>
    <row r="650" spans="1:21">
      <c r="A650" s="82"/>
      <c r="B650" s="83"/>
      <c r="C650" s="82"/>
      <c r="D650" s="82"/>
      <c r="E650" s="82"/>
      <c r="F650" s="82"/>
      <c r="G650" s="222"/>
      <c r="H650" s="222"/>
      <c r="I650" s="222"/>
      <c r="J650" s="6"/>
      <c r="K650" s="6"/>
      <c r="L650" s="6"/>
      <c r="M650" s="6"/>
      <c r="N650" s="6"/>
      <c r="O650" s="6"/>
      <c r="P650" s="6"/>
      <c r="Q650" s="6"/>
      <c r="R650" s="6"/>
      <c r="S650" s="6"/>
      <c r="T650" s="6"/>
      <c r="U650" s="6"/>
    </row>
    <row r="651" spans="1:21">
      <c r="A651" s="82"/>
      <c r="B651" s="83"/>
      <c r="C651" s="82"/>
      <c r="D651" s="82"/>
      <c r="E651" s="82"/>
      <c r="F651" s="82"/>
      <c r="G651" s="222"/>
      <c r="H651" s="222"/>
      <c r="I651" s="222"/>
      <c r="J651" s="6"/>
      <c r="K651" s="6"/>
      <c r="L651" s="6"/>
      <c r="M651" s="6"/>
      <c r="N651" s="6"/>
      <c r="O651" s="6"/>
      <c r="P651" s="6"/>
      <c r="Q651" s="6"/>
      <c r="R651" s="6"/>
      <c r="S651" s="6"/>
      <c r="T651" s="6"/>
      <c r="U651" s="6"/>
    </row>
    <row r="652" spans="1:21">
      <c r="A652" s="82"/>
      <c r="B652" s="83"/>
      <c r="C652" s="82"/>
      <c r="D652" s="82"/>
      <c r="E652" s="82"/>
      <c r="F652" s="82"/>
      <c r="G652" s="222"/>
      <c r="H652" s="222"/>
      <c r="I652" s="222"/>
      <c r="J652" s="6"/>
      <c r="K652" s="6"/>
      <c r="L652" s="6"/>
      <c r="M652" s="6"/>
      <c r="N652" s="6"/>
      <c r="O652" s="6"/>
      <c r="P652" s="6"/>
      <c r="Q652" s="6"/>
      <c r="R652" s="6"/>
      <c r="S652" s="6"/>
      <c r="T652" s="6"/>
      <c r="U652" s="6"/>
    </row>
    <row r="653" spans="1:21">
      <c r="A653" s="82"/>
      <c r="B653" s="83"/>
      <c r="C653" s="82"/>
      <c r="D653" s="82"/>
      <c r="E653" s="82"/>
      <c r="F653" s="82"/>
      <c r="G653" s="222"/>
      <c r="H653" s="222"/>
      <c r="I653" s="222"/>
      <c r="J653" s="6"/>
      <c r="K653" s="6"/>
      <c r="L653" s="6"/>
      <c r="M653" s="6"/>
      <c r="N653" s="6"/>
      <c r="O653" s="6"/>
      <c r="P653" s="6"/>
      <c r="Q653" s="6"/>
      <c r="R653" s="6"/>
      <c r="S653" s="6"/>
      <c r="T653" s="6"/>
      <c r="U653" s="6"/>
    </row>
    <row r="654" spans="1:21">
      <c r="A654" s="82"/>
      <c r="B654" s="83"/>
      <c r="C654" s="82"/>
      <c r="D654" s="82"/>
      <c r="E654" s="82"/>
      <c r="F654" s="82"/>
      <c r="G654" s="222"/>
      <c r="H654" s="222"/>
      <c r="I654" s="222"/>
      <c r="J654" s="6"/>
      <c r="K654" s="6"/>
      <c r="L654" s="6"/>
      <c r="M654" s="6"/>
      <c r="N654" s="6"/>
      <c r="O654" s="6"/>
      <c r="P654" s="6"/>
      <c r="Q654" s="6"/>
      <c r="R654" s="6"/>
      <c r="S654" s="6"/>
      <c r="T654" s="6"/>
      <c r="U654" s="6"/>
    </row>
    <row r="655" spans="1:21">
      <c r="A655" s="82"/>
      <c r="B655" s="83"/>
      <c r="C655" s="82"/>
      <c r="D655" s="82"/>
      <c r="E655" s="82"/>
      <c r="F655" s="82"/>
      <c r="G655" s="222"/>
      <c r="H655" s="222"/>
      <c r="I655" s="222"/>
      <c r="J655" s="6"/>
      <c r="K655" s="6"/>
      <c r="L655" s="6"/>
      <c r="M655" s="6"/>
      <c r="N655" s="6"/>
      <c r="O655" s="6"/>
      <c r="P655" s="6"/>
      <c r="Q655" s="6"/>
      <c r="R655" s="6"/>
      <c r="S655" s="6"/>
      <c r="T655" s="6"/>
      <c r="U655" s="6"/>
    </row>
    <row r="656" spans="1:21">
      <c r="A656" s="82"/>
      <c r="B656" s="83"/>
      <c r="C656" s="82"/>
      <c r="D656" s="82"/>
      <c r="E656" s="82"/>
      <c r="F656" s="82"/>
      <c r="G656" s="222"/>
      <c r="H656" s="222"/>
      <c r="I656" s="222"/>
      <c r="J656" s="6"/>
      <c r="K656" s="6"/>
      <c r="L656" s="6"/>
      <c r="M656" s="6"/>
      <c r="N656" s="6"/>
      <c r="O656" s="6"/>
      <c r="P656" s="6"/>
      <c r="Q656" s="6"/>
      <c r="R656" s="6"/>
      <c r="S656" s="6"/>
      <c r="T656" s="6"/>
      <c r="U656" s="6"/>
    </row>
    <row r="657" spans="1:21">
      <c r="A657" s="82"/>
      <c r="B657" s="83"/>
      <c r="C657" s="82"/>
      <c r="D657" s="82"/>
      <c r="E657" s="82"/>
      <c r="F657" s="82"/>
      <c r="G657" s="222"/>
      <c r="H657" s="222"/>
      <c r="I657" s="222"/>
      <c r="J657" s="6"/>
      <c r="K657" s="6"/>
      <c r="L657" s="6"/>
      <c r="M657" s="6"/>
      <c r="N657" s="6"/>
      <c r="O657" s="6"/>
      <c r="P657" s="6"/>
      <c r="Q657" s="6"/>
      <c r="R657" s="6"/>
      <c r="S657" s="6"/>
      <c r="T657" s="6"/>
      <c r="U657" s="6"/>
    </row>
    <row r="658" spans="1:21">
      <c r="A658" s="82"/>
      <c r="B658" s="83"/>
      <c r="C658" s="82"/>
      <c r="D658" s="82"/>
      <c r="E658" s="82"/>
      <c r="F658" s="82"/>
      <c r="G658" s="222"/>
      <c r="H658" s="222"/>
      <c r="I658" s="222"/>
      <c r="J658" s="6"/>
      <c r="K658" s="6"/>
      <c r="L658" s="6"/>
      <c r="M658" s="6"/>
      <c r="N658" s="6"/>
      <c r="O658" s="6"/>
      <c r="P658" s="6"/>
      <c r="Q658" s="6"/>
      <c r="R658" s="6"/>
      <c r="S658" s="6"/>
      <c r="T658" s="6"/>
      <c r="U658" s="6"/>
    </row>
    <row r="659" spans="1:21">
      <c r="A659" s="82"/>
      <c r="B659" s="83"/>
      <c r="C659" s="82"/>
      <c r="D659" s="82"/>
      <c r="E659" s="82"/>
      <c r="F659" s="82"/>
      <c r="G659" s="222"/>
      <c r="H659" s="222"/>
      <c r="I659" s="222"/>
      <c r="J659" s="6"/>
      <c r="K659" s="6"/>
      <c r="L659" s="6"/>
      <c r="M659" s="6"/>
      <c r="N659" s="6"/>
      <c r="O659" s="6"/>
      <c r="P659" s="6"/>
      <c r="Q659" s="6"/>
      <c r="R659" s="6"/>
      <c r="S659" s="6"/>
      <c r="T659" s="6"/>
      <c r="U659" s="6"/>
    </row>
    <row r="660" spans="1:21">
      <c r="A660" s="82"/>
      <c r="B660" s="83"/>
      <c r="C660" s="82"/>
      <c r="D660" s="82"/>
      <c r="E660" s="82"/>
      <c r="F660" s="82"/>
      <c r="G660" s="222"/>
      <c r="H660" s="222"/>
      <c r="I660" s="222"/>
      <c r="J660" s="6"/>
      <c r="K660" s="6"/>
      <c r="L660" s="6"/>
      <c r="M660" s="6"/>
      <c r="N660" s="6"/>
      <c r="O660" s="6"/>
      <c r="P660" s="6"/>
      <c r="Q660" s="6"/>
      <c r="R660" s="6"/>
      <c r="S660" s="6"/>
      <c r="T660" s="6"/>
      <c r="U660" s="6"/>
    </row>
    <row r="661" spans="1:21">
      <c r="A661" s="82"/>
      <c r="B661" s="83"/>
      <c r="C661" s="82"/>
      <c r="D661" s="82"/>
      <c r="E661" s="82"/>
      <c r="F661" s="82"/>
      <c r="G661" s="222"/>
      <c r="H661" s="222"/>
      <c r="I661" s="222"/>
      <c r="J661" s="6"/>
      <c r="K661" s="6"/>
      <c r="L661" s="6"/>
      <c r="M661" s="6"/>
      <c r="N661" s="6"/>
      <c r="O661" s="6"/>
      <c r="P661" s="6"/>
      <c r="Q661" s="6"/>
      <c r="R661" s="6"/>
      <c r="S661" s="6"/>
      <c r="T661" s="6"/>
      <c r="U661" s="6"/>
    </row>
    <row r="662" spans="1:21">
      <c r="A662" s="82"/>
      <c r="B662" s="83"/>
      <c r="C662" s="82"/>
      <c r="D662" s="82"/>
      <c r="E662" s="82"/>
      <c r="F662" s="82"/>
      <c r="G662" s="222"/>
      <c r="H662" s="222"/>
      <c r="I662" s="222"/>
      <c r="J662" s="6"/>
      <c r="K662" s="6"/>
      <c r="L662" s="6"/>
      <c r="M662" s="6"/>
      <c r="N662" s="6"/>
      <c r="O662" s="6"/>
      <c r="P662" s="6"/>
      <c r="Q662" s="6"/>
      <c r="R662" s="6"/>
      <c r="S662" s="6"/>
      <c r="T662" s="6"/>
      <c r="U662" s="6"/>
    </row>
    <row r="663" spans="1:21">
      <c r="A663" s="82"/>
      <c r="B663" s="83"/>
      <c r="C663" s="82"/>
      <c r="D663" s="82"/>
      <c r="E663" s="82"/>
      <c r="F663" s="82"/>
      <c r="G663" s="222"/>
      <c r="H663" s="222"/>
      <c r="I663" s="222"/>
      <c r="J663" s="6"/>
      <c r="K663" s="6"/>
      <c r="L663" s="6"/>
      <c r="M663" s="6"/>
      <c r="N663" s="6"/>
      <c r="O663" s="6"/>
      <c r="P663" s="6"/>
      <c r="Q663" s="6"/>
      <c r="R663" s="6"/>
      <c r="S663" s="6"/>
      <c r="T663" s="6"/>
      <c r="U663" s="6"/>
    </row>
    <row r="664" spans="1:21">
      <c r="A664" s="82"/>
      <c r="B664" s="83"/>
      <c r="C664" s="82"/>
      <c r="D664" s="82"/>
      <c r="E664" s="82"/>
      <c r="F664" s="82"/>
      <c r="G664" s="222"/>
      <c r="H664" s="222"/>
      <c r="I664" s="222"/>
      <c r="J664" s="6"/>
      <c r="K664" s="6"/>
      <c r="L664" s="6"/>
      <c r="M664" s="6"/>
      <c r="N664" s="6"/>
      <c r="O664" s="6"/>
      <c r="P664" s="6"/>
      <c r="Q664" s="6"/>
      <c r="R664" s="6"/>
      <c r="S664" s="6"/>
      <c r="T664" s="6"/>
      <c r="U664" s="6"/>
    </row>
    <row r="665" spans="1:21">
      <c r="A665" s="82"/>
      <c r="B665" s="83"/>
      <c r="C665" s="82"/>
      <c r="D665" s="82"/>
      <c r="E665" s="82"/>
      <c r="F665" s="82"/>
      <c r="G665" s="222"/>
      <c r="H665" s="222"/>
      <c r="I665" s="222"/>
      <c r="J665" s="6"/>
      <c r="K665" s="6"/>
      <c r="L665" s="6"/>
      <c r="M665" s="6"/>
      <c r="N665" s="6"/>
      <c r="O665" s="6"/>
      <c r="P665" s="6"/>
      <c r="Q665" s="6"/>
      <c r="R665" s="6"/>
      <c r="S665" s="6"/>
      <c r="T665" s="6"/>
      <c r="U665" s="6"/>
    </row>
    <row r="666" spans="1:21">
      <c r="A666" s="82"/>
      <c r="B666" s="83"/>
      <c r="C666" s="82"/>
      <c r="D666" s="82"/>
      <c r="E666" s="82"/>
      <c r="F666" s="82"/>
      <c r="G666" s="222"/>
      <c r="H666" s="222"/>
      <c r="I666" s="222"/>
      <c r="J666" s="6"/>
      <c r="K666" s="6"/>
      <c r="L666" s="6"/>
      <c r="M666" s="6"/>
      <c r="N666" s="6"/>
      <c r="O666" s="6"/>
      <c r="P666" s="6"/>
      <c r="Q666" s="6"/>
      <c r="R666" s="6"/>
      <c r="S666" s="6"/>
      <c r="T666" s="6"/>
      <c r="U666" s="6"/>
    </row>
    <row r="667" spans="1:21">
      <c r="A667" s="82"/>
      <c r="B667" s="83"/>
      <c r="C667" s="82"/>
      <c r="D667" s="82"/>
      <c r="E667" s="82"/>
      <c r="F667" s="82"/>
      <c r="G667" s="222"/>
      <c r="H667" s="222"/>
      <c r="I667" s="222"/>
      <c r="J667" s="6"/>
      <c r="K667" s="6"/>
      <c r="L667" s="6"/>
      <c r="M667" s="6"/>
      <c r="N667" s="6"/>
      <c r="O667" s="6"/>
      <c r="P667" s="6"/>
      <c r="Q667" s="6"/>
      <c r="R667" s="6"/>
      <c r="S667" s="6"/>
      <c r="T667" s="6"/>
      <c r="U667" s="6"/>
    </row>
    <row r="668" spans="1:21">
      <c r="A668" s="82"/>
      <c r="B668" s="83"/>
      <c r="C668" s="82"/>
      <c r="D668" s="82"/>
      <c r="E668" s="82"/>
      <c r="F668" s="82"/>
      <c r="G668" s="222"/>
      <c r="H668" s="222"/>
      <c r="I668" s="222"/>
      <c r="J668" s="6"/>
      <c r="K668" s="6"/>
      <c r="L668" s="6"/>
      <c r="M668" s="6"/>
      <c r="N668" s="6"/>
      <c r="O668" s="6"/>
      <c r="P668" s="6"/>
      <c r="Q668" s="6"/>
      <c r="R668" s="6"/>
      <c r="S668" s="6"/>
      <c r="T668" s="6"/>
      <c r="U668" s="6"/>
    </row>
    <row r="669" spans="1:21">
      <c r="A669" s="82"/>
      <c r="B669" s="83"/>
      <c r="C669" s="82"/>
      <c r="D669" s="82"/>
      <c r="E669" s="82"/>
      <c r="F669" s="82"/>
      <c r="G669" s="222"/>
      <c r="H669" s="222"/>
      <c r="I669" s="222"/>
      <c r="J669" s="6"/>
      <c r="K669" s="6"/>
      <c r="L669" s="6"/>
      <c r="M669" s="6"/>
      <c r="N669" s="6"/>
      <c r="O669" s="6"/>
      <c r="P669" s="6"/>
      <c r="Q669" s="6"/>
      <c r="R669" s="6"/>
      <c r="S669" s="6"/>
      <c r="T669" s="6"/>
      <c r="U669" s="6"/>
    </row>
    <row r="670" spans="1:21">
      <c r="A670" s="82"/>
      <c r="B670" s="83"/>
      <c r="C670" s="82"/>
      <c r="D670" s="82"/>
      <c r="E670" s="82"/>
      <c r="F670" s="82"/>
      <c r="G670" s="222"/>
      <c r="H670" s="222"/>
      <c r="I670" s="222"/>
      <c r="J670" s="6"/>
      <c r="K670" s="6"/>
      <c r="L670" s="6"/>
      <c r="M670" s="6"/>
      <c r="N670" s="6"/>
      <c r="O670" s="6"/>
      <c r="P670" s="6"/>
      <c r="Q670" s="6"/>
      <c r="R670" s="6"/>
      <c r="S670" s="6"/>
      <c r="T670" s="6"/>
      <c r="U670" s="6"/>
    </row>
    <row r="671" spans="1:21">
      <c r="A671" s="82"/>
      <c r="B671" s="83"/>
      <c r="C671" s="82"/>
      <c r="D671" s="82"/>
      <c r="E671" s="82"/>
      <c r="F671" s="82"/>
      <c r="G671" s="222"/>
      <c r="H671" s="222"/>
      <c r="I671" s="222"/>
      <c r="J671" s="6"/>
      <c r="K671" s="6"/>
      <c r="L671" s="6"/>
      <c r="M671" s="6"/>
      <c r="N671" s="6"/>
      <c r="O671" s="6"/>
      <c r="P671" s="6"/>
      <c r="Q671" s="6"/>
      <c r="R671" s="6"/>
      <c r="S671" s="6"/>
      <c r="T671" s="6"/>
      <c r="U671" s="6"/>
    </row>
    <row r="672" spans="1:21">
      <c r="A672" s="82"/>
      <c r="B672" s="83"/>
      <c r="C672" s="82"/>
      <c r="D672" s="82"/>
      <c r="E672" s="82"/>
      <c r="F672" s="82"/>
      <c r="G672" s="222"/>
      <c r="H672" s="222"/>
      <c r="I672" s="222"/>
      <c r="J672" s="6"/>
      <c r="K672" s="6"/>
      <c r="L672" s="6"/>
      <c r="M672" s="6"/>
      <c r="N672" s="6"/>
      <c r="O672" s="6"/>
      <c r="P672" s="6"/>
      <c r="Q672" s="6"/>
      <c r="R672" s="6"/>
      <c r="S672" s="6"/>
      <c r="T672" s="6"/>
      <c r="U672" s="6"/>
    </row>
    <row r="673" spans="1:21">
      <c r="A673" s="82"/>
      <c r="B673" s="83"/>
      <c r="C673" s="82"/>
      <c r="D673" s="82"/>
      <c r="E673" s="82"/>
      <c r="F673" s="82"/>
      <c r="G673" s="222"/>
      <c r="H673" s="222"/>
      <c r="I673" s="222"/>
      <c r="J673" s="6"/>
      <c r="K673" s="6"/>
      <c r="L673" s="6"/>
      <c r="M673" s="6"/>
      <c r="N673" s="6"/>
      <c r="O673" s="6"/>
      <c r="P673" s="6"/>
      <c r="Q673" s="6"/>
      <c r="R673" s="6"/>
      <c r="S673" s="6"/>
      <c r="T673" s="6"/>
      <c r="U673" s="6"/>
    </row>
    <row r="674" spans="1:21">
      <c r="A674" s="82"/>
      <c r="B674" s="83"/>
      <c r="C674" s="82"/>
      <c r="D674" s="82"/>
      <c r="E674" s="82"/>
      <c r="F674" s="82"/>
      <c r="G674" s="222"/>
      <c r="H674" s="222"/>
      <c r="I674" s="222"/>
      <c r="J674" s="6"/>
      <c r="K674" s="6"/>
      <c r="L674" s="6"/>
      <c r="M674" s="6"/>
      <c r="N674" s="6"/>
      <c r="O674" s="6"/>
      <c r="P674" s="6"/>
      <c r="Q674" s="6"/>
      <c r="R674" s="6"/>
      <c r="S674" s="6"/>
      <c r="T674" s="6"/>
      <c r="U674" s="6"/>
    </row>
    <row r="675" spans="1:21">
      <c r="A675" s="82"/>
      <c r="B675" s="83"/>
      <c r="C675" s="82"/>
      <c r="D675" s="82"/>
      <c r="E675" s="82"/>
      <c r="F675" s="82"/>
      <c r="G675" s="222"/>
      <c r="H675" s="222"/>
      <c r="I675" s="222"/>
      <c r="J675" s="6"/>
      <c r="K675" s="6"/>
      <c r="L675" s="6"/>
      <c r="M675" s="6"/>
      <c r="N675" s="6"/>
      <c r="O675" s="6"/>
      <c r="P675" s="6"/>
      <c r="Q675" s="6"/>
      <c r="R675" s="6"/>
      <c r="S675" s="6"/>
      <c r="T675" s="6"/>
      <c r="U675" s="6"/>
    </row>
    <row r="676" spans="1:21">
      <c r="A676" s="82"/>
      <c r="B676" s="83"/>
      <c r="C676" s="82"/>
      <c r="D676" s="82"/>
      <c r="E676" s="82"/>
      <c r="F676" s="82"/>
      <c r="G676" s="222"/>
      <c r="H676" s="222"/>
      <c r="I676" s="222"/>
      <c r="J676" s="6"/>
      <c r="K676" s="6"/>
      <c r="L676" s="6"/>
      <c r="M676" s="6"/>
      <c r="N676" s="6"/>
      <c r="O676" s="6"/>
      <c r="P676" s="6"/>
      <c r="Q676" s="6"/>
      <c r="R676" s="6"/>
      <c r="S676" s="6"/>
      <c r="T676" s="6"/>
      <c r="U676" s="6"/>
    </row>
    <row r="677" spans="1:21">
      <c r="A677" s="82"/>
      <c r="B677" s="83"/>
      <c r="C677" s="82"/>
      <c r="D677" s="82"/>
      <c r="E677" s="82"/>
      <c r="F677" s="82"/>
      <c r="G677" s="222"/>
      <c r="H677" s="222"/>
      <c r="I677" s="222"/>
      <c r="J677" s="6"/>
      <c r="K677" s="6"/>
      <c r="L677" s="6"/>
      <c r="M677" s="6"/>
      <c r="N677" s="6"/>
      <c r="O677" s="6"/>
      <c r="P677" s="6"/>
      <c r="Q677" s="6"/>
      <c r="R677" s="6"/>
      <c r="S677" s="6"/>
      <c r="T677" s="6"/>
      <c r="U677" s="6"/>
    </row>
    <row r="678" spans="1:21">
      <c r="A678" s="82"/>
      <c r="B678" s="83"/>
      <c r="C678" s="82"/>
      <c r="D678" s="82"/>
      <c r="E678" s="82"/>
      <c r="F678" s="82"/>
      <c r="G678" s="222"/>
      <c r="H678" s="222"/>
      <c r="I678" s="222"/>
      <c r="J678" s="6"/>
      <c r="K678" s="6"/>
      <c r="L678" s="6"/>
      <c r="M678" s="6"/>
      <c r="N678" s="6"/>
      <c r="O678" s="6"/>
      <c r="P678" s="6"/>
      <c r="Q678" s="6"/>
      <c r="R678" s="6"/>
      <c r="S678" s="6"/>
      <c r="T678" s="6"/>
      <c r="U678" s="6"/>
    </row>
    <row r="679" spans="1:21">
      <c r="A679" s="82"/>
      <c r="B679" s="83"/>
      <c r="C679" s="82"/>
      <c r="D679" s="82"/>
      <c r="E679" s="82"/>
      <c r="F679" s="82"/>
      <c r="G679" s="222"/>
      <c r="H679" s="222"/>
      <c r="I679" s="222"/>
      <c r="J679" s="6"/>
      <c r="K679" s="6"/>
      <c r="L679" s="6"/>
      <c r="M679" s="6"/>
      <c r="N679" s="6"/>
      <c r="O679" s="6"/>
      <c r="P679" s="6"/>
      <c r="Q679" s="6"/>
      <c r="R679" s="6"/>
      <c r="S679" s="6"/>
      <c r="T679" s="6"/>
      <c r="U679" s="6"/>
    </row>
    <row r="680" spans="1:21">
      <c r="A680" s="82"/>
      <c r="B680" s="83"/>
      <c r="C680" s="82"/>
      <c r="D680" s="82"/>
      <c r="E680" s="82"/>
      <c r="F680" s="82"/>
      <c r="G680" s="222"/>
      <c r="H680" s="222"/>
      <c r="I680" s="222"/>
      <c r="J680" s="6"/>
      <c r="K680" s="6"/>
      <c r="L680" s="6"/>
      <c r="M680" s="6"/>
      <c r="N680" s="6"/>
      <c r="O680" s="6"/>
      <c r="P680" s="6"/>
      <c r="Q680" s="6"/>
      <c r="R680" s="6"/>
      <c r="S680" s="6"/>
      <c r="T680" s="6"/>
      <c r="U680" s="6"/>
    </row>
    <row r="681" spans="1:21">
      <c r="A681" s="82"/>
      <c r="B681" s="83"/>
      <c r="C681" s="82"/>
      <c r="D681" s="82"/>
      <c r="E681" s="82"/>
      <c r="F681" s="82"/>
      <c r="G681" s="222"/>
      <c r="H681" s="222"/>
      <c r="I681" s="222"/>
      <c r="J681" s="6"/>
      <c r="K681" s="6"/>
      <c r="L681" s="6"/>
      <c r="M681" s="6"/>
      <c r="N681" s="6"/>
      <c r="O681" s="6"/>
      <c r="P681" s="6"/>
      <c r="Q681" s="6"/>
      <c r="R681" s="6"/>
      <c r="S681" s="6"/>
      <c r="T681" s="6"/>
      <c r="U681" s="6"/>
    </row>
    <row r="682" spans="1:21">
      <c r="A682" s="82"/>
      <c r="B682" s="83"/>
      <c r="C682" s="82"/>
      <c r="D682" s="82"/>
      <c r="E682" s="82"/>
      <c r="F682" s="82"/>
      <c r="G682" s="222"/>
      <c r="H682" s="222"/>
      <c r="I682" s="222"/>
      <c r="J682" s="6"/>
      <c r="K682" s="6"/>
      <c r="L682" s="6"/>
      <c r="M682" s="6"/>
      <c r="N682" s="6"/>
      <c r="O682" s="6"/>
      <c r="P682" s="6"/>
      <c r="Q682" s="6"/>
      <c r="R682" s="6"/>
      <c r="S682" s="6"/>
      <c r="T682" s="6"/>
      <c r="U682" s="6"/>
    </row>
    <row r="683" spans="1:21">
      <c r="A683" s="82"/>
      <c r="B683" s="83"/>
      <c r="C683" s="82"/>
      <c r="D683" s="82"/>
      <c r="E683" s="82"/>
      <c r="F683" s="82"/>
      <c r="G683" s="222"/>
      <c r="H683" s="222"/>
      <c r="I683" s="222"/>
      <c r="J683" s="6"/>
      <c r="K683" s="6"/>
      <c r="L683" s="6"/>
      <c r="M683" s="6"/>
      <c r="N683" s="6"/>
      <c r="O683" s="6"/>
      <c r="P683" s="6"/>
      <c r="Q683" s="6"/>
      <c r="R683" s="6"/>
      <c r="S683" s="6"/>
      <c r="T683" s="6"/>
      <c r="U683" s="6"/>
    </row>
    <row r="684" spans="1:21">
      <c r="A684" s="82"/>
      <c r="B684" s="83"/>
      <c r="C684" s="82"/>
      <c r="D684" s="82"/>
      <c r="E684" s="82"/>
      <c r="F684" s="82"/>
      <c r="G684" s="222"/>
      <c r="H684" s="222"/>
      <c r="I684" s="222"/>
      <c r="J684" s="6"/>
      <c r="K684" s="6"/>
      <c r="L684" s="6"/>
      <c r="M684" s="6"/>
      <c r="N684" s="6"/>
      <c r="O684" s="6"/>
      <c r="P684" s="6"/>
      <c r="Q684" s="6"/>
      <c r="R684" s="6"/>
      <c r="S684" s="6"/>
      <c r="T684" s="6"/>
      <c r="U684" s="6"/>
    </row>
    <row r="685" spans="1:21">
      <c r="A685" s="82"/>
      <c r="B685" s="83"/>
      <c r="C685" s="82"/>
      <c r="D685" s="82"/>
      <c r="E685" s="82"/>
      <c r="F685" s="82"/>
      <c r="G685" s="222"/>
      <c r="H685" s="222"/>
      <c r="I685" s="222"/>
      <c r="J685" s="6"/>
      <c r="K685" s="6"/>
      <c r="L685" s="6"/>
      <c r="M685" s="6"/>
      <c r="N685" s="6"/>
      <c r="O685" s="6"/>
      <c r="P685" s="6"/>
      <c r="Q685" s="6"/>
      <c r="R685" s="6"/>
      <c r="S685" s="6"/>
      <c r="T685" s="6"/>
      <c r="U685" s="6"/>
    </row>
    <row r="686" spans="1:21">
      <c r="A686" s="82"/>
      <c r="B686" s="83"/>
      <c r="C686" s="82"/>
      <c r="D686" s="82"/>
      <c r="E686" s="82"/>
      <c r="F686" s="82"/>
      <c r="G686" s="222"/>
      <c r="H686" s="222"/>
      <c r="I686" s="222"/>
      <c r="J686" s="6"/>
      <c r="K686" s="6"/>
      <c r="L686" s="6"/>
      <c r="M686" s="6"/>
      <c r="N686" s="6"/>
      <c r="O686" s="6"/>
      <c r="P686" s="6"/>
      <c r="Q686" s="6"/>
      <c r="R686" s="6"/>
      <c r="S686" s="6"/>
      <c r="T686" s="6"/>
      <c r="U686" s="6"/>
    </row>
    <row r="687" spans="1:21">
      <c r="A687" s="82"/>
      <c r="B687" s="83"/>
      <c r="C687" s="82"/>
      <c r="D687" s="82"/>
      <c r="E687" s="82"/>
      <c r="F687" s="82"/>
      <c r="G687" s="222"/>
      <c r="H687" s="222"/>
      <c r="I687" s="222"/>
      <c r="J687" s="6"/>
      <c r="K687" s="6"/>
      <c r="L687" s="6"/>
      <c r="M687" s="6"/>
      <c r="N687" s="6"/>
      <c r="O687" s="6"/>
      <c r="P687" s="6"/>
      <c r="Q687" s="6"/>
      <c r="R687" s="6"/>
      <c r="S687" s="6"/>
      <c r="T687" s="6"/>
      <c r="U687" s="6"/>
    </row>
    <row r="688" spans="1:21">
      <c r="A688" s="82"/>
      <c r="B688" s="83"/>
      <c r="C688" s="82"/>
      <c r="D688" s="82"/>
      <c r="E688" s="82"/>
      <c r="F688" s="82"/>
      <c r="G688" s="222"/>
      <c r="H688" s="222"/>
      <c r="I688" s="222"/>
      <c r="J688" s="6"/>
      <c r="K688" s="6"/>
      <c r="L688" s="6"/>
      <c r="M688" s="6"/>
      <c r="N688" s="6"/>
      <c r="O688" s="6"/>
      <c r="P688" s="6"/>
      <c r="Q688" s="6"/>
      <c r="R688" s="6"/>
      <c r="S688" s="6"/>
      <c r="T688" s="6"/>
      <c r="U688" s="6"/>
    </row>
    <row r="689" spans="1:21">
      <c r="A689" s="82"/>
      <c r="B689" s="83"/>
      <c r="C689" s="82"/>
      <c r="D689" s="82"/>
      <c r="E689" s="82"/>
      <c r="F689" s="82"/>
      <c r="G689" s="222"/>
      <c r="H689" s="222"/>
      <c r="I689" s="222"/>
      <c r="J689" s="6"/>
      <c r="K689" s="6"/>
      <c r="L689" s="6"/>
      <c r="M689" s="6"/>
      <c r="N689" s="6"/>
      <c r="O689" s="6"/>
      <c r="P689" s="6"/>
      <c r="Q689" s="6"/>
      <c r="R689" s="6"/>
      <c r="S689" s="6"/>
      <c r="T689" s="6"/>
      <c r="U689" s="6"/>
    </row>
    <row r="690" spans="1:21">
      <c r="A690" s="82"/>
      <c r="B690" s="83"/>
      <c r="C690" s="82"/>
      <c r="D690" s="82"/>
      <c r="E690" s="82"/>
      <c r="F690" s="82"/>
      <c r="G690" s="222"/>
      <c r="H690" s="222"/>
      <c r="I690" s="222"/>
      <c r="J690" s="6"/>
      <c r="K690" s="6"/>
      <c r="L690" s="6"/>
      <c r="M690" s="6"/>
      <c r="N690" s="6"/>
      <c r="O690" s="6"/>
      <c r="P690" s="6"/>
      <c r="Q690" s="6"/>
      <c r="R690" s="6"/>
      <c r="S690" s="6"/>
      <c r="T690" s="6"/>
      <c r="U690" s="6"/>
    </row>
    <row r="691" spans="1:21">
      <c r="A691" s="82"/>
      <c r="B691" s="83"/>
      <c r="C691" s="82"/>
      <c r="D691" s="82"/>
      <c r="E691" s="82"/>
      <c r="F691" s="82"/>
      <c r="G691" s="222"/>
      <c r="H691" s="222"/>
      <c r="I691" s="222"/>
      <c r="J691" s="6"/>
      <c r="K691" s="6"/>
      <c r="L691" s="6"/>
      <c r="M691" s="6"/>
      <c r="N691" s="6"/>
      <c r="O691" s="6"/>
      <c r="P691" s="6"/>
      <c r="Q691" s="6"/>
      <c r="R691" s="6"/>
      <c r="S691" s="6"/>
      <c r="T691" s="6"/>
      <c r="U691" s="6"/>
    </row>
    <row r="692" spans="1:21">
      <c r="A692" s="82"/>
      <c r="B692" s="83"/>
      <c r="C692" s="82"/>
      <c r="D692" s="82"/>
      <c r="E692" s="82"/>
      <c r="F692" s="82"/>
      <c r="G692" s="222"/>
      <c r="H692" s="222"/>
      <c r="I692" s="222"/>
      <c r="J692" s="6"/>
      <c r="K692" s="6"/>
      <c r="L692" s="6"/>
      <c r="M692" s="6"/>
      <c r="N692" s="6"/>
      <c r="O692" s="6"/>
      <c r="P692" s="6"/>
      <c r="Q692" s="6"/>
      <c r="R692" s="6"/>
      <c r="S692" s="6"/>
      <c r="T692" s="6"/>
      <c r="U692" s="6"/>
    </row>
    <row r="693" spans="1:21">
      <c r="A693" s="82"/>
      <c r="B693" s="83"/>
      <c r="C693" s="82"/>
      <c r="D693" s="82"/>
      <c r="E693" s="82"/>
      <c r="F693" s="82"/>
      <c r="G693" s="222"/>
      <c r="H693" s="222"/>
      <c r="I693" s="222"/>
      <c r="J693" s="6"/>
      <c r="K693" s="6"/>
      <c r="L693" s="6"/>
      <c r="M693" s="6"/>
      <c r="N693" s="6"/>
      <c r="O693" s="6"/>
      <c r="P693" s="6"/>
      <c r="Q693" s="6"/>
      <c r="R693" s="6"/>
      <c r="S693" s="6"/>
      <c r="T693" s="6"/>
      <c r="U693" s="6"/>
    </row>
    <row r="694" spans="1:21">
      <c r="A694" s="82"/>
      <c r="B694" s="83"/>
      <c r="C694" s="82"/>
      <c r="D694" s="82"/>
      <c r="E694" s="82"/>
      <c r="F694" s="82"/>
      <c r="G694" s="222"/>
      <c r="H694" s="222"/>
      <c r="I694" s="222"/>
      <c r="J694" s="6"/>
      <c r="K694" s="6"/>
      <c r="L694" s="6"/>
      <c r="M694" s="6"/>
      <c r="N694" s="6"/>
      <c r="O694" s="6"/>
      <c r="P694" s="6"/>
      <c r="Q694" s="6"/>
      <c r="R694" s="6"/>
      <c r="S694" s="6"/>
      <c r="T694" s="6"/>
      <c r="U694" s="6"/>
    </row>
    <row r="695" spans="1:21">
      <c r="A695" s="82"/>
      <c r="B695" s="83"/>
      <c r="C695" s="82"/>
      <c r="D695" s="82"/>
      <c r="E695" s="82"/>
      <c r="F695" s="82"/>
      <c r="G695" s="222"/>
      <c r="H695" s="222"/>
      <c r="I695" s="222"/>
      <c r="J695" s="6"/>
      <c r="K695" s="6"/>
      <c r="L695" s="6"/>
      <c r="M695" s="6"/>
      <c r="N695" s="6"/>
      <c r="O695" s="6"/>
      <c r="P695" s="6"/>
      <c r="Q695" s="6"/>
      <c r="R695" s="6"/>
      <c r="S695" s="6"/>
      <c r="T695" s="6"/>
      <c r="U695" s="6"/>
    </row>
    <row r="696" spans="1:21">
      <c r="A696" s="82"/>
      <c r="B696" s="83"/>
      <c r="C696" s="82"/>
      <c r="D696" s="82"/>
      <c r="E696" s="82"/>
      <c r="F696" s="82"/>
      <c r="G696" s="222"/>
      <c r="H696" s="222"/>
      <c r="I696" s="222"/>
      <c r="J696" s="6"/>
      <c r="K696" s="6"/>
      <c r="L696" s="6"/>
      <c r="M696" s="6"/>
      <c r="N696" s="6"/>
      <c r="O696" s="6"/>
      <c r="P696" s="6"/>
      <c r="Q696" s="6"/>
      <c r="R696" s="6"/>
      <c r="S696" s="6"/>
      <c r="T696" s="6"/>
      <c r="U696" s="6"/>
    </row>
    <row r="697" spans="1:21">
      <c r="A697" s="82"/>
      <c r="B697" s="83"/>
      <c r="C697" s="82"/>
      <c r="D697" s="82"/>
      <c r="E697" s="82"/>
      <c r="F697" s="82"/>
      <c r="G697" s="222"/>
      <c r="H697" s="222"/>
      <c r="I697" s="222"/>
      <c r="J697" s="6"/>
      <c r="K697" s="6"/>
      <c r="L697" s="6"/>
      <c r="M697" s="6"/>
      <c r="N697" s="6"/>
      <c r="O697" s="6"/>
      <c r="P697" s="6"/>
      <c r="Q697" s="6"/>
      <c r="R697" s="6"/>
      <c r="S697" s="6"/>
      <c r="T697" s="6"/>
      <c r="U697" s="6"/>
    </row>
    <row r="698" spans="1:21">
      <c r="A698" s="82"/>
      <c r="B698" s="83"/>
      <c r="C698" s="82"/>
      <c r="D698" s="82"/>
      <c r="E698" s="82"/>
      <c r="F698" s="82"/>
      <c r="G698" s="222"/>
      <c r="H698" s="222"/>
      <c r="I698" s="222"/>
      <c r="J698" s="6"/>
      <c r="K698" s="6"/>
      <c r="L698" s="6"/>
      <c r="M698" s="6"/>
      <c r="N698" s="6"/>
      <c r="O698" s="6"/>
      <c r="P698" s="6"/>
      <c r="Q698" s="6"/>
      <c r="R698" s="6"/>
      <c r="S698" s="6"/>
      <c r="T698" s="6"/>
      <c r="U698" s="6"/>
    </row>
    <row r="699" spans="1:21">
      <c r="A699" s="82"/>
      <c r="B699" s="83"/>
      <c r="C699" s="82"/>
      <c r="D699" s="82"/>
      <c r="E699" s="82"/>
      <c r="F699" s="82"/>
      <c r="G699" s="222"/>
      <c r="H699" s="222"/>
      <c r="I699" s="222"/>
      <c r="J699" s="6"/>
      <c r="K699" s="6"/>
      <c r="L699" s="6"/>
      <c r="M699" s="6"/>
      <c r="N699" s="6"/>
      <c r="O699" s="6"/>
      <c r="P699" s="6"/>
      <c r="Q699" s="6"/>
      <c r="R699" s="6"/>
      <c r="S699" s="6"/>
      <c r="T699" s="6"/>
      <c r="U699" s="6"/>
    </row>
    <row r="700" spans="1:21">
      <c r="A700" s="82"/>
      <c r="B700" s="83"/>
      <c r="C700" s="82"/>
      <c r="D700" s="82"/>
      <c r="E700" s="82"/>
      <c r="F700" s="82"/>
      <c r="G700" s="222"/>
      <c r="H700" s="222"/>
      <c r="I700" s="222"/>
      <c r="J700" s="6"/>
      <c r="K700" s="6"/>
      <c r="L700" s="6"/>
      <c r="M700" s="6"/>
      <c r="N700" s="6"/>
      <c r="O700" s="6"/>
      <c r="P700" s="6"/>
      <c r="Q700" s="6"/>
      <c r="R700" s="6"/>
      <c r="S700" s="6"/>
      <c r="T700" s="6"/>
      <c r="U700" s="6"/>
    </row>
    <row r="701" spans="1:21">
      <c r="A701" s="82"/>
      <c r="B701" s="83"/>
      <c r="C701" s="82"/>
      <c r="D701" s="82"/>
      <c r="E701" s="82"/>
      <c r="F701" s="82"/>
      <c r="G701" s="222"/>
      <c r="H701" s="222"/>
      <c r="I701" s="222"/>
      <c r="J701" s="6"/>
      <c r="K701" s="6"/>
      <c r="L701" s="6"/>
      <c r="M701" s="6"/>
      <c r="N701" s="6"/>
      <c r="O701" s="6"/>
      <c r="P701" s="6"/>
      <c r="Q701" s="6"/>
      <c r="R701" s="6"/>
      <c r="S701" s="6"/>
      <c r="T701" s="6"/>
      <c r="U701" s="6"/>
    </row>
    <row r="702" spans="1:21">
      <c r="A702" s="82"/>
      <c r="B702" s="83"/>
      <c r="C702" s="82"/>
      <c r="D702" s="82"/>
      <c r="E702" s="82"/>
      <c r="F702" s="82"/>
      <c r="G702" s="222"/>
      <c r="H702" s="222"/>
      <c r="I702" s="222"/>
      <c r="J702" s="6"/>
      <c r="K702" s="6"/>
      <c r="L702" s="6"/>
      <c r="M702" s="6"/>
      <c r="N702" s="6"/>
      <c r="O702" s="6"/>
      <c r="P702" s="6"/>
      <c r="Q702" s="6"/>
      <c r="R702" s="6"/>
      <c r="S702" s="6"/>
      <c r="T702" s="6"/>
      <c r="U702" s="6"/>
    </row>
    <row r="703" spans="1:21">
      <c r="A703" s="82"/>
      <c r="B703" s="83"/>
      <c r="C703" s="82"/>
      <c r="D703" s="82"/>
      <c r="E703" s="82"/>
      <c r="F703" s="82"/>
      <c r="G703" s="222"/>
      <c r="H703" s="222"/>
      <c r="I703" s="222"/>
      <c r="J703" s="6"/>
      <c r="K703" s="6"/>
      <c r="L703" s="6"/>
      <c r="M703" s="6"/>
      <c r="N703" s="6"/>
      <c r="O703" s="6"/>
      <c r="P703" s="6"/>
      <c r="Q703" s="6"/>
      <c r="R703" s="6"/>
      <c r="S703" s="6"/>
      <c r="T703" s="6"/>
      <c r="U703" s="6"/>
    </row>
    <row r="704" spans="1:21">
      <c r="A704" s="82"/>
      <c r="B704" s="83"/>
      <c r="C704" s="82"/>
      <c r="D704" s="82"/>
      <c r="E704" s="82"/>
      <c r="F704" s="82"/>
      <c r="G704" s="222"/>
      <c r="H704" s="222"/>
      <c r="I704" s="222"/>
      <c r="J704" s="6"/>
      <c r="K704" s="6"/>
      <c r="L704" s="6"/>
      <c r="M704" s="6"/>
      <c r="N704" s="6"/>
      <c r="O704" s="6"/>
      <c r="P704" s="6"/>
      <c r="Q704" s="6"/>
      <c r="R704" s="6"/>
      <c r="S704" s="6"/>
      <c r="T704" s="6"/>
      <c r="U704" s="6"/>
    </row>
    <row r="705" spans="1:21">
      <c r="A705" s="82"/>
      <c r="B705" s="83"/>
      <c r="C705" s="82"/>
      <c r="D705" s="82"/>
      <c r="E705" s="82"/>
      <c r="F705" s="82"/>
      <c r="G705" s="222"/>
      <c r="H705" s="222"/>
      <c r="I705" s="222"/>
      <c r="J705" s="6"/>
      <c r="K705" s="6"/>
      <c r="L705" s="6"/>
      <c r="M705" s="6"/>
      <c r="N705" s="6"/>
      <c r="O705" s="6"/>
      <c r="P705" s="6"/>
      <c r="Q705" s="6"/>
      <c r="R705" s="6"/>
      <c r="S705" s="6"/>
      <c r="T705" s="6"/>
      <c r="U705" s="6"/>
    </row>
    <row r="706" spans="1:21">
      <c r="A706" s="82"/>
      <c r="B706" s="83"/>
      <c r="C706" s="82"/>
      <c r="D706" s="82"/>
      <c r="E706" s="82"/>
      <c r="F706" s="82"/>
      <c r="G706" s="222"/>
      <c r="H706" s="222"/>
      <c r="I706" s="222"/>
      <c r="J706" s="6"/>
      <c r="K706" s="6"/>
      <c r="L706" s="6"/>
      <c r="M706" s="6"/>
      <c r="N706" s="6"/>
      <c r="O706" s="6"/>
      <c r="P706" s="6"/>
      <c r="Q706" s="6"/>
      <c r="R706" s="6"/>
      <c r="S706" s="6"/>
      <c r="T706" s="6"/>
      <c r="U706" s="6"/>
    </row>
    <row r="707" spans="1:21">
      <c r="A707" s="82"/>
      <c r="B707" s="83"/>
      <c r="C707" s="82"/>
      <c r="D707" s="82"/>
      <c r="E707" s="82"/>
      <c r="F707" s="82"/>
      <c r="G707" s="222"/>
      <c r="H707" s="222"/>
      <c r="I707" s="222"/>
      <c r="J707" s="6"/>
      <c r="K707" s="6"/>
      <c r="L707" s="6"/>
      <c r="M707" s="6"/>
      <c r="N707" s="6"/>
      <c r="O707" s="6"/>
      <c r="P707" s="6"/>
      <c r="Q707" s="6"/>
      <c r="R707" s="6"/>
      <c r="S707" s="6"/>
      <c r="T707" s="6"/>
      <c r="U707" s="6"/>
    </row>
    <row r="708" spans="1:21">
      <c r="A708" s="82"/>
      <c r="B708" s="83"/>
      <c r="C708" s="82"/>
      <c r="D708" s="82"/>
      <c r="E708" s="82"/>
      <c r="F708" s="82"/>
      <c r="G708" s="222"/>
      <c r="H708" s="222"/>
      <c r="I708" s="222"/>
      <c r="J708" s="6"/>
      <c r="K708" s="6"/>
      <c r="L708" s="6"/>
      <c r="M708" s="6"/>
      <c r="N708" s="6"/>
      <c r="O708" s="6"/>
      <c r="P708" s="6"/>
      <c r="Q708" s="6"/>
      <c r="R708" s="6"/>
      <c r="S708" s="6"/>
      <c r="T708" s="6"/>
      <c r="U708" s="6"/>
    </row>
    <row r="709" spans="1:21">
      <c r="A709" s="82"/>
      <c r="B709" s="83"/>
      <c r="C709" s="82"/>
      <c r="D709" s="82"/>
      <c r="E709" s="82"/>
      <c r="F709" s="82"/>
      <c r="G709" s="222"/>
      <c r="H709" s="222"/>
      <c r="I709" s="222"/>
      <c r="J709" s="6"/>
      <c r="K709" s="6"/>
      <c r="L709" s="6"/>
      <c r="M709" s="6"/>
      <c r="N709" s="6"/>
      <c r="O709" s="6"/>
      <c r="P709" s="6"/>
      <c r="Q709" s="6"/>
      <c r="R709" s="6"/>
      <c r="S709" s="6"/>
      <c r="T709" s="6"/>
      <c r="U709" s="6"/>
    </row>
    <row r="710" spans="1:21">
      <c r="A710" s="82"/>
      <c r="B710" s="83"/>
      <c r="C710" s="82"/>
      <c r="D710" s="82"/>
      <c r="E710" s="82"/>
      <c r="F710" s="82"/>
      <c r="G710" s="222"/>
      <c r="H710" s="222"/>
      <c r="I710" s="222"/>
      <c r="J710" s="6"/>
      <c r="K710" s="6"/>
      <c r="L710" s="6"/>
      <c r="M710" s="6"/>
      <c r="N710" s="6"/>
      <c r="O710" s="6"/>
      <c r="P710" s="6"/>
      <c r="Q710" s="6"/>
      <c r="R710" s="6"/>
      <c r="S710" s="6"/>
      <c r="T710" s="6"/>
      <c r="U710" s="6"/>
    </row>
    <row r="711" spans="1:21">
      <c r="A711" s="82"/>
      <c r="B711" s="83"/>
      <c r="C711" s="82"/>
      <c r="D711" s="82"/>
      <c r="E711" s="82"/>
      <c r="F711" s="82"/>
      <c r="G711" s="222"/>
      <c r="H711" s="222"/>
      <c r="I711" s="222"/>
      <c r="J711" s="6"/>
      <c r="K711" s="6"/>
      <c r="L711" s="6"/>
      <c r="M711" s="6"/>
      <c r="N711" s="6"/>
      <c r="O711" s="6"/>
      <c r="P711" s="6"/>
      <c r="Q711" s="6"/>
      <c r="R711" s="6"/>
      <c r="S711" s="6"/>
      <c r="T711" s="6"/>
      <c r="U711" s="6"/>
    </row>
    <row r="712" spans="1:21">
      <c r="A712" s="82"/>
      <c r="B712" s="83"/>
      <c r="C712" s="82"/>
      <c r="D712" s="82"/>
      <c r="E712" s="82"/>
      <c r="F712" s="82"/>
      <c r="G712" s="222"/>
      <c r="H712" s="222"/>
      <c r="I712" s="222"/>
      <c r="J712" s="6"/>
      <c r="K712" s="6"/>
      <c r="L712" s="6"/>
      <c r="M712" s="6"/>
      <c r="N712" s="6"/>
      <c r="O712" s="6"/>
      <c r="P712" s="6"/>
      <c r="Q712" s="6"/>
      <c r="R712" s="6"/>
      <c r="S712" s="6"/>
      <c r="T712" s="6"/>
      <c r="U712" s="6"/>
    </row>
    <row r="713" spans="1:21">
      <c r="A713" s="82"/>
      <c r="B713" s="83"/>
      <c r="C713" s="82"/>
      <c r="D713" s="82"/>
      <c r="E713" s="82"/>
      <c r="F713" s="82"/>
      <c r="G713" s="222"/>
      <c r="H713" s="222"/>
      <c r="I713" s="222"/>
      <c r="J713" s="6"/>
      <c r="K713" s="6"/>
      <c r="L713" s="6"/>
      <c r="M713" s="6"/>
      <c r="N713" s="6"/>
      <c r="O713" s="6"/>
      <c r="P713" s="6"/>
      <c r="Q713" s="6"/>
      <c r="R713" s="6"/>
      <c r="S713" s="6"/>
      <c r="T713" s="6"/>
      <c r="U713" s="6"/>
    </row>
    <row r="714" spans="1:21">
      <c r="A714" s="82"/>
      <c r="B714" s="83"/>
      <c r="C714" s="82"/>
      <c r="D714" s="82"/>
      <c r="E714" s="82"/>
      <c r="F714" s="82"/>
      <c r="G714" s="222"/>
      <c r="H714" s="222"/>
      <c r="I714" s="222"/>
      <c r="J714" s="6"/>
      <c r="K714" s="6"/>
      <c r="L714" s="6"/>
      <c r="M714" s="6"/>
      <c r="N714" s="6"/>
      <c r="O714" s="6"/>
      <c r="P714" s="6"/>
      <c r="Q714" s="6"/>
      <c r="R714" s="6"/>
      <c r="S714" s="6"/>
      <c r="T714" s="6"/>
      <c r="U714" s="6"/>
    </row>
    <row r="715" spans="1:21">
      <c r="A715" s="82"/>
      <c r="B715" s="83"/>
      <c r="C715" s="82"/>
      <c r="D715" s="82"/>
      <c r="E715" s="82"/>
      <c r="F715" s="82"/>
      <c r="G715" s="222"/>
      <c r="H715" s="222"/>
      <c r="I715" s="222"/>
      <c r="J715" s="6"/>
      <c r="K715" s="6"/>
      <c r="L715" s="6"/>
      <c r="M715" s="6"/>
      <c r="N715" s="6"/>
      <c r="O715" s="6"/>
      <c r="P715" s="6"/>
      <c r="Q715" s="6"/>
      <c r="R715" s="6"/>
      <c r="S715" s="6"/>
      <c r="T715" s="6"/>
      <c r="U715" s="6"/>
    </row>
    <row r="716" spans="1:21">
      <c r="A716" s="82"/>
      <c r="B716" s="83"/>
      <c r="C716" s="82"/>
      <c r="D716" s="82"/>
      <c r="E716" s="82"/>
      <c r="F716" s="82"/>
      <c r="G716" s="222"/>
      <c r="H716" s="222"/>
      <c r="I716" s="222"/>
      <c r="J716" s="6"/>
      <c r="K716" s="6"/>
      <c r="L716" s="6"/>
      <c r="M716" s="6"/>
      <c r="N716" s="6"/>
      <c r="O716" s="6"/>
      <c r="P716" s="6"/>
      <c r="Q716" s="6"/>
      <c r="R716" s="6"/>
      <c r="S716" s="6"/>
      <c r="T716" s="6"/>
      <c r="U716" s="6"/>
    </row>
    <row r="717" spans="1:21">
      <c r="A717" s="82"/>
      <c r="B717" s="83"/>
      <c r="C717" s="82"/>
      <c r="D717" s="82"/>
      <c r="E717" s="82"/>
      <c r="F717" s="82"/>
      <c r="G717" s="222"/>
      <c r="H717" s="222"/>
      <c r="I717" s="222"/>
      <c r="J717" s="6"/>
      <c r="K717" s="6"/>
      <c r="L717" s="6"/>
      <c r="M717" s="6"/>
      <c r="N717" s="6"/>
      <c r="O717" s="6"/>
      <c r="P717" s="6"/>
      <c r="Q717" s="6"/>
      <c r="R717" s="6"/>
      <c r="S717" s="6"/>
      <c r="T717" s="6"/>
      <c r="U717" s="6"/>
    </row>
    <row r="718" spans="1:21">
      <c r="A718" s="82"/>
      <c r="B718" s="83"/>
      <c r="C718" s="82"/>
      <c r="D718" s="82"/>
      <c r="E718" s="82"/>
      <c r="F718" s="82"/>
      <c r="G718" s="222"/>
      <c r="H718" s="222"/>
      <c r="I718" s="222"/>
      <c r="J718" s="6"/>
      <c r="K718" s="6"/>
      <c r="L718" s="6"/>
      <c r="M718" s="6"/>
      <c r="N718" s="6"/>
      <c r="O718" s="6"/>
      <c r="P718" s="6"/>
      <c r="Q718" s="6"/>
      <c r="R718" s="6"/>
      <c r="S718" s="6"/>
      <c r="T718" s="6"/>
      <c r="U718" s="6"/>
    </row>
    <row r="719" spans="1:21">
      <c r="A719" s="82"/>
      <c r="B719" s="83"/>
      <c r="C719" s="82"/>
      <c r="D719" s="82"/>
      <c r="E719" s="82"/>
      <c r="F719" s="82"/>
      <c r="G719" s="222"/>
      <c r="H719" s="222"/>
      <c r="I719" s="222"/>
      <c r="J719" s="6"/>
      <c r="K719" s="6"/>
      <c r="L719" s="6"/>
      <c r="M719" s="6"/>
      <c r="N719" s="6"/>
      <c r="O719" s="6"/>
      <c r="P719" s="6"/>
      <c r="Q719" s="6"/>
      <c r="R719" s="6"/>
      <c r="S719" s="6"/>
      <c r="T719" s="6"/>
      <c r="U719" s="6"/>
    </row>
    <row r="720" spans="1:21">
      <c r="A720" s="82"/>
      <c r="B720" s="83"/>
      <c r="C720" s="82"/>
      <c r="D720" s="82"/>
      <c r="E720" s="82"/>
      <c r="F720" s="82"/>
      <c r="G720" s="222"/>
      <c r="H720" s="222"/>
      <c r="I720" s="222"/>
      <c r="J720" s="6"/>
      <c r="K720" s="6"/>
      <c r="L720" s="6"/>
      <c r="M720" s="6"/>
      <c r="N720" s="6"/>
      <c r="O720" s="6"/>
      <c r="P720" s="6"/>
      <c r="Q720" s="6"/>
      <c r="R720" s="6"/>
      <c r="S720" s="6"/>
      <c r="T720" s="6"/>
      <c r="U720" s="6"/>
    </row>
    <row r="721" spans="1:21">
      <c r="A721" s="82"/>
      <c r="B721" s="83"/>
      <c r="C721" s="82"/>
      <c r="D721" s="82"/>
      <c r="E721" s="82"/>
      <c r="F721" s="82"/>
      <c r="G721" s="222"/>
      <c r="H721" s="222"/>
      <c r="I721" s="222"/>
      <c r="J721" s="6"/>
      <c r="K721" s="6"/>
      <c r="L721" s="6"/>
      <c r="M721" s="6"/>
      <c r="N721" s="6"/>
      <c r="O721" s="6"/>
      <c r="P721" s="6"/>
      <c r="Q721" s="6"/>
      <c r="R721" s="6"/>
      <c r="S721" s="6"/>
      <c r="T721" s="6"/>
      <c r="U721" s="6"/>
    </row>
    <row r="722" spans="1:21">
      <c r="A722" s="82"/>
      <c r="B722" s="83"/>
      <c r="C722" s="82"/>
      <c r="D722" s="82"/>
      <c r="E722" s="82"/>
      <c r="F722" s="82"/>
      <c r="G722" s="222"/>
      <c r="H722" s="222"/>
      <c r="I722" s="222"/>
      <c r="J722" s="6"/>
      <c r="K722" s="6"/>
      <c r="L722" s="6"/>
      <c r="M722" s="6"/>
      <c r="N722" s="6"/>
      <c r="O722" s="6"/>
      <c r="P722" s="6"/>
      <c r="Q722" s="6"/>
      <c r="R722" s="6"/>
      <c r="S722" s="6"/>
      <c r="T722" s="6"/>
      <c r="U722" s="6"/>
    </row>
    <row r="723" spans="1:21">
      <c r="A723" s="82"/>
      <c r="B723" s="83"/>
      <c r="C723" s="82"/>
      <c r="D723" s="82"/>
      <c r="E723" s="82"/>
      <c r="F723" s="82"/>
      <c r="G723" s="222"/>
      <c r="H723" s="222"/>
      <c r="I723" s="222"/>
      <c r="J723" s="6"/>
      <c r="K723" s="6"/>
      <c r="L723" s="6"/>
      <c r="M723" s="6"/>
      <c r="N723" s="6"/>
      <c r="O723" s="6"/>
      <c r="P723" s="6"/>
      <c r="Q723" s="6"/>
      <c r="R723" s="6"/>
      <c r="S723" s="6"/>
      <c r="T723" s="6"/>
      <c r="U723" s="6"/>
    </row>
    <row r="724" spans="1:21">
      <c r="A724" s="82"/>
      <c r="B724" s="83"/>
      <c r="C724" s="82"/>
      <c r="D724" s="82"/>
      <c r="E724" s="82"/>
      <c r="F724" s="82"/>
      <c r="G724" s="222"/>
      <c r="H724" s="222"/>
      <c r="I724" s="222"/>
      <c r="J724" s="6"/>
      <c r="K724" s="6"/>
      <c r="L724" s="6"/>
      <c r="M724" s="6"/>
      <c r="N724" s="6"/>
      <c r="O724" s="6"/>
      <c r="P724" s="6"/>
      <c r="Q724" s="6"/>
      <c r="R724" s="6"/>
      <c r="S724" s="6"/>
      <c r="T724" s="6"/>
      <c r="U724" s="6"/>
    </row>
    <row r="725" spans="1:21">
      <c r="A725" s="82"/>
      <c r="B725" s="83"/>
      <c r="C725" s="82"/>
      <c r="D725" s="82"/>
      <c r="E725" s="82"/>
      <c r="F725" s="82"/>
      <c r="G725" s="222"/>
      <c r="H725" s="222"/>
      <c r="I725" s="222"/>
      <c r="J725" s="6"/>
      <c r="K725" s="6"/>
      <c r="L725" s="6"/>
      <c r="M725" s="6"/>
      <c r="N725" s="6"/>
      <c r="O725" s="6"/>
      <c r="P725" s="6"/>
      <c r="Q725" s="6"/>
      <c r="R725" s="6"/>
      <c r="S725" s="6"/>
      <c r="T725" s="6"/>
      <c r="U725" s="6"/>
    </row>
    <row r="726" spans="1:21">
      <c r="A726" s="82"/>
      <c r="B726" s="83"/>
      <c r="C726" s="82"/>
      <c r="D726" s="82"/>
      <c r="E726" s="82"/>
      <c r="F726" s="82"/>
      <c r="G726" s="222"/>
      <c r="H726" s="222"/>
      <c r="I726" s="222"/>
      <c r="J726" s="6"/>
      <c r="K726" s="6"/>
      <c r="L726" s="6"/>
      <c r="M726" s="6"/>
      <c r="N726" s="6"/>
      <c r="O726" s="6"/>
      <c r="P726" s="6"/>
      <c r="Q726" s="6"/>
      <c r="R726" s="6"/>
      <c r="S726" s="6"/>
      <c r="T726" s="6"/>
      <c r="U726" s="6"/>
    </row>
    <row r="727" spans="1:21">
      <c r="A727" s="82"/>
      <c r="B727" s="83"/>
      <c r="C727" s="82"/>
      <c r="D727" s="82"/>
      <c r="E727" s="82"/>
      <c r="F727" s="82"/>
      <c r="G727" s="222"/>
      <c r="H727" s="222"/>
      <c r="I727" s="222"/>
      <c r="J727" s="6"/>
      <c r="K727" s="6"/>
      <c r="L727" s="6"/>
      <c r="M727" s="6"/>
      <c r="N727" s="6"/>
      <c r="O727" s="6"/>
      <c r="P727" s="6"/>
      <c r="Q727" s="6"/>
      <c r="R727" s="6"/>
      <c r="S727" s="6"/>
      <c r="T727" s="6"/>
      <c r="U727" s="6"/>
    </row>
    <row r="728" spans="1:21">
      <c r="A728" s="82"/>
      <c r="B728" s="83"/>
      <c r="C728" s="82"/>
      <c r="D728" s="82"/>
      <c r="E728" s="82"/>
      <c r="F728" s="82"/>
      <c r="G728" s="222"/>
      <c r="H728" s="222"/>
      <c r="I728" s="222"/>
      <c r="J728" s="6"/>
      <c r="K728" s="6"/>
      <c r="L728" s="6"/>
      <c r="M728" s="6"/>
      <c r="N728" s="6"/>
      <c r="O728" s="6"/>
      <c r="P728" s="6"/>
      <c r="Q728" s="6"/>
      <c r="R728" s="6"/>
      <c r="S728" s="6"/>
      <c r="T728" s="6"/>
      <c r="U728" s="6"/>
    </row>
    <row r="729" spans="1:21">
      <c r="A729" s="82"/>
      <c r="B729" s="83"/>
      <c r="C729" s="82"/>
      <c r="D729" s="82"/>
      <c r="E729" s="82"/>
      <c r="F729" s="82"/>
      <c r="G729" s="222"/>
      <c r="H729" s="222"/>
      <c r="I729" s="222"/>
      <c r="J729" s="6"/>
      <c r="K729" s="6"/>
      <c r="L729" s="6"/>
      <c r="M729" s="6"/>
      <c r="N729" s="6"/>
      <c r="O729" s="6"/>
      <c r="P729" s="6"/>
      <c r="Q729" s="6"/>
      <c r="R729" s="6"/>
      <c r="S729" s="6"/>
      <c r="T729" s="6"/>
      <c r="U729" s="6"/>
    </row>
    <row r="730" spans="1:21">
      <c r="A730" s="82"/>
      <c r="B730" s="83"/>
      <c r="C730" s="82"/>
      <c r="D730" s="82"/>
      <c r="E730" s="82"/>
      <c r="F730" s="82"/>
      <c r="G730" s="222"/>
      <c r="H730" s="222"/>
      <c r="I730" s="222"/>
      <c r="J730" s="6"/>
      <c r="K730" s="6"/>
      <c r="L730" s="6"/>
      <c r="M730" s="6"/>
      <c r="N730" s="6"/>
      <c r="O730" s="6"/>
      <c r="P730" s="6"/>
      <c r="Q730" s="6"/>
      <c r="R730" s="6"/>
      <c r="S730" s="6"/>
      <c r="T730" s="6"/>
      <c r="U730" s="6"/>
    </row>
    <row r="731" spans="1:21">
      <c r="A731" s="82"/>
      <c r="B731" s="83"/>
      <c r="C731" s="82"/>
      <c r="D731" s="82"/>
      <c r="E731" s="82"/>
      <c r="F731" s="82"/>
      <c r="G731" s="222"/>
      <c r="H731" s="222"/>
      <c r="I731" s="222"/>
      <c r="J731" s="6"/>
      <c r="K731" s="6"/>
      <c r="L731" s="6"/>
      <c r="M731" s="6"/>
      <c r="N731" s="6"/>
      <c r="O731" s="6"/>
      <c r="P731" s="6"/>
      <c r="Q731" s="6"/>
      <c r="R731" s="6"/>
      <c r="S731" s="6"/>
      <c r="T731" s="6"/>
      <c r="U731" s="6"/>
    </row>
    <row r="732" spans="1:21">
      <c r="A732" s="82"/>
      <c r="B732" s="83"/>
      <c r="C732" s="82"/>
      <c r="D732" s="82"/>
      <c r="E732" s="82"/>
      <c r="F732" s="82"/>
      <c r="G732" s="222"/>
      <c r="H732" s="222"/>
      <c r="I732" s="222"/>
      <c r="J732" s="6"/>
      <c r="K732" s="6"/>
      <c r="L732" s="6"/>
      <c r="M732" s="6"/>
      <c r="N732" s="6"/>
      <c r="O732" s="6"/>
      <c r="P732" s="6"/>
      <c r="Q732" s="6"/>
      <c r="R732" s="6"/>
      <c r="S732" s="6"/>
      <c r="T732" s="6"/>
      <c r="U732" s="6"/>
    </row>
    <row r="733" spans="1:21">
      <c r="A733" s="82"/>
      <c r="B733" s="83"/>
      <c r="C733" s="82"/>
      <c r="D733" s="82"/>
      <c r="E733" s="82"/>
      <c r="F733" s="82"/>
      <c r="G733" s="222"/>
      <c r="H733" s="222"/>
      <c r="I733" s="222"/>
      <c r="J733" s="6"/>
      <c r="K733" s="6"/>
      <c r="L733" s="6"/>
      <c r="M733" s="6"/>
      <c r="N733" s="6"/>
      <c r="O733" s="6"/>
      <c r="P733" s="6"/>
      <c r="Q733" s="6"/>
      <c r="R733" s="6"/>
      <c r="S733" s="6"/>
      <c r="T733" s="6"/>
      <c r="U733" s="6"/>
    </row>
    <row r="734" spans="1:21">
      <c r="A734" s="82"/>
      <c r="B734" s="83"/>
      <c r="C734" s="82"/>
      <c r="D734" s="82"/>
      <c r="E734" s="82"/>
      <c r="F734" s="82"/>
      <c r="G734" s="222"/>
      <c r="H734" s="222"/>
      <c r="I734" s="222"/>
      <c r="J734" s="6"/>
      <c r="K734" s="6"/>
      <c r="L734" s="6"/>
      <c r="M734" s="6"/>
      <c r="N734" s="6"/>
      <c r="O734" s="6"/>
      <c r="P734" s="6"/>
      <c r="Q734" s="6"/>
      <c r="R734" s="6"/>
      <c r="S734" s="6"/>
      <c r="T734" s="6"/>
      <c r="U734" s="6"/>
    </row>
    <row r="735" spans="1:21">
      <c r="A735" s="82"/>
      <c r="B735" s="83"/>
      <c r="C735" s="82"/>
      <c r="D735" s="82"/>
      <c r="E735" s="82"/>
      <c r="F735" s="82"/>
      <c r="G735" s="222"/>
      <c r="H735" s="222"/>
      <c r="I735" s="222"/>
      <c r="J735" s="6"/>
      <c r="K735" s="6"/>
      <c r="L735" s="6"/>
      <c r="M735" s="6"/>
      <c r="N735" s="6"/>
      <c r="O735" s="6"/>
      <c r="P735" s="6"/>
      <c r="Q735" s="6"/>
      <c r="R735" s="6"/>
      <c r="S735" s="6"/>
      <c r="T735" s="6"/>
      <c r="U735" s="6"/>
    </row>
    <row r="736" spans="1:21">
      <c r="A736" s="82"/>
      <c r="B736" s="83"/>
      <c r="C736" s="82"/>
      <c r="D736" s="82"/>
      <c r="E736" s="82"/>
      <c r="F736" s="82"/>
      <c r="G736" s="222"/>
      <c r="H736" s="222"/>
      <c r="I736" s="222"/>
      <c r="J736" s="6"/>
      <c r="K736" s="6"/>
      <c r="L736" s="6"/>
      <c r="M736" s="6"/>
      <c r="N736" s="6"/>
      <c r="O736" s="6"/>
      <c r="P736" s="6"/>
      <c r="Q736" s="6"/>
      <c r="R736" s="6"/>
      <c r="S736" s="6"/>
      <c r="T736" s="6"/>
      <c r="U736" s="6"/>
    </row>
    <row r="737" spans="1:21">
      <c r="A737" s="82"/>
      <c r="B737" s="83"/>
      <c r="C737" s="82"/>
      <c r="D737" s="82"/>
      <c r="E737" s="82"/>
      <c r="F737" s="82"/>
      <c r="G737" s="222"/>
      <c r="H737" s="222"/>
      <c r="I737" s="222"/>
      <c r="J737" s="6"/>
      <c r="K737" s="6"/>
      <c r="L737" s="6"/>
      <c r="M737" s="6"/>
      <c r="N737" s="6"/>
      <c r="O737" s="6"/>
      <c r="P737" s="6"/>
      <c r="Q737" s="6"/>
      <c r="R737" s="6"/>
      <c r="S737" s="6"/>
      <c r="T737" s="6"/>
      <c r="U737" s="6"/>
    </row>
    <row r="738" spans="1:21">
      <c r="A738" s="82"/>
      <c r="B738" s="83"/>
      <c r="C738" s="82"/>
      <c r="D738" s="82"/>
      <c r="E738" s="82"/>
      <c r="F738" s="82"/>
      <c r="G738" s="222"/>
      <c r="H738" s="222"/>
      <c r="I738" s="222"/>
      <c r="J738" s="6"/>
      <c r="K738" s="6"/>
      <c r="L738" s="6"/>
      <c r="M738" s="6"/>
      <c r="N738" s="6"/>
      <c r="O738" s="6"/>
      <c r="P738" s="6"/>
      <c r="Q738" s="6"/>
      <c r="R738" s="6"/>
      <c r="S738" s="6"/>
      <c r="T738" s="6"/>
      <c r="U738" s="6"/>
    </row>
    <row r="739" spans="1:21">
      <c r="A739" s="82"/>
      <c r="B739" s="83"/>
      <c r="C739" s="82"/>
      <c r="D739" s="82"/>
      <c r="E739" s="82"/>
      <c r="F739" s="82"/>
      <c r="G739" s="222"/>
      <c r="H739" s="222"/>
      <c r="I739" s="222"/>
      <c r="J739" s="6"/>
      <c r="K739" s="6"/>
      <c r="L739" s="6"/>
      <c r="M739" s="6"/>
      <c r="N739" s="6"/>
      <c r="O739" s="6"/>
      <c r="P739" s="6"/>
      <c r="Q739" s="6"/>
      <c r="R739" s="6"/>
      <c r="S739" s="6"/>
      <c r="T739" s="6"/>
      <c r="U739" s="6"/>
    </row>
    <row r="740" spans="1:21">
      <c r="A740" s="82"/>
      <c r="B740" s="83"/>
      <c r="C740" s="82"/>
      <c r="D740" s="82"/>
      <c r="E740" s="82"/>
      <c r="F740" s="82"/>
      <c r="G740" s="222"/>
      <c r="H740" s="222"/>
      <c r="I740" s="222"/>
      <c r="J740" s="6"/>
      <c r="K740" s="6"/>
      <c r="L740" s="6"/>
      <c r="M740" s="6"/>
      <c r="N740" s="6"/>
      <c r="O740" s="6"/>
      <c r="P740" s="6"/>
      <c r="Q740" s="6"/>
      <c r="R740" s="6"/>
      <c r="S740" s="6"/>
      <c r="T740" s="6"/>
      <c r="U740" s="6"/>
    </row>
    <row r="741" spans="1:21">
      <c r="A741" s="82"/>
      <c r="B741" s="83"/>
      <c r="C741" s="82"/>
      <c r="D741" s="82"/>
      <c r="E741" s="82"/>
      <c r="F741" s="82"/>
      <c r="G741" s="222"/>
      <c r="H741" s="222"/>
      <c r="I741" s="222"/>
      <c r="J741" s="6"/>
      <c r="K741" s="6"/>
      <c r="L741" s="6"/>
      <c r="M741" s="6"/>
      <c r="N741" s="6"/>
      <c r="O741" s="6"/>
      <c r="P741" s="6"/>
      <c r="Q741" s="6"/>
      <c r="R741" s="6"/>
      <c r="S741" s="6"/>
      <c r="T741" s="6"/>
      <c r="U741" s="6"/>
    </row>
    <row r="742" spans="1:21">
      <c r="A742" s="82"/>
      <c r="B742" s="83"/>
      <c r="C742" s="82"/>
      <c r="D742" s="82"/>
      <c r="E742" s="82"/>
      <c r="F742" s="82"/>
      <c r="G742" s="222"/>
      <c r="H742" s="222"/>
      <c r="I742" s="222"/>
      <c r="J742" s="6"/>
      <c r="K742" s="6"/>
      <c r="L742" s="6"/>
      <c r="M742" s="6"/>
      <c r="N742" s="6"/>
      <c r="O742" s="6"/>
      <c r="P742" s="6"/>
      <c r="Q742" s="6"/>
      <c r="R742" s="6"/>
      <c r="S742" s="6"/>
      <c r="T742" s="6"/>
      <c r="U742" s="6"/>
    </row>
    <row r="743" spans="1:21">
      <c r="A743" s="82"/>
      <c r="B743" s="83"/>
      <c r="C743" s="82"/>
      <c r="D743" s="82"/>
      <c r="E743" s="82"/>
      <c r="F743" s="82"/>
      <c r="G743" s="222"/>
      <c r="H743" s="222"/>
      <c r="I743" s="222"/>
      <c r="J743" s="6"/>
      <c r="K743" s="6"/>
      <c r="L743" s="6"/>
      <c r="M743" s="6"/>
      <c r="N743" s="6"/>
      <c r="O743" s="6"/>
      <c r="P743" s="6"/>
      <c r="Q743" s="6"/>
      <c r="R743" s="6"/>
      <c r="S743" s="6"/>
      <c r="T743" s="6"/>
      <c r="U743" s="6"/>
    </row>
    <row r="744" spans="1:21">
      <c r="A744" s="82"/>
      <c r="B744" s="83"/>
      <c r="C744" s="82"/>
      <c r="D744" s="82"/>
      <c r="E744" s="82"/>
      <c r="F744" s="82"/>
      <c r="G744" s="222"/>
      <c r="H744" s="222"/>
      <c r="I744" s="222"/>
      <c r="J744" s="6"/>
      <c r="K744" s="6"/>
      <c r="L744" s="6"/>
      <c r="M744" s="6"/>
      <c r="N744" s="6"/>
      <c r="O744" s="6"/>
      <c r="P744" s="6"/>
      <c r="Q744" s="6"/>
      <c r="R744" s="6"/>
      <c r="S744" s="6"/>
      <c r="T744" s="6"/>
      <c r="U744" s="6"/>
    </row>
    <row r="745" spans="1:21">
      <c r="A745" s="82"/>
      <c r="B745" s="83"/>
      <c r="C745" s="82"/>
      <c r="D745" s="82"/>
      <c r="E745" s="82"/>
      <c r="F745" s="82"/>
      <c r="G745" s="222"/>
      <c r="H745" s="222"/>
      <c r="I745" s="222"/>
      <c r="J745" s="6"/>
      <c r="K745" s="6"/>
      <c r="L745" s="6"/>
      <c r="M745" s="6"/>
      <c r="N745" s="6"/>
      <c r="O745" s="6"/>
      <c r="P745" s="6"/>
      <c r="Q745" s="6"/>
      <c r="R745" s="6"/>
      <c r="S745" s="6"/>
      <c r="T745" s="6"/>
      <c r="U745" s="6"/>
    </row>
    <row r="746" spans="1:21">
      <c r="A746" s="82"/>
      <c r="B746" s="83"/>
      <c r="C746" s="82"/>
      <c r="D746" s="82"/>
      <c r="E746" s="82"/>
      <c r="F746" s="82"/>
      <c r="G746" s="222"/>
      <c r="H746" s="222"/>
      <c r="I746" s="222"/>
      <c r="J746" s="6"/>
      <c r="K746" s="6"/>
      <c r="L746" s="6"/>
      <c r="M746" s="6"/>
      <c r="N746" s="6"/>
      <c r="O746" s="6"/>
      <c r="P746" s="6"/>
      <c r="Q746" s="6"/>
      <c r="R746" s="6"/>
      <c r="S746" s="6"/>
      <c r="T746" s="6"/>
      <c r="U746" s="6"/>
    </row>
    <row r="747" spans="1:21">
      <c r="A747" s="82"/>
      <c r="B747" s="83"/>
      <c r="C747" s="82"/>
      <c r="D747" s="82"/>
      <c r="E747" s="82"/>
      <c r="F747" s="82"/>
      <c r="G747" s="222"/>
      <c r="H747" s="222"/>
      <c r="I747" s="222"/>
      <c r="J747" s="6"/>
      <c r="K747" s="6"/>
      <c r="L747" s="6"/>
      <c r="M747" s="6"/>
      <c r="N747" s="6"/>
      <c r="O747" s="6"/>
      <c r="P747" s="6"/>
      <c r="Q747" s="6"/>
      <c r="R747" s="6"/>
      <c r="S747" s="6"/>
      <c r="T747" s="6"/>
      <c r="U747" s="6"/>
    </row>
    <row r="748" spans="1:21">
      <c r="A748" s="82"/>
      <c r="B748" s="83"/>
      <c r="C748" s="82"/>
      <c r="D748" s="82"/>
      <c r="E748" s="82"/>
      <c r="F748" s="82"/>
      <c r="G748" s="222"/>
      <c r="H748" s="222"/>
      <c r="I748" s="222"/>
      <c r="J748" s="6"/>
      <c r="K748" s="6"/>
      <c r="L748" s="6"/>
      <c r="M748" s="6"/>
      <c r="N748" s="6"/>
      <c r="O748" s="6"/>
      <c r="P748" s="6"/>
      <c r="Q748" s="6"/>
      <c r="R748" s="6"/>
      <c r="S748" s="6"/>
      <c r="T748" s="6"/>
      <c r="U748" s="6"/>
    </row>
    <row r="749" spans="1:21">
      <c r="A749" s="82"/>
      <c r="B749" s="83"/>
      <c r="C749" s="82"/>
      <c r="D749" s="82"/>
      <c r="E749" s="82"/>
      <c r="F749" s="82"/>
      <c r="G749" s="222"/>
      <c r="H749" s="222"/>
      <c r="I749" s="222"/>
      <c r="J749" s="6"/>
      <c r="K749" s="6"/>
      <c r="L749" s="6"/>
      <c r="M749" s="6"/>
      <c r="N749" s="6"/>
      <c r="O749" s="6"/>
      <c r="P749" s="6"/>
      <c r="Q749" s="6"/>
      <c r="R749" s="6"/>
      <c r="S749" s="6"/>
      <c r="T749" s="6"/>
      <c r="U749" s="6"/>
    </row>
    <row r="750" spans="1:21">
      <c r="A750" s="82"/>
      <c r="B750" s="83"/>
      <c r="C750" s="82"/>
      <c r="D750" s="82"/>
      <c r="E750" s="82"/>
      <c r="F750" s="82"/>
      <c r="G750" s="222"/>
      <c r="H750" s="222"/>
      <c r="I750" s="222"/>
      <c r="J750" s="6"/>
      <c r="K750" s="6"/>
      <c r="L750" s="6"/>
      <c r="M750" s="6"/>
      <c r="N750" s="6"/>
      <c r="O750" s="6"/>
      <c r="P750" s="6"/>
      <c r="Q750" s="6"/>
      <c r="R750" s="6"/>
      <c r="S750" s="6"/>
      <c r="T750" s="6"/>
      <c r="U750" s="6"/>
    </row>
    <row r="751" spans="1:21">
      <c r="A751" s="82"/>
      <c r="B751" s="83"/>
      <c r="C751" s="82"/>
      <c r="D751" s="82"/>
      <c r="E751" s="82"/>
      <c r="F751" s="82"/>
      <c r="G751" s="222"/>
      <c r="H751" s="222"/>
      <c r="I751" s="222"/>
      <c r="J751" s="6"/>
      <c r="K751" s="6"/>
      <c r="L751" s="6"/>
      <c r="M751" s="6"/>
      <c r="N751" s="6"/>
      <c r="O751" s="6"/>
      <c r="P751" s="6"/>
      <c r="Q751" s="6"/>
      <c r="R751" s="6"/>
      <c r="S751" s="6"/>
      <c r="T751" s="6"/>
      <c r="U751" s="6"/>
    </row>
    <row r="752" spans="1:21">
      <c r="A752" s="82"/>
      <c r="B752" s="83"/>
      <c r="C752" s="82"/>
      <c r="D752" s="82"/>
      <c r="E752" s="82"/>
      <c r="F752" s="82"/>
      <c r="G752" s="222"/>
      <c r="H752" s="222"/>
      <c r="I752" s="222"/>
      <c r="J752" s="6"/>
      <c r="K752" s="6"/>
      <c r="L752" s="6"/>
      <c r="M752" s="6"/>
      <c r="N752" s="6"/>
      <c r="O752" s="6"/>
      <c r="P752" s="6"/>
      <c r="Q752" s="6"/>
      <c r="R752" s="6"/>
      <c r="S752" s="6"/>
      <c r="T752" s="6"/>
      <c r="U752" s="6"/>
    </row>
    <row r="753" spans="1:21">
      <c r="A753" s="82"/>
      <c r="B753" s="83"/>
      <c r="C753" s="82"/>
      <c r="D753" s="82"/>
      <c r="E753" s="82"/>
      <c r="F753" s="82"/>
      <c r="G753" s="222"/>
      <c r="H753" s="222"/>
      <c r="I753" s="222"/>
      <c r="J753" s="6"/>
      <c r="K753" s="6"/>
      <c r="L753" s="6"/>
      <c r="M753" s="6"/>
      <c r="N753" s="6"/>
      <c r="O753" s="6"/>
      <c r="P753" s="6"/>
      <c r="Q753" s="6"/>
      <c r="R753" s="6"/>
      <c r="S753" s="6"/>
      <c r="T753" s="6"/>
      <c r="U753" s="6"/>
    </row>
    <row r="754" spans="1:21">
      <c r="A754" s="82"/>
      <c r="B754" s="83"/>
      <c r="C754" s="82"/>
      <c r="D754" s="82"/>
      <c r="E754" s="82"/>
      <c r="F754" s="82"/>
      <c r="G754" s="222"/>
      <c r="H754" s="222"/>
      <c r="I754" s="222"/>
      <c r="J754" s="6"/>
      <c r="K754" s="6"/>
      <c r="L754" s="6"/>
      <c r="M754" s="6"/>
      <c r="N754" s="6"/>
      <c r="O754" s="6"/>
      <c r="P754" s="6"/>
      <c r="Q754" s="6"/>
      <c r="R754" s="6"/>
      <c r="S754" s="6"/>
      <c r="T754" s="6"/>
      <c r="U754" s="6"/>
    </row>
    <row r="755" spans="1:21">
      <c r="A755" s="82"/>
      <c r="B755" s="83"/>
      <c r="C755" s="82"/>
      <c r="D755" s="82"/>
      <c r="E755" s="82"/>
      <c r="F755" s="82"/>
      <c r="G755" s="222"/>
      <c r="H755" s="222"/>
      <c r="I755" s="222"/>
      <c r="J755" s="6"/>
      <c r="K755" s="6"/>
      <c r="L755" s="6"/>
      <c r="M755" s="6"/>
      <c r="N755" s="6"/>
      <c r="O755" s="6"/>
      <c r="P755" s="6"/>
      <c r="Q755" s="6"/>
      <c r="R755" s="6"/>
      <c r="S755" s="6"/>
      <c r="T755" s="6"/>
      <c r="U755" s="6"/>
    </row>
    <row r="756" spans="1:21">
      <c r="A756" s="82"/>
      <c r="B756" s="83"/>
      <c r="C756" s="82"/>
      <c r="D756" s="82"/>
      <c r="E756" s="82"/>
      <c r="F756" s="82"/>
      <c r="G756" s="222"/>
      <c r="H756" s="222"/>
      <c r="I756" s="222"/>
      <c r="J756" s="6"/>
      <c r="K756" s="6"/>
      <c r="L756" s="6"/>
      <c r="M756" s="6"/>
      <c r="N756" s="6"/>
      <c r="O756" s="6"/>
      <c r="P756" s="6"/>
      <c r="Q756" s="6"/>
      <c r="R756" s="6"/>
      <c r="S756" s="6"/>
      <c r="T756" s="6"/>
      <c r="U756" s="6"/>
    </row>
    <row r="757" spans="1:21">
      <c r="A757" s="82"/>
      <c r="B757" s="83"/>
      <c r="C757" s="82"/>
      <c r="D757" s="82"/>
      <c r="E757" s="82"/>
      <c r="F757" s="82"/>
      <c r="G757" s="222"/>
      <c r="H757" s="222"/>
      <c r="I757" s="222"/>
      <c r="J757" s="6"/>
      <c r="K757" s="6"/>
      <c r="L757" s="6"/>
      <c r="M757" s="6"/>
      <c r="N757" s="6"/>
      <c r="O757" s="6"/>
      <c r="P757" s="6"/>
      <c r="Q757" s="6"/>
      <c r="R757" s="6"/>
      <c r="S757" s="6"/>
      <c r="T757" s="6"/>
      <c r="U757" s="6"/>
    </row>
    <row r="758" spans="1:21">
      <c r="A758" s="82"/>
      <c r="B758" s="83"/>
      <c r="C758" s="82"/>
      <c r="D758" s="82"/>
      <c r="E758" s="82"/>
      <c r="F758" s="82"/>
      <c r="G758" s="222"/>
      <c r="H758" s="222"/>
      <c r="I758" s="222"/>
      <c r="J758" s="6"/>
      <c r="K758" s="6"/>
      <c r="L758" s="6"/>
      <c r="M758" s="6"/>
      <c r="N758" s="6"/>
      <c r="O758" s="6"/>
      <c r="P758" s="6"/>
      <c r="Q758" s="6"/>
      <c r="R758" s="6"/>
      <c r="S758" s="6"/>
      <c r="T758" s="6"/>
      <c r="U758" s="6"/>
    </row>
    <row r="759" spans="1:21">
      <c r="A759" s="82"/>
      <c r="B759" s="83"/>
      <c r="C759" s="82"/>
      <c r="D759" s="82"/>
      <c r="E759" s="82"/>
      <c r="F759" s="82"/>
      <c r="G759" s="222"/>
      <c r="H759" s="222"/>
      <c r="I759" s="222"/>
      <c r="J759" s="6"/>
      <c r="K759" s="6"/>
      <c r="L759" s="6"/>
      <c r="M759" s="6"/>
      <c r="N759" s="6"/>
      <c r="O759" s="6"/>
      <c r="P759" s="6"/>
      <c r="Q759" s="6"/>
      <c r="R759" s="6"/>
      <c r="S759" s="6"/>
      <c r="T759" s="6"/>
      <c r="U759" s="6"/>
    </row>
    <row r="760" spans="1:21">
      <c r="A760" s="82"/>
      <c r="B760" s="83"/>
      <c r="C760" s="82"/>
      <c r="D760" s="82"/>
      <c r="E760" s="82"/>
      <c r="F760" s="82"/>
      <c r="G760" s="222"/>
      <c r="H760" s="222"/>
      <c r="I760" s="222"/>
      <c r="J760" s="6"/>
      <c r="K760" s="6"/>
      <c r="L760" s="6"/>
      <c r="M760" s="6"/>
      <c r="N760" s="6"/>
      <c r="O760" s="6"/>
      <c r="P760" s="6"/>
      <c r="Q760" s="6"/>
      <c r="R760" s="6"/>
      <c r="S760" s="6"/>
      <c r="T760" s="6"/>
      <c r="U760" s="6"/>
    </row>
    <row r="761" spans="1:21">
      <c r="A761" s="82"/>
      <c r="B761" s="83"/>
      <c r="C761" s="82"/>
      <c r="D761" s="82"/>
      <c r="E761" s="82"/>
      <c r="F761" s="82"/>
      <c r="G761" s="222"/>
      <c r="H761" s="222"/>
      <c r="I761" s="222"/>
      <c r="J761" s="6"/>
      <c r="K761" s="6"/>
      <c r="L761" s="6"/>
      <c r="M761" s="6"/>
      <c r="N761" s="6"/>
      <c r="O761" s="6"/>
      <c r="P761" s="6"/>
      <c r="Q761" s="6"/>
      <c r="R761" s="6"/>
      <c r="S761" s="6"/>
      <c r="T761" s="6"/>
      <c r="U761" s="6"/>
    </row>
    <row r="762" spans="1:21">
      <c r="A762" s="82"/>
      <c r="B762" s="83"/>
      <c r="C762" s="82"/>
      <c r="D762" s="82"/>
      <c r="E762" s="82"/>
      <c r="F762" s="82"/>
      <c r="G762" s="222"/>
      <c r="H762" s="222"/>
      <c r="I762" s="222"/>
      <c r="J762" s="6"/>
      <c r="K762" s="6"/>
      <c r="L762" s="6"/>
      <c r="M762" s="6"/>
      <c r="N762" s="6"/>
      <c r="O762" s="6"/>
      <c r="P762" s="6"/>
      <c r="Q762" s="6"/>
      <c r="R762" s="6"/>
      <c r="S762" s="6"/>
      <c r="T762" s="6"/>
      <c r="U762" s="6"/>
    </row>
    <row r="763" spans="1:21">
      <c r="A763" s="82"/>
      <c r="B763" s="83"/>
      <c r="C763" s="82"/>
      <c r="D763" s="82"/>
      <c r="E763" s="82"/>
      <c r="F763" s="82"/>
      <c r="G763" s="222"/>
      <c r="H763" s="222"/>
      <c r="I763" s="222"/>
      <c r="J763" s="6"/>
      <c r="K763" s="6"/>
      <c r="L763" s="6"/>
      <c r="M763" s="6"/>
      <c r="N763" s="6"/>
      <c r="O763" s="6"/>
      <c r="P763" s="6"/>
      <c r="Q763" s="6"/>
      <c r="R763" s="6"/>
      <c r="S763" s="6"/>
      <c r="T763" s="6"/>
      <c r="U763" s="6"/>
    </row>
    <row r="764" spans="1:21">
      <c r="A764" s="82"/>
      <c r="B764" s="83"/>
      <c r="C764" s="82"/>
      <c r="D764" s="82"/>
      <c r="E764" s="82"/>
      <c r="F764" s="82"/>
      <c r="G764" s="222"/>
      <c r="H764" s="222"/>
      <c r="I764" s="222"/>
      <c r="J764" s="6"/>
      <c r="K764" s="6"/>
      <c r="L764" s="6"/>
      <c r="M764" s="6"/>
      <c r="N764" s="6"/>
      <c r="O764" s="6"/>
      <c r="P764" s="6"/>
      <c r="Q764" s="6"/>
      <c r="R764" s="6"/>
      <c r="S764" s="6"/>
      <c r="T764" s="6"/>
      <c r="U764" s="6"/>
    </row>
    <row r="765" spans="1:21">
      <c r="A765" s="82"/>
      <c r="B765" s="83"/>
      <c r="C765" s="82"/>
      <c r="D765" s="82"/>
      <c r="E765" s="82"/>
      <c r="F765" s="82"/>
      <c r="G765" s="222"/>
      <c r="H765" s="222"/>
      <c r="I765" s="222"/>
      <c r="J765" s="6"/>
      <c r="K765" s="6"/>
      <c r="L765" s="6"/>
      <c r="M765" s="6"/>
      <c r="N765" s="6"/>
      <c r="O765" s="6"/>
      <c r="P765" s="6"/>
      <c r="Q765" s="6"/>
      <c r="R765" s="6"/>
      <c r="S765" s="6"/>
      <c r="T765" s="6"/>
      <c r="U765" s="6"/>
    </row>
    <row r="766" spans="1:21">
      <c r="A766" s="82"/>
      <c r="B766" s="83"/>
      <c r="C766" s="82"/>
      <c r="D766" s="82"/>
      <c r="E766" s="82"/>
      <c r="F766" s="82"/>
      <c r="G766" s="222"/>
      <c r="H766" s="222"/>
      <c r="I766" s="222"/>
      <c r="J766" s="6"/>
      <c r="K766" s="6"/>
      <c r="L766" s="6"/>
      <c r="M766" s="6"/>
      <c r="N766" s="6"/>
      <c r="O766" s="6"/>
      <c r="P766" s="6"/>
      <c r="Q766" s="6"/>
      <c r="R766" s="6"/>
      <c r="S766" s="6"/>
      <c r="T766" s="6"/>
      <c r="U766" s="6"/>
    </row>
    <row r="767" spans="1:21">
      <c r="A767" s="82"/>
      <c r="B767" s="83"/>
      <c r="C767" s="82"/>
      <c r="D767" s="82"/>
      <c r="E767" s="82"/>
      <c r="F767" s="82"/>
      <c r="G767" s="222"/>
      <c r="H767" s="222"/>
      <c r="I767" s="222"/>
      <c r="J767" s="6"/>
      <c r="K767" s="6"/>
      <c r="L767" s="6"/>
      <c r="M767" s="6"/>
      <c r="N767" s="6"/>
      <c r="O767" s="6"/>
      <c r="P767" s="6"/>
      <c r="Q767" s="6"/>
      <c r="R767" s="6"/>
      <c r="S767" s="6"/>
      <c r="T767" s="6"/>
      <c r="U767" s="6"/>
    </row>
    <row r="768" spans="1:21">
      <c r="A768" s="82"/>
      <c r="B768" s="83"/>
      <c r="C768" s="82"/>
      <c r="D768" s="82"/>
      <c r="E768" s="82"/>
      <c r="F768" s="82"/>
      <c r="G768" s="222"/>
      <c r="H768" s="222"/>
      <c r="I768" s="222"/>
      <c r="J768" s="6"/>
      <c r="K768" s="6"/>
      <c r="L768" s="6"/>
      <c r="M768" s="6"/>
      <c r="N768" s="6"/>
      <c r="O768" s="6"/>
      <c r="P768" s="6"/>
      <c r="Q768" s="6"/>
      <c r="R768" s="6"/>
      <c r="S768" s="6"/>
      <c r="T768" s="6"/>
      <c r="U768" s="6"/>
    </row>
    <row r="769" spans="1:21">
      <c r="A769" s="82"/>
      <c r="B769" s="83"/>
      <c r="C769" s="82"/>
      <c r="D769" s="82"/>
      <c r="E769" s="82"/>
      <c r="F769" s="82"/>
      <c r="G769" s="222"/>
      <c r="H769" s="222"/>
      <c r="I769" s="222"/>
      <c r="J769" s="6"/>
      <c r="K769" s="6"/>
      <c r="L769" s="6"/>
      <c r="M769" s="6"/>
      <c r="N769" s="6"/>
      <c r="O769" s="6"/>
      <c r="P769" s="6"/>
      <c r="Q769" s="6"/>
      <c r="R769" s="6"/>
      <c r="S769" s="6"/>
      <c r="T769" s="6"/>
      <c r="U769" s="6"/>
    </row>
    <row r="770" spans="1:21">
      <c r="A770" s="82"/>
      <c r="B770" s="83"/>
      <c r="C770" s="82"/>
      <c r="D770" s="82"/>
      <c r="E770" s="82"/>
      <c r="F770" s="82"/>
      <c r="G770" s="222"/>
      <c r="H770" s="222"/>
      <c r="I770" s="222"/>
      <c r="J770" s="6"/>
      <c r="K770" s="6"/>
      <c r="L770" s="6"/>
      <c r="M770" s="6"/>
      <c r="N770" s="6"/>
      <c r="O770" s="6"/>
      <c r="P770" s="6"/>
      <c r="Q770" s="6"/>
      <c r="R770" s="6"/>
      <c r="S770" s="6"/>
      <c r="T770" s="6"/>
      <c r="U770" s="6"/>
    </row>
    <row r="771" spans="1:21">
      <c r="A771" s="82"/>
      <c r="B771" s="83"/>
      <c r="C771" s="82"/>
      <c r="D771" s="82"/>
      <c r="E771" s="82"/>
      <c r="F771" s="82"/>
      <c r="G771" s="222"/>
      <c r="H771" s="222"/>
      <c r="I771" s="222"/>
      <c r="J771" s="6"/>
      <c r="K771" s="6"/>
      <c r="L771" s="6"/>
      <c r="M771" s="6"/>
      <c r="N771" s="6"/>
      <c r="O771" s="6"/>
      <c r="P771" s="6"/>
      <c r="Q771" s="6"/>
      <c r="R771" s="6"/>
      <c r="S771" s="6"/>
      <c r="T771" s="6"/>
      <c r="U771" s="6"/>
    </row>
    <row r="772" spans="1:21">
      <c r="A772" s="82"/>
      <c r="B772" s="83"/>
      <c r="C772" s="82"/>
      <c r="D772" s="82"/>
      <c r="E772" s="82"/>
      <c r="F772" s="82"/>
      <c r="G772" s="222"/>
      <c r="H772" s="222"/>
      <c r="I772" s="222"/>
      <c r="J772" s="6"/>
      <c r="K772" s="6"/>
      <c r="L772" s="6"/>
      <c r="M772" s="6"/>
      <c r="N772" s="6"/>
      <c r="O772" s="6"/>
      <c r="P772" s="6"/>
      <c r="Q772" s="6"/>
      <c r="R772" s="6"/>
      <c r="S772" s="6"/>
      <c r="T772" s="6"/>
      <c r="U772" s="6"/>
    </row>
    <row r="773" spans="1:21">
      <c r="A773" s="82"/>
      <c r="B773" s="83"/>
      <c r="C773" s="82"/>
      <c r="D773" s="82"/>
      <c r="E773" s="82"/>
      <c r="F773" s="82"/>
      <c r="G773" s="222"/>
      <c r="H773" s="222"/>
      <c r="I773" s="222"/>
      <c r="J773" s="6"/>
      <c r="K773" s="6"/>
      <c r="L773" s="6"/>
      <c r="M773" s="6"/>
      <c r="N773" s="6"/>
      <c r="O773" s="6"/>
      <c r="P773" s="6"/>
      <c r="Q773" s="6"/>
      <c r="R773" s="6"/>
      <c r="S773" s="6"/>
      <c r="T773" s="6"/>
      <c r="U773" s="6"/>
    </row>
    <row r="774" spans="1:21">
      <c r="A774" s="82"/>
      <c r="B774" s="83"/>
      <c r="C774" s="82"/>
      <c r="D774" s="82"/>
      <c r="E774" s="82"/>
      <c r="F774" s="82"/>
      <c r="G774" s="222"/>
      <c r="H774" s="222"/>
      <c r="I774" s="222"/>
      <c r="J774" s="6"/>
      <c r="K774" s="6"/>
      <c r="L774" s="6"/>
      <c r="M774" s="6"/>
      <c r="N774" s="6"/>
      <c r="O774" s="6"/>
      <c r="P774" s="6"/>
      <c r="Q774" s="6"/>
      <c r="R774" s="6"/>
      <c r="S774" s="6"/>
      <c r="T774" s="6"/>
      <c r="U774" s="6"/>
    </row>
    <row r="775" spans="1:21">
      <c r="A775" s="82"/>
      <c r="B775" s="83"/>
      <c r="C775" s="82"/>
      <c r="D775" s="82"/>
      <c r="E775" s="82"/>
      <c r="F775" s="82"/>
      <c r="G775" s="222"/>
      <c r="H775" s="222"/>
      <c r="I775" s="222"/>
      <c r="J775" s="6"/>
      <c r="K775" s="6"/>
      <c r="L775" s="6"/>
      <c r="M775" s="6"/>
      <c r="N775" s="6"/>
      <c r="O775" s="6"/>
      <c r="P775" s="6"/>
      <c r="Q775" s="6"/>
      <c r="R775" s="6"/>
      <c r="S775" s="6"/>
      <c r="T775" s="6"/>
      <c r="U775" s="6"/>
    </row>
    <row r="776" spans="1:21">
      <c r="A776" s="82"/>
      <c r="B776" s="83"/>
      <c r="C776" s="82"/>
      <c r="D776" s="82"/>
      <c r="E776" s="82"/>
      <c r="F776" s="82"/>
      <c r="G776" s="222"/>
      <c r="H776" s="222"/>
      <c r="I776" s="222"/>
      <c r="J776" s="6"/>
      <c r="K776" s="6"/>
      <c r="L776" s="6"/>
      <c r="M776" s="6"/>
      <c r="N776" s="6"/>
      <c r="O776" s="6"/>
      <c r="P776" s="6"/>
      <c r="Q776" s="6"/>
      <c r="R776" s="6"/>
      <c r="S776" s="6"/>
      <c r="T776" s="6"/>
      <c r="U776" s="6"/>
    </row>
    <row r="777" spans="1:21">
      <c r="A777" s="82"/>
      <c r="B777" s="83"/>
      <c r="C777" s="82"/>
      <c r="D777" s="82"/>
      <c r="E777" s="82"/>
      <c r="F777" s="82"/>
      <c r="G777" s="222"/>
      <c r="H777" s="222"/>
      <c r="I777" s="222"/>
      <c r="J777" s="6"/>
      <c r="K777" s="6"/>
      <c r="L777" s="6"/>
      <c r="M777" s="6"/>
      <c r="N777" s="6"/>
      <c r="O777" s="6"/>
      <c r="P777" s="6"/>
      <c r="Q777" s="6"/>
      <c r="R777" s="6"/>
      <c r="S777" s="6"/>
      <c r="T777" s="6"/>
      <c r="U777" s="6"/>
    </row>
    <row r="778" spans="1:21">
      <c r="A778" s="82"/>
      <c r="B778" s="83"/>
      <c r="C778" s="82"/>
      <c r="D778" s="82"/>
      <c r="E778" s="82"/>
      <c r="F778" s="82"/>
      <c r="G778" s="222"/>
      <c r="H778" s="222"/>
      <c r="I778" s="222"/>
      <c r="J778" s="6"/>
      <c r="K778" s="6"/>
      <c r="L778" s="6"/>
      <c r="M778" s="6"/>
      <c r="N778" s="6"/>
      <c r="O778" s="6"/>
      <c r="P778" s="6"/>
      <c r="Q778" s="6"/>
      <c r="R778" s="6"/>
      <c r="S778" s="6"/>
      <c r="T778" s="6"/>
      <c r="U778" s="6"/>
    </row>
    <row r="779" spans="1:21">
      <c r="A779" s="82"/>
      <c r="B779" s="83"/>
      <c r="C779" s="82"/>
      <c r="D779" s="82"/>
      <c r="E779" s="82"/>
      <c r="F779" s="82"/>
      <c r="G779" s="222"/>
      <c r="H779" s="222"/>
      <c r="I779" s="222"/>
      <c r="J779" s="6"/>
      <c r="K779" s="6"/>
      <c r="L779" s="6"/>
      <c r="M779" s="6"/>
      <c r="N779" s="6"/>
      <c r="O779" s="6"/>
      <c r="P779" s="6"/>
      <c r="Q779" s="6"/>
      <c r="R779" s="6"/>
      <c r="S779" s="6"/>
      <c r="T779" s="6"/>
      <c r="U779" s="6"/>
    </row>
    <row r="780" spans="1:21">
      <c r="A780" s="82"/>
      <c r="B780" s="83"/>
      <c r="C780" s="82"/>
      <c r="D780" s="82"/>
      <c r="E780" s="82"/>
      <c r="F780" s="82"/>
      <c r="G780" s="222"/>
      <c r="H780" s="222"/>
      <c r="I780" s="222"/>
      <c r="J780" s="6"/>
      <c r="K780" s="6"/>
      <c r="L780" s="6"/>
      <c r="M780" s="6"/>
      <c r="N780" s="6"/>
      <c r="O780" s="6"/>
      <c r="P780" s="6"/>
      <c r="Q780" s="6"/>
      <c r="R780" s="6"/>
      <c r="S780" s="6"/>
      <c r="T780" s="6"/>
      <c r="U780" s="6"/>
    </row>
    <row r="781" spans="1:21">
      <c r="A781" s="82"/>
      <c r="B781" s="83"/>
      <c r="C781" s="82"/>
      <c r="D781" s="82"/>
      <c r="E781" s="82"/>
      <c r="F781" s="82"/>
      <c r="G781" s="222"/>
      <c r="H781" s="222"/>
      <c r="I781" s="222"/>
      <c r="J781" s="6"/>
      <c r="K781" s="6"/>
      <c r="L781" s="6"/>
      <c r="M781" s="6"/>
      <c r="N781" s="6"/>
      <c r="O781" s="6"/>
      <c r="P781" s="6"/>
      <c r="Q781" s="6"/>
      <c r="R781" s="6"/>
      <c r="S781" s="6"/>
      <c r="T781" s="6"/>
      <c r="U781" s="6"/>
    </row>
    <row r="782" spans="1:21">
      <c r="A782" s="82"/>
      <c r="B782" s="83"/>
      <c r="C782" s="82"/>
      <c r="D782" s="82"/>
      <c r="E782" s="82"/>
      <c r="F782" s="82"/>
      <c r="G782" s="222"/>
      <c r="H782" s="222"/>
      <c r="I782" s="222"/>
      <c r="J782" s="6"/>
      <c r="K782" s="6"/>
      <c r="L782" s="6"/>
      <c r="M782" s="6"/>
      <c r="N782" s="6"/>
      <c r="O782" s="6"/>
      <c r="P782" s="6"/>
      <c r="Q782" s="6"/>
      <c r="R782" s="6"/>
      <c r="S782" s="6"/>
      <c r="T782" s="6"/>
      <c r="U782" s="6"/>
    </row>
    <row r="783" spans="1:21">
      <c r="A783" s="82"/>
      <c r="B783" s="83"/>
      <c r="C783" s="82"/>
      <c r="D783" s="82"/>
      <c r="E783" s="82"/>
      <c r="F783" s="82"/>
      <c r="G783" s="222"/>
      <c r="H783" s="222"/>
      <c r="I783" s="222"/>
      <c r="J783" s="6"/>
      <c r="K783" s="6"/>
      <c r="L783" s="6"/>
      <c r="M783" s="6"/>
      <c r="N783" s="6"/>
      <c r="O783" s="6"/>
      <c r="P783" s="6"/>
      <c r="Q783" s="6"/>
      <c r="R783" s="6"/>
      <c r="S783" s="6"/>
      <c r="T783" s="6"/>
      <c r="U783" s="6"/>
    </row>
    <row r="784" spans="1:21">
      <c r="A784" s="82"/>
      <c r="B784" s="83"/>
      <c r="C784" s="82"/>
      <c r="D784" s="82"/>
      <c r="E784" s="82"/>
      <c r="F784" s="82"/>
      <c r="G784" s="222"/>
      <c r="H784" s="222"/>
      <c r="I784" s="222"/>
      <c r="J784" s="6"/>
      <c r="K784" s="6"/>
      <c r="L784" s="6"/>
      <c r="M784" s="6"/>
      <c r="N784" s="6"/>
      <c r="O784" s="6"/>
      <c r="P784" s="6"/>
      <c r="Q784" s="6"/>
      <c r="R784" s="6"/>
      <c r="S784" s="6"/>
      <c r="T784" s="6"/>
      <c r="U784" s="6"/>
    </row>
    <row r="785" spans="1:21">
      <c r="A785" s="82"/>
      <c r="B785" s="83"/>
      <c r="C785" s="82"/>
      <c r="D785" s="82"/>
      <c r="E785" s="82"/>
      <c r="F785" s="82"/>
      <c r="G785" s="222"/>
      <c r="H785" s="222"/>
      <c r="I785" s="222"/>
      <c r="J785" s="6"/>
      <c r="K785" s="6"/>
      <c r="L785" s="6"/>
      <c r="M785" s="6"/>
      <c r="N785" s="6"/>
      <c r="O785" s="6"/>
      <c r="P785" s="6"/>
      <c r="Q785" s="6"/>
      <c r="R785" s="6"/>
      <c r="S785" s="6"/>
      <c r="T785" s="6"/>
      <c r="U785" s="6"/>
    </row>
    <row r="786" spans="1:21">
      <c r="A786" s="82"/>
      <c r="B786" s="83"/>
      <c r="C786" s="82"/>
      <c r="D786" s="82"/>
      <c r="E786" s="82"/>
      <c r="F786" s="82"/>
      <c r="G786" s="222"/>
      <c r="H786" s="222"/>
      <c r="I786" s="222"/>
      <c r="J786" s="6"/>
      <c r="K786" s="6"/>
      <c r="L786" s="6"/>
      <c r="M786" s="6"/>
      <c r="N786" s="6"/>
      <c r="O786" s="6"/>
      <c r="P786" s="6"/>
      <c r="Q786" s="6"/>
      <c r="R786" s="6"/>
      <c r="S786" s="6"/>
      <c r="T786" s="6"/>
      <c r="U786" s="6"/>
    </row>
    <row r="787" spans="1:21">
      <c r="A787" s="82"/>
      <c r="B787" s="83"/>
      <c r="C787" s="82"/>
      <c r="D787" s="82"/>
      <c r="E787" s="82"/>
      <c r="F787" s="82"/>
      <c r="G787" s="222"/>
      <c r="H787" s="222"/>
      <c r="I787" s="222"/>
      <c r="J787" s="6"/>
      <c r="K787" s="6"/>
      <c r="L787" s="6"/>
      <c r="M787" s="6"/>
      <c r="N787" s="6"/>
      <c r="O787" s="6"/>
      <c r="P787" s="6"/>
      <c r="Q787" s="6"/>
      <c r="R787" s="6"/>
      <c r="S787" s="6"/>
      <c r="T787" s="6"/>
      <c r="U787" s="6"/>
    </row>
    <row r="788" spans="1:21">
      <c r="A788" s="82"/>
      <c r="B788" s="83"/>
      <c r="C788" s="82"/>
      <c r="D788" s="82"/>
      <c r="E788" s="82"/>
      <c r="F788" s="82"/>
      <c r="G788" s="222"/>
      <c r="H788" s="222"/>
      <c r="I788" s="222"/>
      <c r="J788" s="6"/>
      <c r="K788" s="6"/>
      <c r="L788" s="6"/>
      <c r="M788" s="6"/>
      <c r="N788" s="6"/>
      <c r="O788" s="6"/>
      <c r="P788" s="6"/>
      <c r="Q788" s="6"/>
      <c r="R788" s="6"/>
      <c r="S788" s="6"/>
      <c r="T788" s="6"/>
      <c r="U788" s="6"/>
    </row>
    <row r="789" spans="1:21">
      <c r="A789" s="82"/>
      <c r="B789" s="83"/>
      <c r="C789" s="82"/>
      <c r="D789" s="82"/>
      <c r="E789" s="82"/>
      <c r="F789" s="82"/>
      <c r="G789" s="222"/>
      <c r="H789" s="222"/>
      <c r="I789" s="222"/>
      <c r="J789" s="6"/>
      <c r="K789" s="6"/>
      <c r="L789" s="6"/>
      <c r="M789" s="6"/>
      <c r="N789" s="6"/>
      <c r="O789" s="6"/>
      <c r="P789" s="6"/>
      <c r="Q789" s="6"/>
      <c r="R789" s="6"/>
      <c r="S789" s="6"/>
      <c r="T789" s="6"/>
      <c r="U789" s="6"/>
    </row>
    <row r="790" spans="1:21">
      <c r="A790" s="82"/>
      <c r="B790" s="83"/>
      <c r="C790" s="82"/>
      <c r="D790" s="82"/>
      <c r="E790" s="82"/>
      <c r="F790" s="82"/>
      <c r="G790" s="222"/>
      <c r="H790" s="222"/>
      <c r="I790" s="222"/>
      <c r="J790" s="6"/>
      <c r="K790" s="6"/>
      <c r="L790" s="6"/>
      <c r="M790" s="6"/>
      <c r="N790" s="6"/>
      <c r="O790" s="6"/>
      <c r="P790" s="6"/>
      <c r="Q790" s="6"/>
      <c r="R790" s="6"/>
      <c r="S790" s="6"/>
      <c r="T790" s="6"/>
      <c r="U790" s="6"/>
    </row>
    <row r="791" spans="1:21">
      <c r="A791" s="82"/>
      <c r="B791" s="83"/>
      <c r="C791" s="82"/>
      <c r="D791" s="82"/>
      <c r="E791" s="82"/>
      <c r="F791" s="82"/>
      <c r="G791" s="222"/>
      <c r="H791" s="222"/>
      <c r="I791" s="222"/>
      <c r="J791" s="6"/>
      <c r="K791" s="6"/>
      <c r="L791" s="6"/>
      <c r="M791" s="6"/>
      <c r="N791" s="6"/>
      <c r="O791" s="6"/>
      <c r="P791" s="6"/>
      <c r="Q791" s="6"/>
      <c r="R791" s="6"/>
      <c r="S791" s="6"/>
      <c r="T791" s="6"/>
      <c r="U791" s="6"/>
    </row>
    <row r="792" spans="1:21">
      <c r="A792" s="82"/>
      <c r="B792" s="83"/>
      <c r="C792" s="82"/>
      <c r="D792" s="82"/>
      <c r="E792" s="82"/>
      <c r="F792" s="82"/>
      <c r="G792" s="222"/>
      <c r="H792" s="222"/>
      <c r="I792" s="222"/>
      <c r="J792" s="6"/>
      <c r="K792" s="6"/>
      <c r="L792" s="6"/>
      <c r="M792" s="6"/>
      <c r="N792" s="6"/>
      <c r="O792" s="6"/>
      <c r="P792" s="6"/>
      <c r="Q792" s="6"/>
      <c r="R792" s="6"/>
      <c r="S792" s="6"/>
      <c r="T792" s="6"/>
      <c r="U792" s="6"/>
    </row>
    <row r="793" spans="1:21">
      <c r="A793" s="82"/>
      <c r="B793" s="83"/>
      <c r="C793" s="82"/>
      <c r="D793" s="82"/>
      <c r="E793" s="82"/>
      <c r="F793" s="82"/>
      <c r="G793" s="222"/>
      <c r="H793" s="222"/>
      <c r="I793" s="222"/>
      <c r="J793" s="6"/>
      <c r="K793" s="6"/>
      <c r="L793" s="6"/>
      <c r="M793" s="6"/>
      <c r="N793" s="6"/>
      <c r="O793" s="6"/>
      <c r="P793" s="6"/>
      <c r="Q793" s="6"/>
      <c r="R793" s="6"/>
      <c r="S793" s="6"/>
      <c r="T793" s="6"/>
      <c r="U793" s="6"/>
    </row>
    <row r="794" spans="1:21">
      <c r="A794" s="82"/>
      <c r="B794" s="83"/>
      <c r="C794" s="82"/>
      <c r="D794" s="82"/>
      <c r="E794" s="82"/>
      <c r="F794" s="82"/>
      <c r="G794" s="222"/>
      <c r="H794" s="222"/>
      <c r="I794" s="222"/>
      <c r="J794" s="6"/>
      <c r="K794" s="6"/>
      <c r="L794" s="6"/>
      <c r="M794" s="6"/>
      <c r="N794" s="6"/>
      <c r="O794" s="6"/>
      <c r="P794" s="6"/>
      <c r="Q794" s="6"/>
      <c r="R794" s="6"/>
      <c r="S794" s="6"/>
      <c r="T794" s="6"/>
      <c r="U794" s="6"/>
    </row>
    <row r="795" spans="1:21">
      <c r="A795" s="82"/>
      <c r="B795" s="83"/>
      <c r="C795" s="82"/>
      <c r="D795" s="82"/>
      <c r="E795" s="82"/>
      <c r="F795" s="82"/>
      <c r="G795" s="222"/>
      <c r="H795" s="222"/>
      <c r="I795" s="222"/>
      <c r="J795" s="6"/>
      <c r="K795" s="6"/>
      <c r="L795" s="6"/>
      <c r="M795" s="6"/>
      <c r="N795" s="6"/>
      <c r="O795" s="6"/>
      <c r="P795" s="6"/>
      <c r="Q795" s="6"/>
      <c r="R795" s="6"/>
      <c r="S795" s="6"/>
      <c r="T795" s="6"/>
      <c r="U795" s="6"/>
    </row>
    <row r="796" spans="1:21">
      <c r="A796" s="82"/>
      <c r="B796" s="83"/>
      <c r="C796" s="82"/>
      <c r="D796" s="82"/>
      <c r="E796" s="82"/>
      <c r="F796" s="82"/>
      <c r="G796" s="222"/>
      <c r="H796" s="222"/>
      <c r="I796" s="222"/>
      <c r="J796" s="6"/>
      <c r="K796" s="6"/>
      <c r="L796" s="6"/>
      <c r="M796" s="6"/>
      <c r="N796" s="6"/>
      <c r="O796" s="6"/>
      <c r="P796" s="6"/>
      <c r="Q796" s="6"/>
      <c r="R796" s="6"/>
      <c r="S796" s="6"/>
      <c r="T796" s="6"/>
      <c r="U796" s="6"/>
    </row>
    <row r="797" spans="1:21">
      <c r="A797" s="82"/>
      <c r="B797" s="83"/>
      <c r="C797" s="82"/>
      <c r="D797" s="82"/>
      <c r="E797" s="82"/>
      <c r="F797" s="82"/>
      <c r="G797" s="222"/>
      <c r="H797" s="222"/>
      <c r="I797" s="222"/>
      <c r="J797" s="6"/>
      <c r="K797" s="6"/>
      <c r="L797" s="6"/>
      <c r="M797" s="6"/>
      <c r="N797" s="6"/>
      <c r="O797" s="6"/>
      <c r="P797" s="6"/>
      <c r="Q797" s="6"/>
      <c r="R797" s="6"/>
      <c r="S797" s="6"/>
      <c r="T797" s="6"/>
      <c r="U797" s="6"/>
    </row>
    <row r="798" spans="1:21">
      <c r="A798" s="82"/>
      <c r="B798" s="83"/>
      <c r="C798" s="82"/>
      <c r="D798" s="82"/>
      <c r="E798" s="82"/>
      <c r="F798" s="82"/>
      <c r="G798" s="222"/>
      <c r="H798" s="222"/>
      <c r="I798" s="222"/>
      <c r="J798" s="6"/>
      <c r="K798" s="6"/>
      <c r="L798" s="6"/>
      <c r="M798" s="6"/>
      <c r="N798" s="6"/>
      <c r="O798" s="6"/>
      <c r="P798" s="6"/>
      <c r="Q798" s="6"/>
      <c r="R798" s="6"/>
      <c r="S798" s="6"/>
      <c r="T798" s="6"/>
      <c r="U798" s="6"/>
    </row>
    <row r="799" spans="1:21">
      <c r="A799" s="82"/>
      <c r="B799" s="83"/>
      <c r="C799" s="82"/>
      <c r="D799" s="82"/>
      <c r="E799" s="82"/>
      <c r="F799" s="82"/>
      <c r="G799" s="222"/>
      <c r="H799" s="222"/>
      <c r="I799" s="222"/>
      <c r="J799" s="6"/>
      <c r="K799" s="6"/>
      <c r="L799" s="6"/>
      <c r="M799" s="6"/>
      <c r="N799" s="6"/>
      <c r="O799" s="6"/>
      <c r="P799" s="6"/>
      <c r="Q799" s="6"/>
      <c r="R799" s="6"/>
      <c r="S799" s="6"/>
      <c r="T799" s="6"/>
      <c r="U799" s="6"/>
    </row>
    <row r="800" spans="1:21">
      <c r="A800" s="82"/>
      <c r="B800" s="83"/>
      <c r="C800" s="82"/>
      <c r="D800" s="82"/>
      <c r="E800" s="82"/>
      <c r="F800" s="82"/>
      <c r="G800" s="222"/>
      <c r="H800" s="222"/>
      <c r="I800" s="222"/>
      <c r="J800" s="6"/>
      <c r="K800" s="6"/>
      <c r="L800" s="6"/>
      <c r="M800" s="6"/>
      <c r="N800" s="6"/>
      <c r="O800" s="6"/>
      <c r="P800" s="6"/>
      <c r="Q800" s="6"/>
      <c r="R800" s="6"/>
      <c r="S800" s="6"/>
      <c r="T800" s="6"/>
      <c r="U800" s="6"/>
    </row>
    <row r="801" spans="1:21">
      <c r="A801" s="82"/>
      <c r="B801" s="83"/>
      <c r="C801" s="82"/>
      <c r="D801" s="82"/>
      <c r="E801" s="82"/>
      <c r="F801" s="82"/>
      <c r="G801" s="222"/>
      <c r="H801" s="222"/>
      <c r="I801" s="222"/>
      <c r="J801" s="6"/>
      <c r="K801" s="6"/>
      <c r="L801" s="6"/>
      <c r="M801" s="6"/>
      <c r="N801" s="6"/>
      <c r="O801" s="6"/>
      <c r="P801" s="6"/>
      <c r="Q801" s="6"/>
      <c r="R801" s="6"/>
      <c r="S801" s="6"/>
      <c r="T801" s="6"/>
      <c r="U801" s="6"/>
    </row>
    <row r="802" spans="1:21">
      <c r="A802" s="82"/>
      <c r="B802" s="83"/>
      <c r="C802" s="82"/>
      <c r="D802" s="82"/>
      <c r="E802" s="82"/>
      <c r="F802" s="82"/>
      <c r="G802" s="222"/>
      <c r="H802" s="222"/>
      <c r="I802" s="222"/>
      <c r="J802" s="6"/>
      <c r="K802" s="6"/>
      <c r="L802" s="6"/>
      <c r="M802" s="6"/>
      <c r="N802" s="6"/>
      <c r="O802" s="6"/>
      <c r="P802" s="6"/>
      <c r="Q802" s="6"/>
      <c r="R802" s="6"/>
      <c r="S802" s="6"/>
      <c r="T802" s="6"/>
      <c r="U802" s="6"/>
    </row>
    <row r="803" spans="1:21">
      <c r="A803" s="82"/>
      <c r="B803" s="83"/>
      <c r="C803" s="82"/>
      <c r="D803" s="82"/>
      <c r="E803" s="82"/>
      <c r="F803" s="82"/>
      <c r="G803" s="222"/>
      <c r="H803" s="222"/>
      <c r="I803" s="222"/>
      <c r="J803" s="6"/>
      <c r="K803" s="6"/>
      <c r="L803" s="6"/>
      <c r="M803" s="6"/>
      <c r="N803" s="6"/>
      <c r="O803" s="6"/>
      <c r="P803" s="6"/>
      <c r="Q803" s="6"/>
      <c r="R803" s="6"/>
      <c r="S803" s="6"/>
      <c r="T803" s="6"/>
      <c r="U803" s="6"/>
    </row>
    <row r="804" spans="1:21">
      <c r="A804" s="82"/>
      <c r="B804" s="83"/>
      <c r="C804" s="82"/>
      <c r="D804" s="82"/>
      <c r="E804" s="82"/>
      <c r="F804" s="82"/>
      <c r="G804" s="222"/>
      <c r="H804" s="222"/>
      <c r="I804" s="222"/>
      <c r="J804" s="6"/>
      <c r="K804" s="6"/>
      <c r="L804" s="6"/>
      <c r="M804" s="6"/>
      <c r="N804" s="6"/>
      <c r="O804" s="6"/>
      <c r="P804" s="6"/>
      <c r="Q804" s="6"/>
      <c r="R804" s="6"/>
      <c r="S804" s="6"/>
      <c r="T804" s="6"/>
      <c r="U804" s="6"/>
    </row>
    <row r="805" spans="1:21">
      <c r="A805" s="82"/>
      <c r="B805" s="83"/>
      <c r="C805" s="82"/>
      <c r="D805" s="82"/>
      <c r="E805" s="82"/>
      <c r="F805" s="82"/>
      <c r="G805" s="222"/>
      <c r="H805" s="222"/>
      <c r="I805" s="222"/>
      <c r="J805" s="6"/>
      <c r="K805" s="6"/>
      <c r="L805" s="6"/>
      <c r="M805" s="6"/>
      <c r="N805" s="6"/>
      <c r="O805" s="6"/>
      <c r="P805" s="6"/>
      <c r="Q805" s="6"/>
      <c r="R805" s="6"/>
      <c r="S805" s="6"/>
      <c r="T805" s="6"/>
      <c r="U805" s="6"/>
    </row>
    <row r="806" spans="1:21">
      <c r="A806" s="82"/>
      <c r="B806" s="83"/>
      <c r="C806" s="82"/>
      <c r="D806" s="82"/>
      <c r="E806" s="82"/>
      <c r="F806" s="82"/>
      <c r="G806" s="222"/>
      <c r="H806" s="222"/>
      <c r="I806" s="222"/>
      <c r="J806" s="6"/>
      <c r="K806" s="6"/>
      <c r="L806" s="6"/>
      <c r="M806" s="6"/>
      <c r="N806" s="6"/>
      <c r="O806" s="6"/>
      <c r="P806" s="6"/>
      <c r="Q806" s="6"/>
      <c r="R806" s="6"/>
      <c r="S806" s="6"/>
      <c r="T806" s="6"/>
      <c r="U806" s="6"/>
    </row>
    <row r="807" spans="1:21">
      <c r="A807" s="82"/>
      <c r="B807" s="83"/>
      <c r="C807" s="82"/>
      <c r="D807" s="82"/>
      <c r="E807" s="82"/>
      <c r="F807" s="82"/>
      <c r="G807" s="222"/>
      <c r="H807" s="222"/>
      <c r="I807" s="222"/>
      <c r="J807" s="6"/>
      <c r="K807" s="6"/>
      <c r="L807" s="6"/>
      <c r="M807" s="6"/>
      <c r="N807" s="6"/>
      <c r="O807" s="6"/>
      <c r="P807" s="6"/>
      <c r="Q807" s="6"/>
      <c r="R807" s="6"/>
      <c r="S807" s="6"/>
      <c r="T807" s="6"/>
      <c r="U807" s="6"/>
    </row>
    <row r="808" spans="1:21">
      <c r="A808" s="82"/>
      <c r="B808" s="83"/>
      <c r="C808" s="82"/>
      <c r="D808" s="82"/>
      <c r="E808" s="82"/>
      <c r="F808" s="82"/>
      <c r="G808" s="222"/>
      <c r="H808" s="222"/>
      <c r="I808" s="222"/>
      <c r="J808" s="6"/>
      <c r="K808" s="6"/>
      <c r="L808" s="6"/>
      <c r="M808" s="6"/>
      <c r="N808" s="6"/>
      <c r="O808" s="6"/>
      <c r="P808" s="6"/>
      <c r="Q808" s="6"/>
      <c r="R808" s="6"/>
      <c r="S808" s="6"/>
      <c r="T808" s="6"/>
      <c r="U808" s="6"/>
    </row>
    <row r="809" spans="1:21">
      <c r="A809" s="82"/>
      <c r="B809" s="83"/>
      <c r="C809" s="82"/>
      <c r="D809" s="82"/>
      <c r="E809" s="82"/>
      <c r="F809" s="82"/>
      <c r="G809" s="222"/>
      <c r="H809" s="222"/>
      <c r="I809" s="222"/>
      <c r="J809" s="6"/>
      <c r="K809" s="6"/>
      <c r="L809" s="6"/>
      <c r="M809" s="6"/>
      <c r="N809" s="6"/>
      <c r="O809" s="6"/>
      <c r="P809" s="6"/>
      <c r="Q809" s="6"/>
      <c r="R809" s="6"/>
      <c r="S809" s="6"/>
      <c r="T809" s="6"/>
      <c r="U809" s="6"/>
    </row>
    <row r="810" spans="1:21">
      <c r="A810" s="82"/>
      <c r="B810" s="83"/>
      <c r="C810" s="82"/>
      <c r="D810" s="82"/>
      <c r="E810" s="82"/>
      <c r="F810" s="82"/>
      <c r="G810" s="222"/>
      <c r="H810" s="222"/>
      <c r="I810" s="222"/>
      <c r="J810" s="6"/>
      <c r="K810" s="6"/>
      <c r="L810" s="6"/>
      <c r="M810" s="6"/>
      <c r="N810" s="6"/>
      <c r="O810" s="6"/>
      <c r="P810" s="6"/>
      <c r="Q810" s="6"/>
      <c r="R810" s="6"/>
      <c r="S810" s="6"/>
      <c r="T810" s="6"/>
      <c r="U810" s="6"/>
    </row>
    <row r="811" spans="1:21">
      <c r="A811" s="82"/>
      <c r="B811" s="83"/>
      <c r="C811" s="82"/>
      <c r="D811" s="82"/>
      <c r="E811" s="82"/>
      <c r="F811" s="82"/>
      <c r="G811" s="222"/>
      <c r="H811" s="222"/>
      <c r="I811" s="222"/>
      <c r="J811" s="6"/>
      <c r="K811" s="6"/>
      <c r="L811" s="6"/>
      <c r="M811" s="6"/>
      <c r="N811" s="6"/>
      <c r="O811" s="6"/>
      <c r="P811" s="6"/>
      <c r="Q811" s="6"/>
      <c r="R811" s="6"/>
      <c r="S811" s="6"/>
      <c r="T811" s="6"/>
      <c r="U811" s="6"/>
    </row>
    <row r="812" spans="1:21">
      <c r="A812" s="82"/>
      <c r="B812" s="83"/>
      <c r="C812" s="82"/>
      <c r="D812" s="82"/>
      <c r="E812" s="82"/>
      <c r="F812" s="82"/>
      <c r="G812" s="222"/>
      <c r="H812" s="222"/>
      <c r="I812" s="222"/>
      <c r="J812" s="6"/>
      <c r="K812" s="6"/>
      <c r="L812" s="6"/>
      <c r="M812" s="6"/>
      <c r="N812" s="6"/>
      <c r="O812" s="6"/>
      <c r="P812" s="6"/>
      <c r="Q812" s="6"/>
      <c r="R812" s="6"/>
      <c r="S812" s="6"/>
      <c r="T812" s="6"/>
      <c r="U812" s="6"/>
    </row>
    <row r="813" spans="1:21">
      <c r="A813" s="82"/>
      <c r="B813" s="83"/>
      <c r="C813" s="82"/>
      <c r="D813" s="82"/>
      <c r="E813" s="82"/>
      <c r="F813" s="82"/>
      <c r="G813" s="222"/>
      <c r="H813" s="222"/>
      <c r="I813" s="222"/>
      <c r="J813" s="6"/>
      <c r="K813" s="6"/>
      <c r="L813" s="6"/>
      <c r="M813" s="6"/>
      <c r="N813" s="6"/>
      <c r="O813" s="6"/>
      <c r="P813" s="6"/>
      <c r="Q813" s="6"/>
      <c r="R813" s="6"/>
      <c r="S813" s="6"/>
      <c r="T813" s="6"/>
      <c r="U813" s="6"/>
    </row>
    <row r="814" spans="1:21">
      <c r="A814" s="82"/>
      <c r="B814" s="83"/>
      <c r="C814" s="82"/>
      <c r="D814" s="82"/>
      <c r="E814" s="82"/>
      <c r="F814" s="82"/>
      <c r="G814" s="222"/>
      <c r="H814" s="222"/>
      <c r="I814" s="222"/>
      <c r="J814" s="6"/>
      <c r="K814" s="6"/>
      <c r="L814" s="6"/>
      <c r="M814" s="6"/>
      <c r="N814" s="6"/>
      <c r="O814" s="6"/>
      <c r="P814" s="6"/>
      <c r="Q814" s="6"/>
      <c r="R814" s="6"/>
      <c r="S814" s="6"/>
      <c r="T814" s="6"/>
      <c r="U814" s="6"/>
    </row>
    <row r="815" spans="1:21">
      <c r="A815" s="82"/>
      <c r="B815" s="83"/>
      <c r="C815" s="82"/>
      <c r="D815" s="82"/>
      <c r="E815" s="82"/>
      <c r="F815" s="82"/>
      <c r="G815" s="222"/>
      <c r="H815" s="222"/>
      <c r="I815" s="222"/>
      <c r="J815" s="6"/>
      <c r="K815" s="6"/>
      <c r="L815" s="6"/>
      <c r="M815" s="6"/>
      <c r="N815" s="6"/>
      <c r="O815" s="6"/>
      <c r="P815" s="6"/>
      <c r="Q815" s="6"/>
      <c r="R815" s="6"/>
      <c r="S815" s="6"/>
      <c r="T815" s="6"/>
      <c r="U815" s="6"/>
    </row>
    <row r="816" spans="1:21">
      <c r="A816" s="82"/>
      <c r="B816" s="83"/>
      <c r="C816" s="82"/>
      <c r="D816" s="82"/>
      <c r="E816" s="82"/>
      <c r="F816" s="82"/>
      <c r="G816" s="222"/>
      <c r="H816" s="222"/>
      <c r="I816" s="222"/>
      <c r="J816" s="6"/>
      <c r="K816" s="6"/>
      <c r="L816" s="6"/>
      <c r="M816" s="6"/>
      <c r="N816" s="6"/>
      <c r="O816" s="6"/>
      <c r="P816" s="6"/>
      <c r="Q816" s="6"/>
      <c r="R816" s="6"/>
      <c r="S816" s="6"/>
      <c r="T816" s="6"/>
      <c r="U816" s="6"/>
    </row>
    <row r="817" spans="1:21">
      <c r="A817" s="82"/>
      <c r="B817" s="83"/>
      <c r="C817" s="82"/>
      <c r="D817" s="82"/>
      <c r="E817" s="82"/>
      <c r="F817" s="82"/>
      <c r="G817" s="222"/>
      <c r="H817" s="222"/>
      <c r="I817" s="222"/>
      <c r="J817" s="6"/>
      <c r="K817" s="6"/>
      <c r="L817" s="6"/>
      <c r="M817" s="6"/>
      <c r="N817" s="6"/>
      <c r="O817" s="6"/>
      <c r="P817" s="6"/>
      <c r="Q817" s="6"/>
      <c r="R817" s="6"/>
      <c r="S817" s="6"/>
      <c r="T817" s="6"/>
      <c r="U817" s="6"/>
    </row>
    <row r="818" spans="1:21">
      <c r="A818" s="82"/>
      <c r="B818" s="83"/>
      <c r="C818" s="82"/>
      <c r="D818" s="82"/>
      <c r="E818" s="82"/>
      <c r="F818" s="82"/>
      <c r="G818" s="222"/>
      <c r="H818" s="222"/>
      <c r="I818" s="222"/>
      <c r="J818" s="6"/>
      <c r="K818" s="6"/>
      <c r="L818" s="6"/>
      <c r="M818" s="6"/>
      <c r="N818" s="6"/>
      <c r="O818" s="6"/>
      <c r="P818" s="6"/>
      <c r="Q818" s="6"/>
      <c r="R818" s="6"/>
      <c r="S818" s="6"/>
      <c r="T818" s="6"/>
      <c r="U818" s="6"/>
    </row>
    <row r="819" spans="1:21">
      <c r="A819" s="82"/>
      <c r="B819" s="83"/>
      <c r="C819" s="82"/>
      <c r="D819" s="82"/>
      <c r="E819" s="82"/>
      <c r="F819" s="82"/>
      <c r="G819" s="222"/>
      <c r="H819" s="222"/>
      <c r="I819" s="222"/>
      <c r="J819" s="6"/>
      <c r="K819" s="6"/>
      <c r="L819" s="6"/>
      <c r="M819" s="6"/>
      <c r="N819" s="6"/>
      <c r="O819" s="6"/>
      <c r="P819" s="6"/>
      <c r="Q819" s="6"/>
      <c r="R819" s="6"/>
      <c r="S819" s="6"/>
      <c r="T819" s="6"/>
      <c r="U819" s="6"/>
    </row>
    <row r="820" spans="1:21">
      <c r="A820" s="82"/>
      <c r="B820" s="83"/>
      <c r="C820" s="82"/>
      <c r="D820" s="82"/>
      <c r="E820" s="82"/>
      <c r="F820" s="82"/>
      <c r="G820" s="222"/>
      <c r="H820" s="222"/>
      <c r="I820" s="222"/>
      <c r="J820" s="6"/>
      <c r="K820" s="6"/>
      <c r="L820" s="6"/>
      <c r="M820" s="6"/>
      <c r="N820" s="6"/>
      <c r="O820" s="6"/>
      <c r="P820" s="6"/>
      <c r="Q820" s="6"/>
      <c r="R820" s="6"/>
      <c r="S820" s="6"/>
      <c r="T820" s="6"/>
      <c r="U820" s="6"/>
    </row>
    <row r="821" spans="1:21">
      <c r="A821" s="82"/>
      <c r="B821" s="83"/>
      <c r="C821" s="82"/>
      <c r="D821" s="82"/>
      <c r="E821" s="82"/>
      <c r="F821" s="82"/>
      <c r="G821" s="222"/>
      <c r="H821" s="222"/>
      <c r="I821" s="222"/>
      <c r="J821" s="6"/>
      <c r="K821" s="6"/>
      <c r="L821" s="6"/>
      <c r="M821" s="6"/>
      <c r="N821" s="6"/>
      <c r="O821" s="6"/>
      <c r="P821" s="6"/>
      <c r="Q821" s="6"/>
      <c r="R821" s="6"/>
      <c r="S821" s="6"/>
      <c r="T821" s="6"/>
      <c r="U821" s="6"/>
    </row>
    <row r="822" spans="1:21">
      <c r="A822" s="82"/>
      <c r="B822" s="83"/>
      <c r="C822" s="82"/>
      <c r="D822" s="82"/>
      <c r="E822" s="82"/>
      <c r="F822" s="82"/>
      <c r="G822" s="222"/>
      <c r="H822" s="222"/>
      <c r="I822" s="222"/>
      <c r="J822" s="6"/>
      <c r="K822" s="6"/>
      <c r="L822" s="6"/>
      <c r="M822" s="6"/>
      <c r="N822" s="6"/>
      <c r="O822" s="6"/>
      <c r="P822" s="6"/>
      <c r="Q822" s="6"/>
      <c r="R822" s="6"/>
      <c r="S822" s="6"/>
      <c r="T822" s="6"/>
      <c r="U822" s="6"/>
    </row>
    <row r="823" spans="1:21">
      <c r="A823" s="82"/>
      <c r="B823" s="83"/>
      <c r="C823" s="82"/>
      <c r="D823" s="82"/>
      <c r="E823" s="82"/>
      <c r="F823" s="82"/>
      <c r="G823" s="222"/>
      <c r="H823" s="222"/>
      <c r="I823" s="222"/>
      <c r="J823" s="6"/>
      <c r="K823" s="6"/>
      <c r="L823" s="6"/>
      <c r="M823" s="6"/>
      <c r="N823" s="6"/>
      <c r="O823" s="6"/>
      <c r="P823" s="6"/>
      <c r="Q823" s="6"/>
      <c r="R823" s="6"/>
      <c r="S823" s="6"/>
      <c r="T823" s="6"/>
      <c r="U823" s="6"/>
    </row>
    <row r="824" spans="1:21">
      <c r="A824" s="82"/>
      <c r="B824" s="83"/>
      <c r="C824" s="82"/>
      <c r="D824" s="82"/>
      <c r="E824" s="82"/>
      <c r="F824" s="82"/>
      <c r="G824" s="222"/>
      <c r="H824" s="222"/>
      <c r="I824" s="222"/>
      <c r="J824" s="6"/>
      <c r="K824" s="6"/>
      <c r="L824" s="6"/>
      <c r="M824" s="6"/>
      <c r="N824" s="6"/>
      <c r="O824" s="6"/>
      <c r="P824" s="6"/>
      <c r="Q824" s="6"/>
      <c r="R824" s="6"/>
      <c r="S824" s="6"/>
      <c r="T824" s="6"/>
      <c r="U824" s="6"/>
    </row>
    <row r="825" spans="1:21">
      <c r="A825" s="82"/>
      <c r="B825" s="83"/>
      <c r="C825" s="82"/>
      <c r="D825" s="82"/>
      <c r="E825" s="82"/>
      <c r="F825" s="82"/>
      <c r="G825" s="222"/>
      <c r="H825" s="222"/>
      <c r="I825" s="222"/>
      <c r="J825" s="6"/>
      <c r="K825" s="6"/>
      <c r="L825" s="6"/>
      <c r="M825" s="6"/>
      <c r="N825" s="6"/>
      <c r="O825" s="6"/>
      <c r="P825" s="6"/>
      <c r="Q825" s="6"/>
      <c r="R825" s="6"/>
      <c r="S825" s="6"/>
      <c r="T825" s="6"/>
      <c r="U825" s="6"/>
    </row>
    <row r="826" spans="1:21">
      <c r="A826" s="82"/>
      <c r="B826" s="83"/>
      <c r="C826" s="82"/>
      <c r="D826" s="82"/>
      <c r="E826" s="82"/>
      <c r="F826" s="82"/>
      <c r="G826" s="222"/>
      <c r="H826" s="222"/>
      <c r="I826" s="222"/>
      <c r="J826" s="6"/>
      <c r="K826" s="6"/>
      <c r="L826" s="6"/>
      <c r="M826" s="6"/>
      <c r="N826" s="6"/>
      <c r="O826" s="6"/>
      <c r="P826" s="6"/>
      <c r="Q826" s="6"/>
      <c r="R826" s="6"/>
      <c r="S826" s="6"/>
      <c r="T826" s="6"/>
      <c r="U826" s="6"/>
    </row>
    <row r="827" spans="1:21">
      <c r="A827" s="82"/>
      <c r="B827" s="83"/>
      <c r="C827" s="82"/>
      <c r="D827" s="82"/>
      <c r="E827" s="82"/>
      <c r="F827" s="82"/>
      <c r="G827" s="222"/>
      <c r="H827" s="222"/>
      <c r="I827" s="222"/>
      <c r="J827" s="6"/>
      <c r="K827" s="6"/>
      <c r="L827" s="6"/>
      <c r="M827" s="6"/>
      <c r="N827" s="6"/>
      <c r="O827" s="6"/>
      <c r="P827" s="6"/>
      <c r="Q827" s="6"/>
      <c r="R827" s="6"/>
      <c r="S827" s="6"/>
      <c r="T827" s="6"/>
      <c r="U827" s="6"/>
    </row>
    <row r="828" spans="1:21">
      <c r="A828" s="82"/>
      <c r="B828" s="83"/>
      <c r="C828" s="82"/>
      <c r="D828" s="82"/>
      <c r="E828" s="82"/>
      <c r="F828" s="82"/>
      <c r="G828" s="222"/>
      <c r="H828" s="222"/>
      <c r="I828" s="222"/>
      <c r="J828" s="6"/>
      <c r="K828" s="6"/>
      <c r="L828" s="6"/>
      <c r="M828" s="6"/>
      <c r="N828" s="6"/>
      <c r="O828" s="6"/>
      <c r="P828" s="6"/>
      <c r="Q828" s="6"/>
      <c r="R828" s="6"/>
      <c r="S828" s="6"/>
      <c r="T828" s="6"/>
      <c r="U828" s="6"/>
    </row>
    <row r="829" spans="1:21">
      <c r="A829" s="82"/>
      <c r="B829" s="83"/>
      <c r="C829" s="82"/>
      <c r="D829" s="82"/>
      <c r="E829" s="82"/>
      <c r="F829" s="82"/>
      <c r="G829" s="222"/>
      <c r="H829" s="222"/>
      <c r="I829" s="222"/>
      <c r="J829" s="6"/>
      <c r="K829" s="6"/>
      <c r="L829" s="6"/>
      <c r="M829" s="6"/>
      <c r="N829" s="6"/>
      <c r="O829" s="6"/>
      <c r="P829" s="6"/>
      <c r="Q829" s="6"/>
      <c r="R829" s="6"/>
      <c r="S829" s="6"/>
      <c r="T829" s="6"/>
      <c r="U829" s="6"/>
    </row>
    <row r="830" spans="1:21">
      <c r="A830" s="82"/>
      <c r="B830" s="83"/>
      <c r="C830" s="82"/>
      <c r="D830" s="82"/>
      <c r="E830" s="82"/>
      <c r="F830" s="82"/>
      <c r="G830" s="222"/>
      <c r="H830" s="222"/>
      <c r="I830" s="222"/>
      <c r="J830" s="6"/>
      <c r="K830" s="6"/>
      <c r="L830" s="6"/>
      <c r="M830" s="6"/>
      <c r="N830" s="6"/>
      <c r="O830" s="6"/>
      <c r="P830" s="6"/>
      <c r="Q830" s="6"/>
      <c r="R830" s="6"/>
      <c r="S830" s="6"/>
      <c r="T830" s="6"/>
      <c r="U830" s="6"/>
    </row>
    <row r="831" spans="1:21">
      <c r="A831" s="82"/>
      <c r="B831" s="83"/>
      <c r="C831" s="82"/>
      <c r="D831" s="82"/>
      <c r="E831" s="82"/>
      <c r="F831" s="82"/>
      <c r="G831" s="222"/>
      <c r="H831" s="222"/>
      <c r="I831" s="222"/>
      <c r="J831" s="6"/>
      <c r="K831" s="6"/>
      <c r="L831" s="6"/>
      <c r="M831" s="6"/>
      <c r="N831" s="6"/>
      <c r="O831" s="6"/>
      <c r="P831" s="6"/>
      <c r="Q831" s="6"/>
      <c r="R831" s="6"/>
      <c r="S831" s="6"/>
      <c r="T831" s="6"/>
      <c r="U831" s="6"/>
    </row>
    <row r="832" spans="1:21">
      <c r="A832" s="82"/>
      <c r="B832" s="83"/>
      <c r="C832" s="82"/>
      <c r="D832" s="82"/>
      <c r="E832" s="82"/>
      <c r="F832" s="82"/>
      <c r="G832" s="222"/>
      <c r="H832" s="222"/>
      <c r="I832" s="222"/>
      <c r="J832" s="6"/>
      <c r="K832" s="6"/>
      <c r="L832" s="6"/>
      <c r="M832" s="6"/>
      <c r="N832" s="6"/>
      <c r="O832" s="6"/>
      <c r="P832" s="6"/>
      <c r="Q832" s="6"/>
      <c r="R832" s="6"/>
      <c r="S832" s="6"/>
      <c r="T832" s="6"/>
      <c r="U832" s="6"/>
    </row>
    <row r="833" spans="1:21">
      <c r="A833" s="82"/>
      <c r="B833" s="83"/>
      <c r="C833" s="82"/>
      <c r="D833" s="82"/>
      <c r="E833" s="82"/>
      <c r="F833" s="82"/>
      <c r="G833" s="222"/>
      <c r="H833" s="222"/>
      <c r="I833" s="222"/>
      <c r="J833" s="6"/>
      <c r="K833" s="6"/>
      <c r="L833" s="6"/>
      <c r="M833" s="6"/>
      <c r="N833" s="6"/>
      <c r="O833" s="6"/>
      <c r="P833" s="6"/>
      <c r="Q833" s="6"/>
      <c r="R833" s="6"/>
      <c r="S833" s="6"/>
      <c r="T833" s="6"/>
      <c r="U833" s="6"/>
    </row>
    <row r="834" spans="1:21">
      <c r="A834" s="82"/>
      <c r="B834" s="83"/>
      <c r="C834" s="82"/>
      <c r="D834" s="82"/>
      <c r="E834" s="82"/>
      <c r="F834" s="82"/>
      <c r="G834" s="222"/>
      <c r="H834" s="222"/>
      <c r="I834" s="222"/>
      <c r="J834" s="6"/>
      <c r="K834" s="6"/>
      <c r="L834" s="6"/>
      <c r="M834" s="6"/>
      <c r="N834" s="6"/>
      <c r="O834" s="6"/>
      <c r="P834" s="6"/>
      <c r="Q834" s="6"/>
      <c r="R834" s="6"/>
      <c r="S834" s="6"/>
      <c r="T834" s="6"/>
      <c r="U834" s="6"/>
    </row>
    <row r="835" spans="1:21">
      <c r="A835" s="82"/>
      <c r="B835" s="83"/>
      <c r="C835" s="82"/>
      <c r="D835" s="82"/>
      <c r="E835" s="82"/>
      <c r="F835" s="82"/>
      <c r="G835" s="222"/>
      <c r="H835" s="222"/>
      <c r="I835" s="222"/>
      <c r="J835" s="6"/>
      <c r="K835" s="6"/>
      <c r="L835" s="6"/>
      <c r="M835" s="6"/>
      <c r="N835" s="6"/>
      <c r="O835" s="6"/>
      <c r="P835" s="6"/>
      <c r="Q835" s="6"/>
      <c r="R835" s="6"/>
      <c r="S835" s="6"/>
      <c r="T835" s="6"/>
      <c r="U835" s="6"/>
    </row>
    <row r="836" spans="1:21">
      <c r="A836" s="82"/>
      <c r="B836" s="83"/>
      <c r="C836" s="82"/>
      <c r="D836" s="82"/>
      <c r="E836" s="82"/>
      <c r="F836" s="82"/>
      <c r="G836" s="222"/>
      <c r="H836" s="222"/>
      <c r="I836" s="222"/>
      <c r="J836" s="6"/>
      <c r="K836" s="6"/>
      <c r="L836" s="6"/>
      <c r="M836" s="6"/>
      <c r="N836" s="6"/>
      <c r="O836" s="6"/>
      <c r="P836" s="6"/>
      <c r="Q836" s="6"/>
      <c r="R836" s="6"/>
      <c r="S836" s="6"/>
      <c r="T836" s="6"/>
      <c r="U836" s="6"/>
    </row>
    <row r="837" spans="1:21">
      <c r="A837" s="82"/>
      <c r="B837" s="83"/>
      <c r="C837" s="82"/>
      <c r="D837" s="82"/>
      <c r="E837" s="82"/>
      <c r="F837" s="82"/>
      <c r="G837" s="222"/>
      <c r="H837" s="222"/>
      <c r="I837" s="222"/>
      <c r="J837" s="6"/>
      <c r="K837" s="6"/>
      <c r="L837" s="6"/>
      <c r="M837" s="6"/>
      <c r="N837" s="6"/>
      <c r="O837" s="6"/>
      <c r="P837" s="6"/>
      <c r="Q837" s="6"/>
      <c r="R837" s="6"/>
      <c r="S837" s="6"/>
      <c r="T837" s="6"/>
      <c r="U837" s="6"/>
    </row>
    <row r="838" spans="1:21">
      <c r="A838" s="82"/>
      <c r="B838" s="83"/>
      <c r="C838" s="82"/>
      <c r="D838" s="82"/>
      <c r="E838" s="82"/>
      <c r="F838" s="82"/>
      <c r="G838" s="222"/>
      <c r="H838" s="222"/>
      <c r="I838" s="222"/>
      <c r="J838" s="6"/>
      <c r="K838" s="6"/>
      <c r="L838" s="6"/>
      <c r="M838" s="6"/>
      <c r="N838" s="6"/>
      <c r="O838" s="6"/>
      <c r="P838" s="6"/>
      <c r="Q838" s="6"/>
      <c r="R838" s="6"/>
      <c r="S838" s="6"/>
      <c r="T838" s="6"/>
      <c r="U838" s="6"/>
    </row>
    <row r="839" spans="1:21">
      <c r="A839" s="82"/>
      <c r="B839" s="83"/>
      <c r="C839" s="82"/>
      <c r="D839" s="82"/>
      <c r="E839" s="82"/>
      <c r="F839" s="82"/>
      <c r="G839" s="222"/>
      <c r="H839" s="222"/>
      <c r="I839" s="222"/>
      <c r="J839" s="6"/>
      <c r="K839" s="6"/>
      <c r="L839" s="6"/>
      <c r="M839" s="6"/>
      <c r="N839" s="6"/>
      <c r="O839" s="6"/>
      <c r="P839" s="6"/>
      <c r="Q839" s="6"/>
      <c r="R839" s="6"/>
      <c r="S839" s="6"/>
      <c r="T839" s="6"/>
      <c r="U839" s="6"/>
    </row>
    <row r="840" spans="1:21">
      <c r="A840" s="82"/>
      <c r="B840" s="83"/>
      <c r="C840" s="82"/>
      <c r="D840" s="82"/>
      <c r="E840" s="82"/>
      <c r="F840" s="82"/>
      <c r="G840" s="222"/>
      <c r="H840" s="222"/>
      <c r="I840" s="222"/>
      <c r="J840" s="6"/>
      <c r="K840" s="6"/>
      <c r="L840" s="6"/>
      <c r="M840" s="6"/>
      <c r="N840" s="6"/>
      <c r="O840" s="6"/>
      <c r="P840" s="6"/>
      <c r="Q840" s="6"/>
      <c r="R840" s="6"/>
      <c r="S840" s="6"/>
      <c r="T840" s="6"/>
      <c r="U840" s="6"/>
    </row>
    <row r="841" spans="1:21">
      <c r="A841" s="82"/>
      <c r="B841" s="83"/>
      <c r="C841" s="82"/>
      <c r="D841" s="82"/>
      <c r="E841" s="82"/>
      <c r="F841" s="82"/>
      <c r="G841" s="222"/>
      <c r="H841" s="222"/>
      <c r="I841" s="222"/>
      <c r="J841" s="6"/>
      <c r="K841" s="6"/>
      <c r="L841" s="6"/>
      <c r="M841" s="6"/>
      <c r="N841" s="6"/>
      <c r="O841" s="6"/>
      <c r="P841" s="6"/>
      <c r="Q841" s="6"/>
      <c r="R841" s="6"/>
      <c r="S841" s="6"/>
      <c r="T841" s="6"/>
      <c r="U841" s="6"/>
    </row>
    <row r="842" spans="1:21">
      <c r="A842" s="82"/>
      <c r="B842" s="83"/>
      <c r="C842" s="82"/>
      <c r="D842" s="82"/>
      <c r="E842" s="82"/>
      <c r="F842" s="82"/>
      <c r="G842" s="222"/>
      <c r="H842" s="222"/>
      <c r="I842" s="222"/>
      <c r="J842" s="6"/>
      <c r="K842" s="6"/>
      <c r="L842" s="6"/>
      <c r="M842" s="6"/>
      <c r="N842" s="6"/>
      <c r="O842" s="6"/>
      <c r="P842" s="6"/>
      <c r="Q842" s="6"/>
      <c r="R842" s="6"/>
      <c r="S842" s="6"/>
      <c r="T842" s="6"/>
      <c r="U842" s="6"/>
    </row>
    <row r="843" spans="1:21">
      <c r="A843" s="82"/>
      <c r="B843" s="83"/>
      <c r="C843" s="82"/>
      <c r="D843" s="82"/>
      <c r="E843" s="82"/>
      <c r="F843" s="82"/>
      <c r="G843" s="222"/>
      <c r="H843" s="222"/>
      <c r="I843" s="222"/>
      <c r="J843" s="6"/>
      <c r="K843" s="6"/>
      <c r="L843" s="6"/>
      <c r="M843" s="6"/>
      <c r="N843" s="6"/>
      <c r="O843" s="6"/>
      <c r="P843" s="6"/>
      <c r="Q843" s="6"/>
      <c r="R843" s="6"/>
      <c r="S843" s="6"/>
      <c r="T843" s="6"/>
      <c r="U843" s="6"/>
    </row>
    <row r="844" spans="1:21">
      <c r="A844" s="82"/>
      <c r="B844" s="83"/>
      <c r="C844" s="82"/>
      <c r="D844" s="82"/>
      <c r="E844" s="82"/>
      <c r="F844" s="82"/>
      <c r="G844" s="222"/>
      <c r="H844" s="222"/>
      <c r="I844" s="222"/>
      <c r="J844" s="6"/>
      <c r="K844" s="6"/>
      <c r="L844" s="6"/>
      <c r="M844" s="6"/>
      <c r="N844" s="6"/>
      <c r="O844" s="6"/>
      <c r="P844" s="6"/>
      <c r="Q844" s="6"/>
      <c r="R844" s="6"/>
      <c r="S844" s="6"/>
      <c r="T844" s="6"/>
      <c r="U844" s="6"/>
    </row>
    <row r="845" spans="1:21">
      <c r="A845" s="82"/>
      <c r="B845" s="83"/>
      <c r="C845" s="82"/>
      <c r="D845" s="82"/>
      <c r="E845" s="82"/>
      <c r="F845" s="82"/>
      <c r="G845" s="222"/>
      <c r="H845" s="222"/>
      <c r="I845" s="222"/>
      <c r="J845" s="6"/>
      <c r="K845" s="6"/>
      <c r="L845" s="6"/>
      <c r="M845" s="6"/>
      <c r="N845" s="6"/>
      <c r="O845" s="6"/>
      <c r="P845" s="6"/>
      <c r="Q845" s="6"/>
      <c r="R845" s="6"/>
      <c r="S845" s="6"/>
      <c r="T845" s="6"/>
      <c r="U845" s="6"/>
    </row>
    <row r="846" spans="1:21">
      <c r="A846" s="82"/>
      <c r="B846" s="83"/>
      <c r="C846" s="82"/>
      <c r="D846" s="82"/>
      <c r="E846" s="82"/>
      <c r="F846" s="82"/>
      <c r="G846" s="222"/>
      <c r="H846" s="222"/>
      <c r="I846" s="222"/>
      <c r="J846" s="6"/>
      <c r="K846" s="6"/>
      <c r="L846" s="6"/>
      <c r="M846" s="6"/>
      <c r="N846" s="6"/>
      <c r="O846" s="6"/>
      <c r="P846" s="6"/>
      <c r="Q846" s="6"/>
      <c r="R846" s="6"/>
      <c r="S846" s="6"/>
      <c r="T846" s="6"/>
      <c r="U846" s="6"/>
    </row>
    <row r="847" spans="1:21">
      <c r="A847" s="82"/>
      <c r="B847" s="83"/>
      <c r="C847" s="82"/>
      <c r="D847" s="82"/>
      <c r="E847" s="82"/>
      <c r="F847" s="82"/>
      <c r="G847" s="222"/>
      <c r="H847" s="222"/>
      <c r="I847" s="222"/>
      <c r="J847" s="6"/>
      <c r="K847" s="6"/>
      <c r="L847" s="6"/>
      <c r="M847" s="6"/>
      <c r="N847" s="6"/>
      <c r="O847" s="6"/>
      <c r="P847" s="6"/>
      <c r="Q847" s="6"/>
      <c r="R847" s="6"/>
      <c r="S847" s="6"/>
      <c r="T847" s="6"/>
      <c r="U847" s="6"/>
    </row>
    <row r="848" spans="1:21">
      <c r="A848" s="82"/>
      <c r="B848" s="83"/>
      <c r="C848" s="82"/>
      <c r="D848" s="82"/>
      <c r="E848" s="82"/>
      <c r="F848" s="82"/>
      <c r="G848" s="222"/>
      <c r="H848" s="222"/>
      <c r="I848" s="222"/>
      <c r="J848" s="6"/>
      <c r="K848" s="6"/>
      <c r="L848" s="6"/>
      <c r="M848" s="6"/>
      <c r="N848" s="6"/>
      <c r="O848" s="6"/>
      <c r="P848" s="6"/>
      <c r="Q848" s="6"/>
      <c r="R848" s="6"/>
      <c r="S848" s="6"/>
      <c r="T848" s="6"/>
      <c r="U848" s="6"/>
    </row>
    <row r="849" spans="1:21">
      <c r="A849" s="82"/>
      <c r="B849" s="83"/>
      <c r="C849" s="82"/>
      <c r="D849" s="82"/>
      <c r="E849" s="82"/>
      <c r="F849" s="82"/>
      <c r="G849" s="222"/>
      <c r="H849" s="222"/>
      <c r="I849" s="222"/>
      <c r="J849" s="6"/>
      <c r="K849" s="6"/>
      <c r="L849" s="6"/>
      <c r="M849" s="6"/>
      <c r="N849" s="6"/>
      <c r="O849" s="6"/>
      <c r="P849" s="6"/>
      <c r="Q849" s="6"/>
      <c r="R849" s="6"/>
      <c r="S849" s="6"/>
      <c r="T849" s="6"/>
      <c r="U849" s="6"/>
    </row>
    <row r="850" spans="1:21">
      <c r="A850" s="82"/>
      <c r="B850" s="83"/>
      <c r="C850" s="82"/>
      <c r="D850" s="82"/>
      <c r="E850" s="82"/>
      <c r="F850" s="82"/>
      <c r="G850" s="222"/>
      <c r="H850" s="222"/>
      <c r="I850" s="222"/>
      <c r="J850" s="6"/>
      <c r="K850" s="6"/>
      <c r="L850" s="6"/>
      <c r="M850" s="6"/>
      <c r="N850" s="6"/>
      <c r="O850" s="6"/>
      <c r="P850" s="6"/>
      <c r="Q850" s="6"/>
      <c r="R850" s="6"/>
      <c r="S850" s="6"/>
      <c r="T850" s="6"/>
      <c r="U850" s="6"/>
    </row>
    <row r="851" spans="1:21">
      <c r="A851" s="82"/>
      <c r="B851" s="83"/>
      <c r="C851" s="82"/>
      <c r="D851" s="82"/>
      <c r="E851" s="82"/>
      <c r="F851" s="82"/>
      <c r="G851" s="222"/>
      <c r="H851" s="222"/>
      <c r="I851" s="222"/>
      <c r="J851" s="6"/>
      <c r="K851" s="6"/>
      <c r="L851" s="6"/>
      <c r="M851" s="6"/>
      <c r="N851" s="6"/>
      <c r="O851" s="6"/>
      <c r="P851" s="6"/>
      <c r="Q851" s="6"/>
      <c r="R851" s="6"/>
      <c r="S851" s="6"/>
      <c r="T851" s="6"/>
      <c r="U851" s="6"/>
    </row>
    <row r="852" spans="1:21">
      <c r="A852" s="82"/>
      <c r="B852" s="83"/>
      <c r="C852" s="82"/>
      <c r="D852" s="82"/>
      <c r="E852" s="82"/>
      <c r="F852" s="82"/>
      <c r="G852" s="222"/>
      <c r="H852" s="222"/>
      <c r="I852" s="222"/>
      <c r="J852" s="6"/>
      <c r="K852" s="6"/>
      <c r="L852" s="6"/>
      <c r="M852" s="6"/>
      <c r="N852" s="6"/>
      <c r="O852" s="6"/>
      <c r="P852" s="6"/>
      <c r="Q852" s="6"/>
      <c r="R852" s="6"/>
      <c r="S852" s="6"/>
      <c r="T852" s="6"/>
      <c r="U852" s="6"/>
    </row>
    <row r="853" spans="1:21">
      <c r="A853" s="82"/>
      <c r="B853" s="83"/>
      <c r="C853" s="82"/>
      <c r="D853" s="82"/>
      <c r="E853" s="82"/>
      <c r="F853" s="82"/>
      <c r="G853" s="222"/>
      <c r="H853" s="222"/>
      <c r="I853" s="222"/>
      <c r="J853" s="6"/>
      <c r="K853" s="6"/>
      <c r="L853" s="6"/>
      <c r="M853" s="6"/>
      <c r="N853" s="6"/>
      <c r="O853" s="6"/>
      <c r="P853" s="6"/>
      <c r="Q853" s="6"/>
      <c r="R853" s="6"/>
      <c r="S853" s="6"/>
      <c r="T853" s="6"/>
      <c r="U853" s="6"/>
    </row>
    <row r="854" spans="1:21">
      <c r="A854" s="82"/>
      <c r="B854" s="83"/>
      <c r="C854" s="82"/>
      <c r="D854" s="82"/>
      <c r="E854" s="82"/>
      <c r="F854" s="82"/>
      <c r="G854" s="222"/>
      <c r="H854" s="222"/>
      <c r="I854" s="222"/>
      <c r="J854" s="6"/>
      <c r="K854" s="6"/>
      <c r="L854" s="6"/>
      <c r="M854" s="6"/>
      <c r="N854" s="6"/>
      <c r="O854" s="6"/>
      <c r="P854" s="6"/>
      <c r="Q854" s="6"/>
      <c r="R854" s="6"/>
      <c r="S854" s="6"/>
      <c r="T854" s="6"/>
      <c r="U854" s="6"/>
    </row>
    <row r="855" spans="1:21">
      <c r="A855" s="82"/>
      <c r="B855" s="83"/>
      <c r="C855" s="82"/>
      <c r="D855" s="82"/>
      <c r="E855" s="82"/>
      <c r="F855" s="82"/>
      <c r="G855" s="222"/>
      <c r="H855" s="222"/>
      <c r="I855" s="222"/>
      <c r="J855" s="6"/>
      <c r="K855" s="6"/>
      <c r="L855" s="6"/>
      <c r="M855" s="6"/>
      <c r="N855" s="6"/>
      <c r="O855" s="6"/>
      <c r="P855" s="6"/>
      <c r="Q855" s="6"/>
      <c r="R855" s="6"/>
      <c r="S855" s="6"/>
      <c r="T855" s="6"/>
      <c r="U855" s="6"/>
    </row>
    <row r="856" spans="1:21">
      <c r="A856" s="82"/>
      <c r="B856" s="83"/>
      <c r="C856" s="82"/>
      <c r="D856" s="82"/>
      <c r="E856" s="82"/>
      <c r="F856" s="82"/>
      <c r="G856" s="222"/>
      <c r="H856" s="222"/>
      <c r="I856" s="222"/>
      <c r="J856" s="6"/>
      <c r="K856" s="6"/>
      <c r="L856" s="6"/>
      <c r="M856" s="6"/>
      <c r="N856" s="6"/>
      <c r="O856" s="6"/>
      <c r="P856" s="6"/>
      <c r="Q856" s="6"/>
      <c r="R856" s="6"/>
      <c r="S856" s="6"/>
      <c r="T856" s="6"/>
      <c r="U856" s="6"/>
    </row>
    <row r="857" spans="1:21">
      <c r="A857" s="82"/>
      <c r="B857" s="83"/>
      <c r="C857" s="82"/>
      <c r="D857" s="82"/>
      <c r="E857" s="82"/>
      <c r="F857" s="82"/>
      <c r="G857" s="222"/>
      <c r="H857" s="222"/>
      <c r="I857" s="222"/>
      <c r="J857" s="6"/>
      <c r="K857" s="6"/>
      <c r="L857" s="6"/>
      <c r="M857" s="6"/>
      <c r="N857" s="6"/>
      <c r="O857" s="6"/>
      <c r="P857" s="6"/>
      <c r="Q857" s="6"/>
      <c r="R857" s="6"/>
      <c r="S857" s="6"/>
      <c r="T857" s="6"/>
      <c r="U857" s="6"/>
    </row>
    <row r="858" spans="1:21">
      <c r="A858" s="82"/>
      <c r="B858" s="83"/>
      <c r="C858" s="82"/>
      <c r="D858" s="82"/>
      <c r="E858" s="82"/>
      <c r="F858" s="82"/>
      <c r="G858" s="222"/>
      <c r="H858" s="222"/>
      <c r="I858" s="222"/>
      <c r="J858" s="6"/>
      <c r="K858" s="6"/>
      <c r="L858" s="6"/>
      <c r="M858" s="6"/>
      <c r="N858" s="6"/>
      <c r="O858" s="6"/>
      <c r="P858" s="6"/>
      <c r="Q858" s="6"/>
      <c r="R858" s="6"/>
      <c r="S858" s="6"/>
      <c r="T858" s="6"/>
      <c r="U858" s="6"/>
    </row>
    <row r="859" spans="1:21">
      <c r="A859" s="82"/>
      <c r="B859" s="83"/>
      <c r="C859" s="82"/>
      <c r="D859" s="82"/>
      <c r="E859" s="82"/>
      <c r="F859" s="82"/>
      <c r="G859" s="222"/>
      <c r="H859" s="222"/>
      <c r="I859" s="222"/>
      <c r="J859" s="6"/>
      <c r="K859" s="6"/>
      <c r="L859" s="6"/>
      <c r="M859" s="6"/>
      <c r="N859" s="6"/>
      <c r="O859" s="6"/>
      <c r="P859" s="6"/>
      <c r="Q859" s="6"/>
      <c r="R859" s="6"/>
      <c r="S859" s="6"/>
      <c r="T859" s="6"/>
      <c r="U859" s="6"/>
    </row>
    <row r="860" spans="1:21">
      <c r="A860" s="82"/>
      <c r="B860" s="83"/>
      <c r="C860" s="82"/>
      <c r="D860" s="82"/>
      <c r="E860" s="82"/>
      <c r="F860" s="82"/>
      <c r="G860" s="222"/>
      <c r="H860" s="222"/>
      <c r="I860" s="222"/>
      <c r="J860" s="6"/>
      <c r="K860" s="6"/>
      <c r="L860" s="6"/>
      <c r="M860" s="6"/>
      <c r="N860" s="6"/>
      <c r="O860" s="6"/>
      <c r="P860" s="6"/>
      <c r="Q860" s="6"/>
      <c r="R860" s="6"/>
      <c r="S860" s="6"/>
      <c r="T860" s="6"/>
      <c r="U860" s="6"/>
    </row>
    <row r="861" spans="1:21">
      <c r="A861" s="82"/>
      <c r="B861" s="83"/>
      <c r="C861" s="82"/>
      <c r="D861" s="82"/>
      <c r="E861" s="82"/>
      <c r="F861" s="82"/>
      <c r="G861" s="222"/>
      <c r="H861" s="222"/>
      <c r="I861" s="222"/>
      <c r="J861" s="6"/>
      <c r="K861" s="6"/>
      <c r="L861" s="6"/>
      <c r="M861" s="6"/>
      <c r="N861" s="6"/>
      <c r="O861" s="6"/>
      <c r="P861" s="6"/>
      <c r="Q861" s="6"/>
      <c r="R861" s="6"/>
      <c r="S861" s="6"/>
      <c r="T861" s="6"/>
      <c r="U861" s="6"/>
    </row>
    <row r="862" spans="1:21">
      <c r="A862" s="82"/>
      <c r="B862" s="83"/>
      <c r="C862" s="82"/>
      <c r="D862" s="82"/>
      <c r="E862" s="82"/>
      <c r="F862" s="82"/>
      <c r="G862" s="222"/>
      <c r="H862" s="222"/>
      <c r="I862" s="222"/>
      <c r="J862" s="6"/>
      <c r="K862" s="6"/>
      <c r="L862" s="6"/>
      <c r="M862" s="6"/>
      <c r="N862" s="6"/>
      <c r="O862" s="6"/>
      <c r="P862" s="6"/>
      <c r="Q862" s="6"/>
      <c r="R862" s="6"/>
      <c r="S862" s="6"/>
      <c r="T862" s="6"/>
      <c r="U862" s="6"/>
    </row>
    <row r="863" spans="1:21">
      <c r="A863" s="82"/>
      <c r="B863" s="83"/>
      <c r="C863" s="82"/>
      <c r="D863" s="82"/>
      <c r="E863" s="82"/>
      <c r="F863" s="82"/>
      <c r="G863" s="222"/>
      <c r="H863" s="222"/>
      <c r="I863" s="222"/>
      <c r="J863" s="6"/>
      <c r="K863" s="6"/>
      <c r="L863" s="6"/>
      <c r="M863" s="6"/>
      <c r="N863" s="6"/>
      <c r="O863" s="6"/>
      <c r="P863" s="6"/>
      <c r="Q863" s="6"/>
      <c r="R863" s="6"/>
      <c r="S863" s="6"/>
      <c r="T863" s="6"/>
      <c r="U863" s="6"/>
    </row>
    <row r="864" spans="1:21">
      <c r="A864" s="82"/>
      <c r="B864" s="83"/>
      <c r="C864" s="82"/>
      <c r="D864" s="82"/>
      <c r="E864" s="82"/>
      <c r="F864" s="82"/>
      <c r="G864" s="222"/>
      <c r="H864" s="222"/>
      <c r="I864" s="222"/>
      <c r="J864" s="6"/>
      <c r="K864" s="6"/>
      <c r="L864" s="6"/>
      <c r="M864" s="6"/>
      <c r="N864" s="6"/>
      <c r="O864" s="6"/>
      <c r="P864" s="6"/>
      <c r="Q864" s="6"/>
      <c r="R864" s="6"/>
      <c r="S864" s="6"/>
      <c r="T864" s="6"/>
      <c r="U864" s="6"/>
    </row>
    <row r="865" spans="1:21">
      <c r="A865" s="82"/>
      <c r="B865" s="83"/>
      <c r="C865" s="82"/>
      <c r="D865" s="82"/>
      <c r="E865" s="82"/>
      <c r="F865" s="82"/>
      <c r="G865" s="222"/>
      <c r="H865" s="222"/>
      <c r="I865" s="222"/>
      <c r="J865" s="6"/>
      <c r="K865" s="6"/>
      <c r="L865" s="6"/>
      <c r="M865" s="6"/>
      <c r="N865" s="6"/>
      <c r="O865" s="6"/>
      <c r="P865" s="6"/>
      <c r="Q865" s="6"/>
      <c r="R865" s="6"/>
      <c r="S865" s="6"/>
      <c r="T865" s="6"/>
      <c r="U865" s="6"/>
    </row>
    <row r="866" spans="1:21">
      <c r="A866" s="82"/>
      <c r="B866" s="83"/>
      <c r="C866" s="82"/>
      <c r="D866" s="82"/>
      <c r="E866" s="82"/>
      <c r="F866" s="82"/>
      <c r="G866" s="222"/>
      <c r="H866" s="222"/>
      <c r="I866" s="222"/>
      <c r="J866" s="6"/>
      <c r="K866" s="6"/>
      <c r="L866" s="6"/>
      <c r="M866" s="6"/>
      <c r="N866" s="6"/>
      <c r="O866" s="6"/>
      <c r="P866" s="6"/>
      <c r="Q866" s="6"/>
      <c r="R866" s="6"/>
      <c r="S866" s="6"/>
      <c r="T866" s="6"/>
      <c r="U866" s="6"/>
    </row>
    <row r="867" spans="1:21">
      <c r="A867" s="82"/>
      <c r="B867" s="83"/>
      <c r="C867" s="82"/>
      <c r="D867" s="82"/>
      <c r="E867" s="82"/>
      <c r="F867" s="82"/>
      <c r="G867" s="222"/>
      <c r="H867" s="222"/>
      <c r="I867" s="222"/>
      <c r="J867" s="6"/>
      <c r="K867" s="6"/>
      <c r="L867" s="6"/>
      <c r="M867" s="6"/>
      <c r="N867" s="6"/>
      <c r="O867" s="6"/>
      <c r="P867" s="6"/>
      <c r="Q867" s="6"/>
      <c r="R867" s="6"/>
      <c r="S867" s="6"/>
      <c r="T867" s="6"/>
      <c r="U867" s="6"/>
    </row>
    <row r="868" spans="1:21">
      <c r="A868" s="82"/>
      <c r="B868" s="83"/>
      <c r="C868" s="82"/>
      <c r="D868" s="82"/>
      <c r="E868" s="82"/>
      <c r="F868" s="82"/>
      <c r="G868" s="222"/>
      <c r="H868" s="222"/>
      <c r="I868" s="222"/>
      <c r="J868" s="6"/>
      <c r="K868" s="6"/>
      <c r="L868" s="6"/>
      <c r="M868" s="6"/>
      <c r="N868" s="6"/>
      <c r="O868" s="6"/>
      <c r="P868" s="6"/>
      <c r="Q868" s="6"/>
      <c r="R868" s="6"/>
      <c r="S868" s="6"/>
      <c r="T868" s="6"/>
      <c r="U868" s="6"/>
    </row>
    <row r="869" spans="1:21">
      <c r="A869" s="82"/>
      <c r="B869" s="83"/>
      <c r="C869" s="82"/>
      <c r="D869" s="82"/>
      <c r="E869" s="82"/>
      <c r="F869" s="82"/>
      <c r="G869" s="222"/>
      <c r="H869" s="222"/>
      <c r="I869" s="222"/>
      <c r="J869" s="6"/>
      <c r="K869" s="6"/>
      <c r="L869" s="6"/>
      <c r="M869" s="6"/>
      <c r="N869" s="6"/>
      <c r="O869" s="6"/>
      <c r="P869" s="6"/>
      <c r="Q869" s="6"/>
      <c r="R869" s="6"/>
      <c r="S869" s="6"/>
      <c r="T869" s="6"/>
      <c r="U869" s="6"/>
    </row>
    <row r="870" spans="1:21">
      <c r="A870" s="82"/>
      <c r="B870" s="83"/>
      <c r="C870" s="82"/>
      <c r="D870" s="82"/>
      <c r="E870" s="82"/>
      <c r="F870" s="82"/>
      <c r="G870" s="222"/>
      <c r="H870" s="222"/>
      <c r="I870" s="222"/>
      <c r="J870" s="6"/>
      <c r="K870" s="6"/>
      <c r="L870" s="6"/>
      <c r="M870" s="6"/>
      <c r="N870" s="6"/>
      <c r="O870" s="6"/>
      <c r="P870" s="6"/>
      <c r="Q870" s="6"/>
      <c r="R870" s="6"/>
      <c r="S870" s="6"/>
      <c r="T870" s="6"/>
      <c r="U870" s="6"/>
    </row>
    <row r="871" spans="1:21">
      <c r="A871" s="82"/>
      <c r="B871" s="83"/>
      <c r="C871" s="82"/>
      <c r="D871" s="82"/>
      <c r="E871" s="82"/>
      <c r="F871" s="82"/>
      <c r="G871" s="222"/>
      <c r="H871" s="222"/>
      <c r="I871" s="222"/>
      <c r="J871" s="6"/>
      <c r="K871" s="6"/>
      <c r="L871" s="6"/>
      <c r="M871" s="6"/>
      <c r="N871" s="6"/>
      <c r="O871" s="6"/>
      <c r="P871" s="6"/>
      <c r="Q871" s="6"/>
      <c r="R871" s="6"/>
      <c r="S871" s="6"/>
      <c r="T871" s="6"/>
      <c r="U871" s="6"/>
    </row>
    <row r="872" spans="1:21">
      <c r="A872" s="82"/>
      <c r="B872" s="83"/>
      <c r="C872" s="82"/>
      <c r="D872" s="82"/>
      <c r="E872" s="82"/>
      <c r="F872" s="82"/>
      <c r="G872" s="222"/>
      <c r="H872" s="222"/>
      <c r="I872" s="222"/>
      <c r="J872" s="6"/>
      <c r="K872" s="6"/>
      <c r="L872" s="6"/>
      <c r="M872" s="6"/>
      <c r="N872" s="6"/>
      <c r="O872" s="6"/>
      <c r="P872" s="6"/>
      <c r="Q872" s="6"/>
      <c r="R872" s="6"/>
      <c r="S872" s="6"/>
      <c r="T872" s="6"/>
      <c r="U872" s="6"/>
    </row>
    <row r="873" spans="1:21">
      <c r="A873" s="82"/>
      <c r="B873" s="83"/>
      <c r="C873" s="82"/>
      <c r="D873" s="82"/>
      <c r="E873" s="82"/>
      <c r="F873" s="82"/>
      <c r="G873" s="222"/>
      <c r="H873" s="222"/>
      <c r="I873" s="222"/>
      <c r="J873" s="6"/>
      <c r="K873" s="6"/>
      <c r="L873" s="6"/>
      <c r="M873" s="6"/>
      <c r="N873" s="6"/>
      <c r="O873" s="6"/>
      <c r="P873" s="6"/>
      <c r="Q873" s="6"/>
      <c r="R873" s="6"/>
      <c r="S873" s="6"/>
      <c r="T873" s="6"/>
      <c r="U873" s="6"/>
    </row>
    <row r="874" spans="1:21">
      <c r="A874" s="82"/>
      <c r="B874" s="83"/>
      <c r="C874" s="82"/>
      <c r="D874" s="82"/>
      <c r="E874" s="82"/>
      <c r="F874" s="82"/>
      <c r="G874" s="222"/>
      <c r="H874" s="222"/>
      <c r="I874" s="222"/>
      <c r="J874" s="6"/>
      <c r="K874" s="6"/>
      <c r="L874" s="6"/>
      <c r="M874" s="6"/>
      <c r="N874" s="6"/>
      <c r="O874" s="6"/>
      <c r="P874" s="6"/>
      <c r="Q874" s="6"/>
      <c r="R874" s="6"/>
      <c r="S874" s="6"/>
      <c r="T874" s="6"/>
      <c r="U874" s="6"/>
    </row>
    <row r="875" spans="1:21">
      <c r="A875" s="82"/>
      <c r="B875" s="83"/>
      <c r="C875" s="82"/>
      <c r="D875" s="82"/>
      <c r="E875" s="82"/>
      <c r="F875" s="82"/>
      <c r="G875" s="222"/>
      <c r="H875" s="222"/>
      <c r="I875" s="222"/>
      <c r="J875" s="6"/>
      <c r="K875" s="6"/>
      <c r="L875" s="6"/>
      <c r="M875" s="6"/>
      <c r="N875" s="6"/>
      <c r="O875" s="6"/>
      <c r="P875" s="6"/>
      <c r="Q875" s="6"/>
      <c r="R875" s="6"/>
      <c r="S875" s="6"/>
      <c r="T875" s="6"/>
      <c r="U875" s="6"/>
    </row>
    <row r="876" spans="1:21">
      <c r="A876" s="82"/>
      <c r="B876" s="83"/>
      <c r="C876" s="82"/>
      <c r="D876" s="82"/>
      <c r="E876" s="82"/>
      <c r="F876" s="82"/>
      <c r="G876" s="222"/>
      <c r="H876" s="222"/>
      <c r="I876" s="222"/>
      <c r="J876" s="6"/>
      <c r="K876" s="6"/>
      <c r="L876" s="6"/>
      <c r="M876" s="6"/>
      <c r="N876" s="6"/>
      <c r="O876" s="6"/>
      <c r="P876" s="6"/>
      <c r="Q876" s="6"/>
      <c r="R876" s="6"/>
      <c r="S876" s="6"/>
      <c r="T876" s="6"/>
      <c r="U876" s="6"/>
    </row>
    <row r="877" spans="1:21">
      <c r="A877" s="82"/>
      <c r="B877" s="83"/>
      <c r="C877" s="82"/>
      <c r="D877" s="82"/>
      <c r="E877" s="82"/>
      <c r="F877" s="82"/>
      <c r="G877" s="222"/>
      <c r="H877" s="222"/>
      <c r="I877" s="222"/>
      <c r="J877" s="6"/>
      <c r="K877" s="6"/>
      <c r="L877" s="6"/>
      <c r="M877" s="6"/>
      <c r="N877" s="6"/>
      <c r="O877" s="6"/>
      <c r="P877" s="6"/>
      <c r="Q877" s="6"/>
      <c r="R877" s="6"/>
      <c r="S877" s="6"/>
      <c r="T877" s="6"/>
      <c r="U877" s="6"/>
    </row>
    <row r="878" spans="1:21">
      <c r="A878" s="82"/>
      <c r="B878" s="83"/>
      <c r="C878" s="82"/>
      <c r="D878" s="82"/>
      <c r="E878" s="82"/>
      <c r="F878" s="82"/>
      <c r="G878" s="222"/>
      <c r="H878" s="222"/>
      <c r="I878" s="222"/>
      <c r="J878" s="6"/>
      <c r="K878" s="6"/>
      <c r="L878" s="6"/>
      <c r="M878" s="6"/>
      <c r="N878" s="6"/>
      <c r="O878" s="6"/>
      <c r="P878" s="6"/>
      <c r="Q878" s="6"/>
      <c r="R878" s="6"/>
      <c r="S878" s="6"/>
      <c r="T878" s="6"/>
      <c r="U878" s="6"/>
    </row>
    <row r="879" spans="1:21">
      <c r="A879" s="82"/>
      <c r="B879" s="83"/>
      <c r="C879" s="82"/>
      <c r="D879" s="82"/>
      <c r="E879" s="82"/>
      <c r="F879" s="82"/>
      <c r="G879" s="222"/>
      <c r="H879" s="222"/>
      <c r="I879" s="222"/>
      <c r="J879" s="6"/>
      <c r="K879" s="6"/>
      <c r="L879" s="6"/>
      <c r="M879" s="6"/>
      <c r="N879" s="6"/>
      <c r="O879" s="6"/>
      <c r="P879" s="6"/>
      <c r="Q879" s="6"/>
      <c r="R879" s="6"/>
      <c r="S879" s="6"/>
      <c r="T879" s="6"/>
      <c r="U879" s="6"/>
    </row>
    <row r="880" spans="1:21">
      <c r="A880" s="82"/>
      <c r="B880" s="83"/>
      <c r="C880" s="82"/>
      <c r="D880" s="82"/>
      <c r="E880" s="82"/>
      <c r="F880" s="82"/>
      <c r="G880" s="222"/>
      <c r="H880" s="222"/>
      <c r="I880" s="222"/>
      <c r="J880" s="6"/>
      <c r="K880" s="6"/>
      <c r="L880" s="6"/>
      <c r="M880" s="6"/>
      <c r="N880" s="6"/>
      <c r="O880" s="6"/>
      <c r="P880" s="6"/>
      <c r="Q880" s="6"/>
      <c r="R880" s="6"/>
      <c r="S880" s="6"/>
      <c r="T880" s="6"/>
      <c r="U880" s="6"/>
    </row>
    <row r="881" spans="1:21">
      <c r="A881" s="82"/>
      <c r="B881" s="83"/>
      <c r="C881" s="82"/>
      <c r="D881" s="82"/>
      <c r="E881" s="82"/>
      <c r="F881" s="82"/>
      <c r="G881" s="222"/>
      <c r="H881" s="222"/>
      <c r="I881" s="222"/>
      <c r="J881" s="6"/>
      <c r="K881" s="6"/>
      <c r="L881" s="6"/>
      <c r="M881" s="6"/>
      <c r="N881" s="6"/>
      <c r="O881" s="6"/>
      <c r="P881" s="6"/>
      <c r="Q881" s="6"/>
      <c r="R881" s="6"/>
      <c r="S881" s="6"/>
      <c r="T881" s="6"/>
      <c r="U881" s="6"/>
    </row>
    <row r="882" spans="1:21">
      <c r="A882" s="82"/>
      <c r="B882" s="83"/>
      <c r="C882" s="82"/>
      <c r="D882" s="82"/>
      <c r="E882" s="82"/>
      <c r="F882" s="82"/>
      <c r="G882" s="222"/>
      <c r="H882" s="222"/>
      <c r="I882" s="222"/>
      <c r="J882" s="6"/>
      <c r="K882" s="6"/>
      <c r="L882" s="6"/>
      <c r="M882" s="6"/>
      <c r="N882" s="6"/>
      <c r="O882" s="6"/>
      <c r="P882" s="6"/>
      <c r="Q882" s="6"/>
      <c r="R882" s="6"/>
      <c r="S882" s="6"/>
      <c r="T882" s="6"/>
      <c r="U882" s="6"/>
    </row>
    <row r="883" spans="1:21">
      <c r="A883" s="82"/>
      <c r="B883" s="83"/>
      <c r="C883" s="82"/>
      <c r="D883" s="82"/>
      <c r="E883" s="82"/>
      <c r="F883" s="82"/>
      <c r="G883" s="222"/>
      <c r="H883" s="222"/>
      <c r="I883" s="222"/>
      <c r="J883" s="6"/>
      <c r="K883" s="6"/>
      <c r="L883" s="6"/>
      <c r="M883" s="6"/>
      <c r="N883" s="6"/>
      <c r="O883" s="6"/>
      <c r="P883" s="6"/>
      <c r="Q883" s="6"/>
      <c r="R883" s="6"/>
      <c r="S883" s="6"/>
      <c r="T883" s="6"/>
      <c r="U883" s="6"/>
    </row>
    <row r="884" spans="1:21">
      <c r="A884" s="82"/>
      <c r="B884" s="83"/>
      <c r="C884" s="82"/>
      <c r="D884" s="82"/>
      <c r="E884" s="82"/>
      <c r="F884" s="82"/>
      <c r="G884" s="222"/>
      <c r="H884" s="222"/>
      <c r="I884" s="222"/>
      <c r="J884" s="6"/>
      <c r="K884" s="6"/>
      <c r="L884" s="6"/>
      <c r="M884" s="6"/>
      <c r="N884" s="6"/>
      <c r="O884" s="6"/>
      <c r="P884" s="6"/>
      <c r="Q884" s="6"/>
      <c r="R884" s="6"/>
      <c r="S884" s="6"/>
      <c r="T884" s="6"/>
      <c r="U884" s="6"/>
    </row>
    <row r="885" spans="1:21">
      <c r="A885" s="82"/>
      <c r="B885" s="83"/>
      <c r="C885" s="82"/>
      <c r="D885" s="82"/>
      <c r="E885" s="82"/>
      <c r="F885" s="82"/>
      <c r="G885" s="222"/>
      <c r="H885" s="222"/>
      <c r="I885" s="222"/>
      <c r="J885" s="6"/>
      <c r="K885" s="6"/>
      <c r="L885" s="6"/>
      <c r="M885" s="6"/>
      <c r="N885" s="6"/>
      <c r="O885" s="6"/>
      <c r="P885" s="6"/>
      <c r="Q885" s="6"/>
      <c r="R885" s="6"/>
      <c r="S885" s="6"/>
      <c r="T885" s="6"/>
      <c r="U885" s="6"/>
    </row>
    <row r="886" spans="1:21">
      <c r="A886" s="82"/>
      <c r="B886" s="83"/>
      <c r="C886" s="82"/>
      <c r="D886" s="82"/>
      <c r="E886" s="82"/>
      <c r="F886" s="82"/>
      <c r="G886" s="222"/>
      <c r="H886" s="222"/>
      <c r="I886" s="222"/>
      <c r="J886" s="6"/>
      <c r="K886" s="6"/>
      <c r="L886" s="6"/>
      <c r="M886" s="6"/>
      <c r="N886" s="6"/>
      <c r="O886" s="6"/>
      <c r="P886" s="6"/>
      <c r="Q886" s="6"/>
      <c r="R886" s="6"/>
      <c r="S886" s="6"/>
      <c r="T886" s="6"/>
      <c r="U886" s="6"/>
    </row>
    <row r="887" spans="1:21">
      <c r="A887" s="82"/>
      <c r="B887" s="83"/>
      <c r="C887" s="82"/>
      <c r="D887" s="82"/>
      <c r="E887" s="82"/>
      <c r="F887" s="82"/>
      <c r="G887" s="222"/>
      <c r="H887" s="222"/>
      <c r="I887" s="222"/>
      <c r="J887" s="6"/>
      <c r="K887" s="6"/>
      <c r="L887" s="6"/>
      <c r="M887" s="6"/>
      <c r="N887" s="6"/>
      <c r="O887" s="6"/>
      <c r="P887" s="6"/>
      <c r="Q887" s="6"/>
      <c r="R887" s="6"/>
      <c r="S887" s="6"/>
      <c r="T887" s="6"/>
      <c r="U887" s="6"/>
    </row>
    <row r="888" spans="1:21">
      <c r="A888" s="82"/>
      <c r="B888" s="83"/>
      <c r="C888" s="82"/>
      <c r="D888" s="82"/>
      <c r="E888" s="82"/>
      <c r="F888" s="82"/>
      <c r="G888" s="222"/>
      <c r="H888" s="222"/>
      <c r="I888" s="222"/>
      <c r="J888" s="6"/>
      <c r="K888" s="6"/>
      <c r="L888" s="6"/>
      <c r="M888" s="6"/>
      <c r="N888" s="6"/>
      <c r="O888" s="6"/>
      <c r="P888" s="6"/>
      <c r="Q888" s="6"/>
      <c r="R888" s="6"/>
      <c r="S888" s="6"/>
      <c r="T888" s="6"/>
      <c r="U888" s="6"/>
    </row>
    <row r="889" spans="1:21">
      <c r="A889" s="82"/>
      <c r="B889" s="83"/>
      <c r="C889" s="82"/>
      <c r="D889" s="82"/>
      <c r="E889" s="82"/>
      <c r="F889" s="82"/>
      <c r="G889" s="222"/>
      <c r="H889" s="222"/>
      <c r="I889" s="222"/>
      <c r="J889" s="6"/>
      <c r="K889" s="6"/>
      <c r="L889" s="6"/>
      <c r="M889" s="6"/>
      <c r="N889" s="6"/>
      <c r="O889" s="6"/>
      <c r="P889" s="6"/>
      <c r="Q889" s="6"/>
      <c r="R889" s="6"/>
      <c r="S889" s="6"/>
      <c r="T889" s="6"/>
      <c r="U889" s="6"/>
    </row>
    <row r="890" spans="1:21">
      <c r="A890" s="82"/>
      <c r="B890" s="83"/>
      <c r="C890" s="82"/>
      <c r="D890" s="82"/>
      <c r="E890" s="82"/>
      <c r="F890" s="82"/>
      <c r="G890" s="222"/>
      <c r="H890" s="222"/>
      <c r="I890" s="222"/>
      <c r="J890" s="6"/>
      <c r="K890" s="6"/>
      <c r="L890" s="6"/>
      <c r="M890" s="6"/>
      <c r="N890" s="6"/>
      <c r="O890" s="6"/>
      <c r="P890" s="6"/>
      <c r="Q890" s="6"/>
      <c r="R890" s="6"/>
      <c r="S890" s="6"/>
      <c r="T890" s="6"/>
      <c r="U890" s="6"/>
    </row>
    <row r="891" spans="1:21">
      <c r="A891" s="82"/>
      <c r="B891" s="83"/>
      <c r="C891" s="82"/>
      <c r="D891" s="82"/>
      <c r="E891" s="82"/>
      <c r="F891" s="82"/>
      <c r="G891" s="222"/>
      <c r="H891" s="222"/>
      <c r="I891" s="222"/>
      <c r="J891" s="6"/>
      <c r="K891" s="6"/>
      <c r="L891" s="6"/>
      <c r="M891" s="6"/>
      <c r="N891" s="6"/>
      <c r="O891" s="6"/>
      <c r="P891" s="6"/>
      <c r="Q891" s="6"/>
      <c r="R891" s="6"/>
      <c r="S891" s="6"/>
      <c r="T891" s="6"/>
      <c r="U891" s="6"/>
    </row>
    <row r="892" spans="1:21">
      <c r="A892" s="82"/>
      <c r="B892" s="83"/>
      <c r="C892" s="82"/>
      <c r="D892" s="82"/>
      <c r="E892" s="82"/>
      <c r="F892" s="82"/>
      <c r="G892" s="222"/>
      <c r="H892" s="222"/>
      <c r="I892" s="222"/>
      <c r="J892" s="6"/>
      <c r="K892" s="6"/>
      <c r="L892" s="6"/>
      <c r="M892" s="6"/>
      <c r="N892" s="6"/>
      <c r="O892" s="6"/>
      <c r="P892" s="6"/>
      <c r="Q892" s="6"/>
      <c r="R892" s="6"/>
      <c r="S892" s="6"/>
      <c r="T892" s="6"/>
      <c r="U892" s="6"/>
    </row>
    <row r="893" spans="1:21">
      <c r="A893" s="82"/>
      <c r="B893" s="83"/>
      <c r="C893" s="82"/>
      <c r="D893" s="82"/>
      <c r="E893" s="82"/>
      <c r="F893" s="82"/>
      <c r="G893" s="222"/>
      <c r="H893" s="222"/>
      <c r="I893" s="222"/>
      <c r="J893" s="6"/>
      <c r="K893" s="6"/>
      <c r="L893" s="6"/>
      <c r="M893" s="6"/>
      <c r="N893" s="6"/>
      <c r="O893" s="6"/>
      <c r="P893" s="6"/>
      <c r="Q893" s="6"/>
      <c r="R893" s="6"/>
      <c r="S893" s="6"/>
      <c r="T893" s="6"/>
      <c r="U893" s="6"/>
    </row>
    <row r="894" spans="1:21">
      <c r="A894" s="82"/>
      <c r="B894" s="83"/>
      <c r="C894" s="82"/>
      <c r="D894" s="82"/>
      <c r="E894" s="82"/>
      <c r="F894" s="82"/>
      <c r="G894" s="222"/>
      <c r="H894" s="222"/>
      <c r="I894" s="222"/>
      <c r="J894" s="6"/>
      <c r="K894" s="6"/>
      <c r="L894" s="6"/>
      <c r="M894" s="6"/>
      <c r="N894" s="6"/>
      <c r="O894" s="6"/>
      <c r="P894" s="6"/>
      <c r="Q894" s="6"/>
      <c r="R894" s="6"/>
      <c r="S894" s="6"/>
      <c r="T894" s="6"/>
      <c r="U894" s="6"/>
    </row>
    <row r="895" spans="1:21">
      <c r="A895" s="82"/>
      <c r="B895" s="83"/>
      <c r="C895" s="82"/>
      <c r="D895" s="82"/>
      <c r="E895" s="82"/>
      <c r="F895" s="82"/>
      <c r="G895" s="222"/>
      <c r="H895" s="222"/>
      <c r="I895" s="222"/>
      <c r="J895" s="6"/>
      <c r="K895" s="6"/>
      <c r="L895" s="6"/>
      <c r="M895" s="6"/>
      <c r="N895" s="6"/>
      <c r="O895" s="6"/>
      <c r="P895" s="6"/>
      <c r="Q895" s="6"/>
      <c r="R895" s="6"/>
      <c r="S895" s="6"/>
      <c r="T895" s="6"/>
      <c r="U895" s="6"/>
    </row>
    <row r="896" spans="1:21">
      <c r="A896" s="82"/>
      <c r="B896" s="83"/>
      <c r="C896" s="82"/>
      <c r="D896" s="82"/>
      <c r="E896" s="82"/>
      <c r="F896" s="82"/>
      <c r="G896" s="222"/>
      <c r="H896" s="222"/>
      <c r="I896" s="222"/>
      <c r="J896" s="6"/>
      <c r="K896" s="6"/>
      <c r="L896" s="6"/>
      <c r="M896" s="6"/>
      <c r="N896" s="6"/>
      <c r="O896" s="6"/>
      <c r="P896" s="6"/>
      <c r="Q896" s="6"/>
      <c r="R896" s="6"/>
      <c r="S896" s="6"/>
      <c r="T896" s="6"/>
      <c r="U896" s="6"/>
    </row>
    <row r="897" spans="1:21">
      <c r="A897" s="82"/>
      <c r="B897" s="83"/>
      <c r="C897" s="82"/>
      <c r="D897" s="82"/>
      <c r="E897" s="82"/>
      <c r="F897" s="82"/>
      <c r="G897" s="222"/>
      <c r="H897" s="222"/>
      <c r="I897" s="222"/>
      <c r="J897" s="6"/>
      <c r="K897" s="6"/>
      <c r="L897" s="6"/>
      <c r="M897" s="6"/>
      <c r="N897" s="6"/>
      <c r="O897" s="6"/>
      <c r="P897" s="6"/>
      <c r="Q897" s="6"/>
      <c r="R897" s="6"/>
      <c r="S897" s="6"/>
      <c r="T897" s="6"/>
      <c r="U897" s="6"/>
    </row>
    <row r="898" spans="1:21">
      <c r="A898" s="82"/>
      <c r="B898" s="83"/>
      <c r="C898" s="82"/>
      <c r="D898" s="82"/>
      <c r="E898" s="82"/>
      <c r="F898" s="82"/>
      <c r="G898" s="222"/>
      <c r="H898" s="222"/>
      <c r="I898" s="222"/>
      <c r="J898" s="6"/>
      <c r="K898" s="6"/>
      <c r="L898" s="6"/>
      <c r="M898" s="6"/>
      <c r="N898" s="6"/>
      <c r="O898" s="6"/>
      <c r="P898" s="6"/>
      <c r="Q898" s="6"/>
      <c r="R898" s="6"/>
      <c r="S898" s="6"/>
      <c r="T898" s="6"/>
      <c r="U898" s="6"/>
    </row>
    <row r="899" spans="1:21">
      <c r="A899" s="82"/>
      <c r="B899" s="83"/>
      <c r="C899" s="82"/>
      <c r="D899" s="82"/>
      <c r="E899" s="82"/>
      <c r="F899" s="82"/>
      <c r="G899" s="222"/>
      <c r="H899" s="222"/>
      <c r="I899" s="222"/>
      <c r="J899" s="6"/>
      <c r="K899" s="6"/>
      <c r="L899" s="6"/>
      <c r="M899" s="6"/>
      <c r="N899" s="6"/>
      <c r="O899" s="6"/>
      <c r="P899" s="6"/>
      <c r="Q899" s="6"/>
      <c r="R899" s="6"/>
      <c r="S899" s="6"/>
      <c r="T899" s="6"/>
      <c r="U899" s="6"/>
    </row>
    <row r="900" spans="1:21">
      <c r="A900" s="82"/>
      <c r="B900" s="83"/>
      <c r="C900" s="82"/>
      <c r="D900" s="82"/>
      <c r="E900" s="82"/>
      <c r="F900" s="82"/>
      <c r="G900" s="222"/>
      <c r="H900" s="222"/>
      <c r="I900" s="222"/>
      <c r="J900" s="6"/>
      <c r="K900" s="6"/>
      <c r="L900" s="6"/>
      <c r="M900" s="6"/>
      <c r="N900" s="6"/>
      <c r="O900" s="6"/>
      <c r="P900" s="6"/>
      <c r="Q900" s="6"/>
      <c r="R900" s="6"/>
      <c r="S900" s="6"/>
      <c r="T900" s="6"/>
      <c r="U900" s="6"/>
    </row>
  </sheetData>
  <mergeCells count="1">
    <mergeCell ref="A1:B1"/>
  </mergeCells>
  <conditionalFormatting sqref="D3:D51">
    <cfRule type="colorScale" priority="2">
      <colorScale>
        <cfvo type="percentile" val="0"/>
        <cfvo type="percentile" val="50"/>
        <cfvo type="percentile" val="100"/>
        <color rgb="FF6AA84F"/>
        <color rgb="FFFFFFFF"/>
        <color rgb="FFA61C00"/>
      </colorScale>
    </cfRule>
  </conditionalFormatting>
  <conditionalFormatting sqref="D3:I40">
    <cfRule type="containsText" dxfId="18" priority="3" operator="containsText" text="Null">
      <formula>NOT(ISERROR(SEARCH(("Null"),(D3))))</formula>
    </cfRule>
  </conditionalFormatting>
  <conditionalFormatting sqref="G25:I26 G35:I35">
    <cfRule type="containsText" dxfId="17" priority="1" operator="containsText" text="Yes">
      <formula>NOT(ISERROR(SEARCH(("Yes"),(G25))))</formula>
    </cfRule>
  </conditionalFormatting>
  <hyperlinks>
    <hyperlink ref="A1" r:id="rId1" xr:uid="{00000000-0004-0000-0600-000000000000}"/>
  </hyperlinks>
  <pageMargins left="0.75" right="0.75" top="1" bottom="1" header="0" footer="0"/>
  <pageSetup orientation="landscape"/>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9FC5E8"/>
    <outlinePr summaryBelow="0" summaryRight="0"/>
  </sheetPr>
  <dimension ref="A1:H893"/>
  <sheetViews>
    <sheetView workbookViewId="0"/>
  </sheetViews>
  <sheetFormatPr baseColWidth="10" defaultColWidth="14.5" defaultRowHeight="15" customHeight="1"/>
  <cols>
    <col min="1" max="1" width="70.33203125" customWidth="1"/>
    <col min="2" max="2" width="23.5" customWidth="1"/>
    <col min="3" max="3" width="14.83203125" customWidth="1"/>
    <col min="4" max="4" width="17" customWidth="1"/>
    <col min="5" max="5" width="16" customWidth="1"/>
    <col min="6" max="6" width="17.5" customWidth="1"/>
    <col min="7" max="7" width="14.5" customWidth="1"/>
    <col min="8" max="8" width="13.33203125" customWidth="1"/>
  </cols>
  <sheetData>
    <row r="1" spans="1:8">
      <c r="A1" s="107" t="s">
        <v>508</v>
      </c>
      <c r="B1" s="294" t="s">
        <v>219</v>
      </c>
      <c r="C1" s="296" t="s">
        <v>220</v>
      </c>
      <c r="D1" s="296" t="s">
        <v>221</v>
      </c>
      <c r="E1" s="294" t="s">
        <v>222</v>
      </c>
      <c r="F1" s="294" t="s">
        <v>223</v>
      </c>
      <c r="G1" s="294" t="s">
        <v>224</v>
      </c>
      <c r="H1" s="296" t="s">
        <v>3</v>
      </c>
    </row>
    <row r="2" spans="1:8">
      <c r="A2" s="8" t="s">
        <v>10</v>
      </c>
      <c r="B2" s="295"/>
      <c r="C2" s="295"/>
      <c r="D2" s="295"/>
      <c r="E2" s="295"/>
      <c r="F2" s="295"/>
      <c r="G2" s="295"/>
      <c r="H2" s="295"/>
    </row>
    <row r="3" spans="1:8">
      <c r="A3" s="188" t="s">
        <v>509</v>
      </c>
      <c r="B3" s="14" t="s">
        <v>409</v>
      </c>
      <c r="C3" s="110" t="str">
        <f>IF(COUNTIFS('Outside Review Form Responses'!C:C,$A3,'Outside Review Form Responses'!A:A,"&lt;&gt;")&gt;0, COUNTIFS('Outside Review Form Responses'!C:C,$A3,'Outside Review Form Responses'!A:A,"&lt;&gt;")&amp;" reviews", "NA")</f>
        <v>10 reviews</v>
      </c>
      <c r="D3" s="111">
        <f>IFERROR(AVERAGEIF('Outside Review Form Responses'!$C:$C,$A3,'Outside Review Form Responses'!F:F),"NA")</f>
        <v>3.3</v>
      </c>
      <c r="E3" s="111">
        <f>IFERROR(AVERAGEIF('Outside Review Form Responses'!$C:$C,$A3,'Outside Review Form Responses'!G:G),"NA")</f>
        <v>4.0999999999999996</v>
      </c>
      <c r="F3" s="111">
        <f>IFERROR(AVERAGEIF('Outside Review Form Responses'!$C:$C,$A3,'Outside Review Form Responses'!H:H),"NA")</f>
        <v>3.2</v>
      </c>
      <c r="G3" s="111">
        <f>IFERROR(AVERAGEIF('Outside Review Form Responses'!$C:$C,$A3,'Outside Review Form Responses'!I:I),"NA")</f>
        <v>34.777777777777779</v>
      </c>
      <c r="H3" s="112">
        <f>'MSDS Info'!D3</f>
        <v>48</v>
      </c>
    </row>
    <row r="4" spans="1:8">
      <c r="A4" s="189" t="s">
        <v>510</v>
      </c>
      <c r="B4" s="20" t="s">
        <v>409</v>
      </c>
      <c r="C4" s="110" t="str">
        <f>IF(COUNTIFS('Outside Review Form Responses'!C:C,$A4,'Outside Review Form Responses'!A:A,"&lt;&gt;")&gt;0, COUNTIFS('Outside Review Form Responses'!C:C,$A4,'Outside Review Form Responses'!A:A,"&lt;&gt;")&amp;" reviews", "NA")</f>
        <v>5 reviews</v>
      </c>
      <c r="D4" s="111">
        <f>IFERROR(AVERAGEIF('Outside Review Form Responses'!$C:$C,$A4,'Outside Review Form Responses'!F:F),"NA")</f>
        <v>2.8</v>
      </c>
      <c r="E4" s="111">
        <f>IFERROR(AVERAGEIF('Outside Review Form Responses'!$C:$C,$A4,'Outside Review Form Responses'!G:G),"NA")</f>
        <v>4.8</v>
      </c>
      <c r="F4" s="111">
        <f>IFERROR(AVERAGEIF('Outside Review Form Responses'!$C:$C,$A4,'Outside Review Form Responses'!H:H),"NA")</f>
        <v>2.6</v>
      </c>
      <c r="G4" s="111">
        <f>IFERROR(AVERAGEIF('Outside Review Form Responses'!$C:$C,$A4,'Outside Review Form Responses'!I:I),"NA")</f>
        <v>46</v>
      </c>
      <c r="H4" s="112">
        <f>'MSDS Info'!D4</f>
        <v>26</v>
      </c>
    </row>
    <row r="5" spans="1:8">
      <c r="A5" s="193" t="s">
        <v>511</v>
      </c>
      <c r="B5" s="26" t="s">
        <v>409</v>
      </c>
      <c r="C5" s="110" t="str">
        <f>IF(COUNTIFS('Outside Review Form Responses'!C:C,$A5,'Outside Review Form Responses'!A:A,"&lt;&gt;")&gt;0, COUNTIFS('Outside Review Form Responses'!C:C,$A5,'Outside Review Form Responses'!A:A,"&lt;&gt;")&amp;" reviews", "NA")</f>
        <v>3 reviews</v>
      </c>
      <c r="D5" s="111">
        <f>IFERROR(AVERAGEIF('Outside Review Form Responses'!$C:$C,$A5,'Outside Review Form Responses'!F:F),"NA")</f>
        <v>3.3333333333333335</v>
      </c>
      <c r="E5" s="111">
        <f>IFERROR(AVERAGEIF('Outside Review Form Responses'!$C:$C,$A5,'Outside Review Form Responses'!G:G),"NA")</f>
        <v>3.3333333333333335</v>
      </c>
      <c r="F5" s="111">
        <f>IFERROR(AVERAGEIF('Outside Review Form Responses'!$C:$C,$A5,'Outside Review Form Responses'!H:H),"NA")</f>
        <v>3.3333333333333335</v>
      </c>
      <c r="G5" s="111">
        <f>IFERROR(AVERAGEIF('Outside Review Form Responses'!$C:$C,$A5,'Outside Review Form Responses'!I:I),"NA")</f>
        <v>25</v>
      </c>
      <c r="H5" s="112">
        <f>'MSDS Info'!D5</f>
        <v>34</v>
      </c>
    </row>
    <row r="6" spans="1:8">
      <c r="A6" s="223" t="s">
        <v>512</v>
      </c>
      <c r="B6" s="224" t="s">
        <v>426</v>
      </c>
      <c r="C6" s="110" t="str">
        <f>IF(COUNTIFS('Outside Review Form Responses'!C:C,$A6,'Outside Review Form Responses'!A:A,"&lt;&gt;")&gt;0, COUNTIFS('Outside Review Form Responses'!C:C,$A6,'Outside Review Form Responses'!A:A,"&lt;&gt;")&amp;" reviews", "NA")</f>
        <v>2 reviews</v>
      </c>
      <c r="D6" s="111">
        <f>IFERROR(AVERAGEIF('Outside Review Form Responses'!$C:$C,$A6,'Outside Review Form Responses'!F:F),"NA")</f>
        <v>2</v>
      </c>
      <c r="E6" s="111">
        <f>IFERROR(AVERAGEIF('Outside Review Form Responses'!$C:$C,$A6,'Outside Review Form Responses'!G:G),"NA")</f>
        <v>1</v>
      </c>
      <c r="F6" s="111">
        <f>IFERROR(AVERAGEIF('Outside Review Form Responses'!$C:$C,$A6,'Outside Review Form Responses'!H:H),"NA")</f>
        <v>3.5</v>
      </c>
      <c r="G6" s="111">
        <f>IFERROR(AVERAGEIF('Outside Review Form Responses'!$C:$C,$A6,'Outside Review Form Responses'!I:I),"NA")</f>
        <v>5</v>
      </c>
      <c r="H6" s="112">
        <f>'MSDS Info'!D9</f>
        <v>11</v>
      </c>
    </row>
    <row r="7" spans="1:8">
      <c r="A7" s="188" t="s">
        <v>513</v>
      </c>
      <c r="B7" s="14" t="s">
        <v>436</v>
      </c>
      <c r="C7" s="110" t="str">
        <f>IF(COUNTIFS('Outside Review Form Responses'!C:C,$A7,'Outside Review Form Responses'!A:A,"&lt;&gt;")&gt;0, COUNTIFS('Outside Review Form Responses'!C:C,$A7,'Outside Review Form Responses'!A:A,"&lt;&gt;")&amp;" reviews", "NA")</f>
        <v>3 reviews</v>
      </c>
      <c r="D7" s="111">
        <f>IFERROR(AVERAGEIF('Outside Review Form Responses'!$C:$C,$A7,'Outside Review Form Responses'!F:F),"NA")</f>
        <v>4.666666666666667</v>
      </c>
      <c r="E7" s="111">
        <f>IFERROR(AVERAGEIF('Outside Review Form Responses'!$C:$C,$A7,'Outside Review Form Responses'!G:G),"NA")</f>
        <v>2.3333333333333335</v>
      </c>
      <c r="F7" s="111">
        <f>IFERROR(AVERAGEIF('Outside Review Form Responses'!$C:$C,$A7,'Outside Review Form Responses'!H:H),"NA")</f>
        <v>5</v>
      </c>
      <c r="G7" s="111">
        <f>IFERROR(AVERAGEIF('Outside Review Form Responses'!$C:$C,$A7,'Outside Review Form Responses'!I:I),"NA")</f>
        <v>33.333333333333336</v>
      </c>
      <c r="H7" s="112">
        <f>'MSDS Info'!D13</f>
        <v>45</v>
      </c>
    </row>
    <row r="8" spans="1:8">
      <c r="A8" s="189" t="s">
        <v>514</v>
      </c>
      <c r="B8" s="20" t="s">
        <v>436</v>
      </c>
      <c r="C8" s="110" t="str">
        <f>IF(COUNTIFS('Outside Review Form Responses'!C:C,$A8,'Outside Review Form Responses'!A:A,"&lt;&gt;")&gt;0, COUNTIFS('Outside Review Form Responses'!C:C,$A8,'Outside Review Form Responses'!A:A,"&lt;&gt;")&amp;" reviews", "NA")</f>
        <v>1 reviews</v>
      </c>
      <c r="D8" s="111">
        <f>IFERROR(AVERAGEIF('Outside Review Form Responses'!$C:$C,$A8,'Outside Review Form Responses'!F:F),"NA")</f>
        <v>5</v>
      </c>
      <c r="E8" s="111">
        <f>IFERROR(AVERAGEIF('Outside Review Form Responses'!$C:$C,$A8,'Outside Review Form Responses'!G:G),"NA")</f>
        <v>2</v>
      </c>
      <c r="F8" s="111">
        <f>IFERROR(AVERAGEIF('Outside Review Form Responses'!$C:$C,$A8,'Outside Review Form Responses'!H:H),"NA")</f>
        <v>5</v>
      </c>
      <c r="G8" s="111">
        <f>IFERROR(AVERAGEIF('Outside Review Form Responses'!$C:$C,$A8,'Outside Review Form Responses'!I:I),"NA")</f>
        <v>20</v>
      </c>
      <c r="H8" s="112">
        <f>'MSDS Info'!D14</f>
        <v>40</v>
      </c>
    </row>
    <row r="9" spans="1:8">
      <c r="A9" s="193" t="s">
        <v>515</v>
      </c>
      <c r="B9" s="26" t="s">
        <v>436</v>
      </c>
      <c r="C9" s="110" t="str">
        <f>IF(COUNTIFS('Outside Review Form Responses'!C:C,$A9,'Outside Review Form Responses'!A:A,"&lt;&gt;")&gt;0, COUNTIFS('Outside Review Form Responses'!C:C,$A9,'Outside Review Form Responses'!A:A,"&lt;&gt;")&amp;" reviews", "NA")</f>
        <v>1 reviews</v>
      </c>
      <c r="D9" s="111">
        <f>IFERROR(AVERAGEIF('Outside Review Form Responses'!$C:$C,$A9,'Outside Review Form Responses'!F:F),"NA")</f>
        <v>5</v>
      </c>
      <c r="E9" s="111">
        <f>IFERROR(AVERAGEIF('Outside Review Form Responses'!$C:$C,$A9,'Outside Review Form Responses'!G:G),"NA")</f>
        <v>2</v>
      </c>
      <c r="F9" s="111">
        <f>IFERROR(AVERAGEIF('Outside Review Form Responses'!$C:$C,$A9,'Outside Review Form Responses'!H:H),"NA")</f>
        <v>5</v>
      </c>
      <c r="G9" s="111">
        <f>IFERROR(AVERAGEIF('Outside Review Form Responses'!$C:$C,$A9,'Outside Review Form Responses'!I:I),"NA")</f>
        <v>20</v>
      </c>
      <c r="H9" s="112">
        <f>'MSDS Info'!D15</f>
        <v>42</v>
      </c>
    </row>
    <row r="10" spans="1:8">
      <c r="A10" s="188" t="s">
        <v>516</v>
      </c>
      <c r="B10" s="14" t="s">
        <v>454</v>
      </c>
      <c r="C10" s="110" t="str">
        <f>IF(COUNTIFS('Outside Review Form Responses'!C:C,$A10,'Outside Review Form Responses'!A:A,"&lt;&gt;")&gt;0, COUNTIFS('Outside Review Form Responses'!C:C,$A10,'Outside Review Form Responses'!A:A,"&lt;&gt;")&amp;" reviews", "NA")</f>
        <v>1 reviews</v>
      </c>
      <c r="D10" s="111">
        <f>IFERROR(AVERAGEIF('Outside Review Form Responses'!$C:$C,$A10,'Outside Review Form Responses'!F:F),"NA")</f>
        <v>4</v>
      </c>
      <c r="E10" s="111">
        <f>IFERROR(AVERAGEIF('Outside Review Form Responses'!$C:$C,$A10,'Outside Review Form Responses'!G:G),"NA")</f>
        <v>1</v>
      </c>
      <c r="F10" s="111">
        <f>IFERROR(AVERAGEIF('Outside Review Form Responses'!$C:$C,$A10,'Outside Review Form Responses'!H:H),"NA")</f>
        <v>5</v>
      </c>
      <c r="G10" s="111">
        <f>IFERROR(AVERAGEIF('Outside Review Form Responses'!$C:$C,$A10,'Outside Review Form Responses'!I:I),"NA")</f>
        <v>19</v>
      </c>
      <c r="H10" s="112">
        <f>'MSDS Info'!D22</f>
        <v>36</v>
      </c>
    </row>
    <row r="11" spans="1:8">
      <c r="A11" s="189" t="s">
        <v>517</v>
      </c>
      <c r="B11" s="20" t="s">
        <v>454</v>
      </c>
      <c r="C11" s="110" t="str">
        <f>IF(COUNTIFS('Outside Review Form Responses'!C:C,$A11,'Outside Review Form Responses'!A:A,"&lt;&gt;")&gt;0, COUNTIFS('Outside Review Form Responses'!C:C,$A11,'Outside Review Form Responses'!A:A,"&lt;&gt;")&amp;" reviews", "NA")</f>
        <v>3 reviews</v>
      </c>
      <c r="D11" s="111">
        <f>IFERROR(AVERAGEIF('Outside Review Form Responses'!$C:$C,$A11,'Outside Review Form Responses'!F:F),"NA")</f>
        <v>4.333333333333333</v>
      </c>
      <c r="E11" s="111">
        <f>IFERROR(AVERAGEIF('Outside Review Form Responses'!$C:$C,$A11,'Outside Review Form Responses'!G:G),"NA")</f>
        <v>1.3333333333333333</v>
      </c>
      <c r="F11" s="111">
        <f>IFERROR(AVERAGEIF('Outside Review Form Responses'!$C:$C,$A11,'Outside Review Form Responses'!H:H),"NA")</f>
        <v>4.666666666666667</v>
      </c>
      <c r="G11" s="111">
        <f>IFERROR(AVERAGEIF('Outside Review Form Responses'!$C:$C,$A11,'Outside Review Form Responses'!I:I),"NA")</f>
        <v>14</v>
      </c>
      <c r="H11" s="112">
        <f>'MSDS Info'!D23</f>
        <v>25</v>
      </c>
    </row>
    <row r="12" spans="1:8">
      <c r="A12" s="193" t="s">
        <v>518</v>
      </c>
      <c r="B12" s="26" t="s">
        <v>454</v>
      </c>
      <c r="C12" s="110" t="str">
        <f>IF(COUNTIFS('Outside Review Form Responses'!C:C,$A12,'Outside Review Form Responses'!A:A,"&lt;&gt;")&gt;0, COUNTIFS('Outside Review Form Responses'!C:C,$A12,'Outside Review Form Responses'!A:A,"&lt;&gt;")&amp;" reviews", "NA")</f>
        <v>1 reviews</v>
      </c>
      <c r="D12" s="111">
        <f>IFERROR(AVERAGEIF('Outside Review Form Responses'!$C:$C,$A12,'Outside Review Form Responses'!F:F),"NA")</f>
        <v>2</v>
      </c>
      <c r="E12" s="111">
        <f>IFERROR(AVERAGEIF('Outside Review Form Responses'!$C:$C,$A12,'Outside Review Form Responses'!G:G),"NA")</f>
        <v>1</v>
      </c>
      <c r="F12" s="111">
        <f>IFERROR(AVERAGEIF('Outside Review Form Responses'!$C:$C,$A12,'Outside Review Form Responses'!H:H),"NA")</f>
        <v>4</v>
      </c>
      <c r="G12" s="111">
        <f>IFERROR(AVERAGEIF('Outside Review Form Responses'!$C:$C,$A12,'Outside Review Form Responses'!I:I),"NA")</f>
        <v>13</v>
      </c>
      <c r="H12" s="112">
        <f>'MSDS Info'!D24</f>
        <v>17</v>
      </c>
    </row>
    <row r="13" spans="1:8">
      <c r="A13" s="188" t="s">
        <v>519</v>
      </c>
      <c r="B13" s="14" t="s">
        <v>462</v>
      </c>
      <c r="C13" s="110" t="str">
        <f>IF(COUNTIFS('Outside Review Form Responses'!C:C,$A13,'Outside Review Form Responses'!A:A,"&lt;&gt;")&gt;0, COUNTIFS('Outside Review Form Responses'!C:C,$A13,'Outside Review Form Responses'!A:A,"&lt;&gt;")&amp;" reviews", "NA")</f>
        <v>NA</v>
      </c>
      <c r="D13" s="111" t="str">
        <f>IFERROR(AVERAGEIF('Outside Review Form Responses'!$C:$C,$A13,'Outside Review Form Responses'!F:F),"NA")</f>
        <v>NA</v>
      </c>
      <c r="E13" s="111" t="str">
        <f>IFERROR(AVERAGEIF('Outside Review Form Responses'!$C:$C,$A13,'Outside Review Form Responses'!G:G),"NA")</f>
        <v>NA</v>
      </c>
      <c r="F13" s="111" t="str">
        <f>IFERROR(AVERAGEIF('Outside Review Form Responses'!$C:$C,$A13,'Outside Review Form Responses'!H:H),"NA")</f>
        <v>NA</v>
      </c>
      <c r="G13" s="111" t="str">
        <f>IFERROR(AVERAGEIF('Outside Review Form Responses'!$C:$C,$A13,'Outside Review Form Responses'!I:I),"NA")</f>
        <v>NA</v>
      </c>
      <c r="H13" s="112">
        <f>'MSDS Info'!D25</f>
        <v>18</v>
      </c>
    </row>
    <row r="14" spans="1:8">
      <c r="A14" s="189" t="s">
        <v>520</v>
      </c>
      <c r="B14" s="20" t="s">
        <v>462</v>
      </c>
      <c r="C14" s="110" t="str">
        <f>IF(COUNTIFS('Outside Review Form Responses'!C:C,$A14,'Outside Review Form Responses'!A:A,"&lt;&gt;")&gt;0, COUNTIFS('Outside Review Form Responses'!C:C,$A14,'Outside Review Form Responses'!A:A,"&lt;&gt;")&amp;" reviews", "NA")</f>
        <v>NA</v>
      </c>
      <c r="D14" s="111" t="str">
        <f>IFERROR(AVERAGEIF('Outside Review Form Responses'!$C:$C,$A14,'Outside Review Form Responses'!F:F),"NA")</f>
        <v>NA</v>
      </c>
      <c r="E14" s="111" t="str">
        <f>IFERROR(AVERAGEIF('Outside Review Form Responses'!$C:$C,$A14,'Outside Review Form Responses'!G:G),"NA")</f>
        <v>NA</v>
      </c>
      <c r="F14" s="111" t="str">
        <f>IFERROR(AVERAGEIF('Outside Review Form Responses'!$C:$C,$A14,'Outside Review Form Responses'!H:H),"NA")</f>
        <v>NA</v>
      </c>
      <c r="G14" s="111" t="str">
        <f>IFERROR(AVERAGEIF('Outside Review Form Responses'!$C:$C,$A14,'Outside Review Form Responses'!I:I),"NA")</f>
        <v>NA</v>
      </c>
      <c r="H14" s="112">
        <f>'MSDS Info'!D26</f>
        <v>9</v>
      </c>
    </row>
    <row r="15" spans="1:8">
      <c r="A15" s="193" t="s">
        <v>521</v>
      </c>
      <c r="B15" s="26" t="s">
        <v>462</v>
      </c>
      <c r="C15" s="110" t="str">
        <f>IF(COUNTIFS('Outside Review Form Responses'!C:C,$A15,'Outside Review Form Responses'!A:A,"&lt;&gt;")&gt;0, COUNTIFS('Outside Review Form Responses'!C:C,$A15,'Outside Review Form Responses'!A:A,"&lt;&gt;")&amp;" reviews", "NA")</f>
        <v>NA</v>
      </c>
      <c r="D15" s="111" t="str">
        <f>IFERROR(AVERAGEIF('Outside Review Form Responses'!$C:$C,$A15,'Outside Review Form Responses'!F:F),"NA")</f>
        <v>NA</v>
      </c>
      <c r="E15" s="111" t="str">
        <f>IFERROR(AVERAGEIF('Outside Review Form Responses'!$C:$C,$A15,'Outside Review Form Responses'!G:G),"NA")</f>
        <v>NA</v>
      </c>
      <c r="F15" s="111" t="str">
        <f>IFERROR(AVERAGEIF('Outside Review Form Responses'!$C:$C,$A15,'Outside Review Form Responses'!H:H),"NA")</f>
        <v>NA</v>
      </c>
      <c r="G15" s="111" t="str">
        <f>IFERROR(AVERAGEIF('Outside Review Form Responses'!$C:$C,$A15,'Outside Review Form Responses'!I:I),"NA")</f>
        <v>NA</v>
      </c>
      <c r="H15" s="112">
        <f>'MSDS Info'!D27</f>
        <v>17</v>
      </c>
    </row>
    <row r="16" spans="1:8">
      <c r="A16" s="188" t="s">
        <v>522</v>
      </c>
      <c r="B16" s="14" t="s">
        <v>471</v>
      </c>
      <c r="C16" s="110" t="str">
        <f>IF(COUNTIFS('Outside Review Form Responses'!C:C,$A16,'Outside Review Form Responses'!A:A,"&lt;&gt;")&gt;0, COUNTIFS('Outside Review Form Responses'!C:C,$A16,'Outside Review Form Responses'!A:A,"&lt;&gt;")&amp;" reviews", "NA")</f>
        <v>NA</v>
      </c>
      <c r="D16" s="111" t="str">
        <f>IFERROR(AVERAGEIF('Outside Review Form Responses'!$C:$C,$A16,'Outside Review Form Responses'!F:F),"NA")</f>
        <v>NA</v>
      </c>
      <c r="E16" s="111" t="str">
        <f>IFERROR(AVERAGEIF('Outside Review Form Responses'!$C:$C,$A16,'Outside Review Form Responses'!G:G),"NA")</f>
        <v>NA</v>
      </c>
      <c r="F16" s="111" t="str">
        <f>IFERROR(AVERAGEIF('Outside Review Form Responses'!$C:$C,$A16,'Outside Review Form Responses'!H:H),"NA")</f>
        <v>NA</v>
      </c>
      <c r="G16" s="111" t="str">
        <f>IFERROR(AVERAGEIF('Outside Review Form Responses'!$C:$C,$A16,'Outside Review Form Responses'!I:I),"NA")</f>
        <v>NA</v>
      </c>
      <c r="H16" s="112">
        <f>'MSDS Info'!D28</f>
        <v>63</v>
      </c>
    </row>
    <row r="17" spans="1:8">
      <c r="A17" s="193" t="s">
        <v>523</v>
      </c>
      <c r="B17" s="26" t="s">
        <v>471</v>
      </c>
      <c r="C17" s="110" t="str">
        <f>IF(COUNTIFS('Outside Review Form Responses'!C:C,$A17,'Outside Review Form Responses'!A:A,"&lt;&gt;")&gt;0, COUNTIFS('Outside Review Form Responses'!C:C,$A17,'Outside Review Form Responses'!A:A,"&lt;&gt;")&amp;" reviews", "NA")</f>
        <v>NA</v>
      </c>
      <c r="D17" s="111" t="str">
        <f>IFERROR(AVERAGEIF('Outside Review Form Responses'!$C:$C,$A17,'Outside Review Form Responses'!F:F),"NA")</f>
        <v>NA</v>
      </c>
      <c r="E17" s="111" t="str">
        <f>IFERROR(AVERAGEIF('Outside Review Form Responses'!$C:$C,$A17,'Outside Review Form Responses'!G:G),"NA")</f>
        <v>NA</v>
      </c>
      <c r="F17" s="111" t="str">
        <f>IFERROR(AVERAGEIF('Outside Review Form Responses'!$C:$C,$A17,'Outside Review Form Responses'!H:H),"NA")</f>
        <v>NA</v>
      </c>
      <c r="G17" s="111" t="str">
        <f>IFERROR(AVERAGEIF('Outside Review Form Responses'!$C:$C,$A17,'Outside Review Form Responses'!I:I),"NA")</f>
        <v>NA</v>
      </c>
      <c r="H17" s="112">
        <f>'MSDS Info'!D29</f>
        <v>13</v>
      </c>
    </row>
    <row r="18" spans="1:8">
      <c r="A18" s="188" t="s">
        <v>524</v>
      </c>
      <c r="B18" s="14" t="s">
        <v>477</v>
      </c>
      <c r="C18" s="110" t="str">
        <f>IF(COUNTIFS('Outside Review Form Responses'!C:C,$A18,'Outside Review Form Responses'!A:A,"&lt;&gt;")&gt;0, COUNTIFS('Outside Review Form Responses'!C:C,$A18,'Outside Review Form Responses'!A:A,"&lt;&gt;")&amp;" reviews", "NA")</f>
        <v>NA</v>
      </c>
      <c r="D18" s="111" t="str">
        <f>IFERROR(AVERAGEIF('Outside Review Form Responses'!$C:$C,$A18,'Outside Review Form Responses'!F:F),"NA")</f>
        <v>NA</v>
      </c>
      <c r="E18" s="111" t="str">
        <f>IFERROR(AVERAGEIF('Outside Review Form Responses'!$C:$C,$A18,'Outside Review Form Responses'!G:G),"NA")</f>
        <v>NA</v>
      </c>
      <c r="F18" s="111" t="str">
        <f>IFERROR(AVERAGEIF('Outside Review Form Responses'!$C:$C,$A18,'Outside Review Form Responses'!H:H),"NA")</f>
        <v>NA</v>
      </c>
      <c r="G18" s="111" t="str">
        <f>IFERROR(AVERAGEIF('Outside Review Form Responses'!$C:$C,$A18,'Outside Review Form Responses'!I:I),"NA")</f>
        <v>NA</v>
      </c>
      <c r="H18" s="112">
        <f>'MSDS Info'!D30</f>
        <v>18</v>
      </c>
    </row>
    <row r="19" spans="1:8">
      <c r="A19" s="188" t="s">
        <v>525</v>
      </c>
      <c r="B19" s="14" t="s">
        <v>481</v>
      </c>
      <c r="C19" s="110" t="str">
        <f>IF(COUNTIFS('Outside Review Form Responses'!C:C,$A19,'Outside Review Form Responses'!A:A,"&lt;&gt;")&gt;0, COUNTIFS('Outside Review Form Responses'!C:C,$A19,'Outside Review Form Responses'!A:A,"&lt;&gt;")&amp;" reviews", "NA")</f>
        <v>NA</v>
      </c>
      <c r="D19" s="111" t="str">
        <f>IFERROR(AVERAGEIF('Outside Review Form Responses'!$C:$C,$A19,'Outside Review Form Responses'!F:F),"NA")</f>
        <v>NA</v>
      </c>
      <c r="E19" s="111" t="str">
        <f>IFERROR(AVERAGEIF('Outside Review Form Responses'!$C:$C,$A19,'Outside Review Form Responses'!G:G),"NA")</f>
        <v>NA</v>
      </c>
      <c r="F19" s="111" t="str">
        <f>IFERROR(AVERAGEIF('Outside Review Form Responses'!$C:$C,$A19,'Outside Review Form Responses'!H:H),"NA")</f>
        <v>NA</v>
      </c>
      <c r="G19" s="111" t="str">
        <f>IFERROR(AVERAGEIF('Outside Review Form Responses'!$C:$C,$A19,'Outside Review Form Responses'!I:I),"NA")</f>
        <v>NA</v>
      </c>
      <c r="H19" s="112">
        <f>'MSDS Info'!D31</f>
        <v>35</v>
      </c>
    </row>
    <row r="20" spans="1:8">
      <c r="A20" s="189" t="s">
        <v>526</v>
      </c>
      <c r="B20" s="20" t="s">
        <v>481</v>
      </c>
      <c r="C20" s="110" t="str">
        <f>IF(COUNTIFS('Outside Review Form Responses'!C:C,$A20,'Outside Review Form Responses'!A:A,"&lt;&gt;")&gt;0, COUNTIFS('Outside Review Form Responses'!C:C,$A20,'Outside Review Form Responses'!A:A,"&lt;&gt;")&amp;" reviews", "NA")</f>
        <v>NA</v>
      </c>
      <c r="D20" s="111" t="str">
        <f>IFERROR(AVERAGEIF('Outside Review Form Responses'!$C:$C,$A20,'Outside Review Form Responses'!F:F),"NA")</f>
        <v>NA</v>
      </c>
      <c r="E20" s="111" t="str">
        <f>IFERROR(AVERAGEIF('Outside Review Form Responses'!$C:$C,$A20,'Outside Review Form Responses'!G:G),"NA")</f>
        <v>NA</v>
      </c>
      <c r="F20" s="111" t="str">
        <f>IFERROR(AVERAGEIF('Outside Review Form Responses'!$C:$C,$A20,'Outside Review Form Responses'!H:H),"NA")</f>
        <v>NA</v>
      </c>
      <c r="G20" s="111" t="str">
        <f>IFERROR(AVERAGEIF('Outside Review Form Responses'!$C:$C,$A20,'Outside Review Form Responses'!I:I),"NA")</f>
        <v>NA</v>
      </c>
      <c r="H20" s="112">
        <f>'MSDS Info'!D32</f>
        <v>40</v>
      </c>
    </row>
    <row r="21" spans="1:8">
      <c r="A21" s="193" t="s">
        <v>527</v>
      </c>
      <c r="B21" s="26" t="s">
        <v>481</v>
      </c>
      <c r="C21" s="110" t="str">
        <f>IF(COUNTIFS('Outside Review Form Responses'!C:C,$A21,'Outside Review Form Responses'!A:A,"&lt;&gt;")&gt;0, COUNTIFS('Outside Review Form Responses'!C:C,$A21,'Outside Review Form Responses'!A:A,"&lt;&gt;")&amp;" reviews", "NA")</f>
        <v>NA</v>
      </c>
      <c r="D21" s="111" t="str">
        <f>IFERROR(AVERAGEIF('Outside Review Form Responses'!$C:$C,$A21,'Outside Review Form Responses'!F:F),"NA")</f>
        <v>NA</v>
      </c>
      <c r="E21" s="111" t="str">
        <f>IFERROR(AVERAGEIF('Outside Review Form Responses'!$C:$C,$A21,'Outside Review Form Responses'!G:G),"NA")</f>
        <v>NA</v>
      </c>
      <c r="F21" s="111" t="str">
        <f>IFERROR(AVERAGEIF('Outside Review Form Responses'!$C:$C,$A21,'Outside Review Form Responses'!H:H),"NA")</f>
        <v>NA</v>
      </c>
      <c r="G21" s="111" t="str">
        <f>IFERROR(AVERAGEIF('Outside Review Form Responses'!$C:$C,$A21,'Outside Review Form Responses'!I:I),"NA")</f>
        <v>NA</v>
      </c>
      <c r="H21" s="112">
        <f>'MSDS Info'!D33</f>
        <v>40</v>
      </c>
    </row>
    <row r="22" spans="1:8">
      <c r="A22" s="225" t="s">
        <v>528</v>
      </c>
      <c r="B22" s="226" t="s">
        <v>445</v>
      </c>
      <c r="C22" s="110" t="str">
        <f>'MSCS Reviews'!C9</f>
        <v>8 reviews</v>
      </c>
      <c r="D22" s="110">
        <f>'MSCS Reviews'!D9</f>
        <v>3.375</v>
      </c>
      <c r="E22" s="110">
        <f>'MSCS Reviews'!E9</f>
        <v>4.5</v>
      </c>
      <c r="F22" s="110">
        <f>'MSCS Reviews'!F9</f>
        <v>1.875</v>
      </c>
      <c r="G22" s="110">
        <f>'MSCS Reviews'!G9</f>
        <v>40.375</v>
      </c>
      <c r="H22" s="110">
        <f>'MSCS Reviews'!H9</f>
        <v>39</v>
      </c>
    </row>
    <row r="23" spans="1:8">
      <c r="A23" s="227" t="s">
        <v>529</v>
      </c>
      <c r="B23" s="228" t="s">
        <v>445</v>
      </c>
      <c r="C23" s="110" t="str">
        <f>'MSCS Reviews'!C10</f>
        <v>5 reviews</v>
      </c>
      <c r="D23" s="110">
        <f>'MSCS Reviews'!D10</f>
        <v>3.8</v>
      </c>
      <c r="E23" s="110">
        <f>'MSCS Reviews'!E10</f>
        <v>4.4000000000000004</v>
      </c>
      <c r="F23" s="110">
        <f>'MSCS Reviews'!F10</f>
        <v>2.2000000000000002</v>
      </c>
      <c r="G23" s="110">
        <f>'MSCS Reviews'!G10</f>
        <v>51</v>
      </c>
      <c r="H23" s="110">
        <f>'MSCS Reviews'!H10</f>
        <v>38</v>
      </c>
    </row>
    <row r="24" spans="1:8">
      <c r="A24" s="229" t="s">
        <v>530</v>
      </c>
      <c r="B24" s="230" t="s">
        <v>445</v>
      </c>
      <c r="C24" s="110" t="str">
        <f>'MSCS Reviews'!C11</f>
        <v>1 reviews</v>
      </c>
      <c r="D24" s="110">
        <f>'MSCS Reviews'!D11</f>
        <v>4</v>
      </c>
      <c r="E24" s="110">
        <f>'MSCS Reviews'!E11</f>
        <v>5</v>
      </c>
      <c r="F24" s="110">
        <f>'MSCS Reviews'!F11</f>
        <v>2</v>
      </c>
      <c r="G24" s="110">
        <f>'MSCS Reviews'!G11</f>
        <v>70</v>
      </c>
      <c r="H24" s="110">
        <f>'MSCS Reviews'!H11</f>
        <v>60</v>
      </c>
    </row>
    <row r="25" spans="1:8">
      <c r="A25" s="200" t="s">
        <v>531</v>
      </c>
      <c r="B25" s="32" t="s">
        <v>449</v>
      </c>
      <c r="C25" s="110" t="str">
        <f>'MSCS Reviews'!C19</f>
        <v>6 reviews</v>
      </c>
      <c r="D25" s="110">
        <f>'MSCS Reviews'!D19</f>
        <v>4</v>
      </c>
      <c r="E25" s="110">
        <f>'MSCS Reviews'!E19</f>
        <v>2.1666666666666665</v>
      </c>
      <c r="F25" s="110">
        <f>'MSCS Reviews'!F19</f>
        <v>3.6666666666666665</v>
      </c>
      <c r="G25" s="110">
        <f>'MSCS Reviews'!G19</f>
        <v>17.833333333333332</v>
      </c>
      <c r="H25" s="110">
        <f>'MSCS Reviews'!H19</f>
        <v>21</v>
      </c>
    </row>
    <row r="26" spans="1:8">
      <c r="A26" s="200" t="s">
        <v>532</v>
      </c>
      <c r="B26" s="32" t="s">
        <v>449</v>
      </c>
      <c r="C26" s="110" t="str">
        <f>'MSCS Reviews'!C20</f>
        <v>3 reviews</v>
      </c>
      <c r="D26" s="110">
        <f>'MSCS Reviews'!D20</f>
        <v>3.6666666666666665</v>
      </c>
      <c r="E26" s="110">
        <f>'MSCS Reviews'!E20</f>
        <v>2.3333333333333335</v>
      </c>
      <c r="F26" s="110">
        <f>'MSCS Reviews'!F20</f>
        <v>3.3333333333333335</v>
      </c>
      <c r="G26" s="110">
        <f>'MSCS Reviews'!G20</f>
        <v>21.333333333333332</v>
      </c>
      <c r="H26" s="110">
        <f>'MSCS Reviews'!H20</f>
        <v>24</v>
      </c>
    </row>
    <row r="27" spans="1:8">
      <c r="A27" s="200" t="s">
        <v>533</v>
      </c>
      <c r="B27" s="32" t="s">
        <v>449</v>
      </c>
      <c r="C27" s="110" t="str">
        <f>'MSCS Reviews'!C21</f>
        <v>3 reviews</v>
      </c>
      <c r="D27" s="110">
        <f>'MSCS Reviews'!D21</f>
        <v>4.333333333333333</v>
      </c>
      <c r="E27" s="110">
        <f>'MSCS Reviews'!E21</f>
        <v>3</v>
      </c>
      <c r="F27" s="110">
        <f>'MSCS Reviews'!F21</f>
        <v>3.6666666666666665</v>
      </c>
      <c r="G27" s="110">
        <f>'MSCS Reviews'!G21</f>
        <v>30.666666666666668</v>
      </c>
      <c r="H27" s="110">
        <f>'MSCS Reviews'!H21</f>
        <v>19</v>
      </c>
    </row>
    <row r="28" spans="1:8">
      <c r="A28" s="188" t="s">
        <v>534</v>
      </c>
      <c r="B28" s="14" t="s">
        <v>494</v>
      </c>
      <c r="C28" s="110" t="str">
        <f>IF(COUNTIFS('Outside Review Form Responses'!C:C,$A28,'Outside Review Form Responses'!A:A,"&lt;&gt;")&gt;0, COUNTIFS('Outside Review Form Responses'!C:C,$A28,'Outside Review Form Responses'!A:A,"&lt;&gt;")&amp;" reviews", "NA")</f>
        <v>NA</v>
      </c>
      <c r="D28" s="111" t="str">
        <f>IFERROR(AVERAGEIF('Outside Review Form Responses'!$C:$C,$A28,'Outside Review Form Responses'!F:F),"NA")</f>
        <v>NA</v>
      </c>
      <c r="E28" s="111" t="str">
        <f>IFERROR(AVERAGEIF('Outside Review Form Responses'!$C:$C,$A28,'Outside Review Form Responses'!G:G),"NA")</f>
        <v>NA</v>
      </c>
      <c r="F28" s="111" t="str">
        <f>IFERROR(AVERAGEIF('Outside Review Form Responses'!$C:$C,$A28,'Outside Review Form Responses'!H:H),"NA")</f>
        <v>NA</v>
      </c>
      <c r="G28" s="111" t="str">
        <f>IFERROR(AVERAGEIF('Outside Review Form Responses'!$C:$C,$A28,'Outside Review Form Responses'!I:I),"NA")</f>
        <v>NA</v>
      </c>
      <c r="H28" s="112">
        <f>'MSDS Info'!D34</f>
        <v>12</v>
      </c>
    </row>
    <row r="29" spans="1:8">
      <c r="A29" s="189" t="s">
        <v>535</v>
      </c>
      <c r="B29" s="20" t="s">
        <v>494</v>
      </c>
      <c r="C29" s="110" t="str">
        <f>IF(COUNTIFS('Outside Review Form Responses'!C:C,$A29,'Outside Review Form Responses'!A:A,"&lt;&gt;")&gt;0, COUNTIFS('Outside Review Form Responses'!C:C,$A29,'Outside Review Form Responses'!A:A,"&lt;&gt;")&amp;" reviews", "NA")</f>
        <v>NA</v>
      </c>
      <c r="D29" s="111" t="str">
        <f>IFERROR(AVERAGEIF('Outside Review Form Responses'!$C:$C,$A29,'Outside Review Form Responses'!F:F),"NA")</f>
        <v>NA</v>
      </c>
      <c r="E29" s="111" t="str">
        <f>IFERROR(AVERAGEIF('Outside Review Form Responses'!$C:$C,$A29,'Outside Review Form Responses'!G:G),"NA")</f>
        <v>NA</v>
      </c>
      <c r="F29" s="111" t="str">
        <f>IFERROR(AVERAGEIF('Outside Review Form Responses'!$C:$C,$A29,'Outside Review Form Responses'!H:H),"NA")</f>
        <v>NA</v>
      </c>
      <c r="G29" s="111" t="str">
        <f>IFERROR(AVERAGEIF('Outside Review Form Responses'!$C:$C,$A29,'Outside Review Form Responses'!I:I),"NA")</f>
        <v>NA</v>
      </c>
      <c r="H29" s="112">
        <f>'MSDS Info'!D35</f>
        <v>13</v>
      </c>
    </row>
    <row r="30" spans="1:8">
      <c r="A30" s="193" t="s">
        <v>536</v>
      </c>
      <c r="B30" s="26" t="s">
        <v>494</v>
      </c>
      <c r="C30" s="110" t="str">
        <f>IF(COUNTIFS('Outside Review Form Responses'!C:C,$A30,'Outside Review Form Responses'!A:A,"&lt;&gt;")&gt;0, COUNTIFS('Outside Review Form Responses'!C:C,$A30,'Outside Review Form Responses'!A:A,"&lt;&gt;")&amp;" reviews", "NA")</f>
        <v>NA</v>
      </c>
      <c r="D30" s="111" t="str">
        <f>IFERROR(AVERAGEIF('Outside Review Form Responses'!$C:$C,$A30,'Outside Review Form Responses'!F:F),"NA")</f>
        <v>NA</v>
      </c>
      <c r="E30" s="111" t="str">
        <f>IFERROR(AVERAGEIF('Outside Review Form Responses'!$C:$C,$A30,'Outside Review Form Responses'!G:G),"NA")</f>
        <v>NA</v>
      </c>
      <c r="F30" s="111" t="str">
        <f>IFERROR(AVERAGEIF('Outside Review Form Responses'!$C:$C,$A30,'Outside Review Form Responses'!H:H),"NA")</f>
        <v>NA</v>
      </c>
      <c r="G30" s="111" t="str">
        <f>IFERROR(AVERAGEIF('Outside Review Form Responses'!$C:$C,$A30,'Outside Review Form Responses'!I:I),"NA")</f>
        <v>NA</v>
      </c>
      <c r="H30" s="112">
        <f>'MSDS Info'!D36</f>
        <v>10</v>
      </c>
    </row>
    <row r="31" spans="1:8">
      <c r="A31" s="83"/>
      <c r="B31" s="82"/>
      <c r="C31" s="82"/>
      <c r="D31" s="82"/>
      <c r="E31" s="82"/>
      <c r="F31" s="83"/>
      <c r="G31" s="83"/>
      <c r="H31" s="83"/>
    </row>
    <row r="32" spans="1:8">
      <c r="A32" s="83"/>
      <c r="B32" s="82"/>
      <c r="C32" s="82"/>
      <c r="D32" s="82"/>
      <c r="E32" s="82"/>
      <c r="F32" s="83"/>
      <c r="G32" s="83"/>
      <c r="H32" s="83"/>
    </row>
    <row r="33" spans="1:8">
      <c r="A33" s="83"/>
      <c r="B33" s="82"/>
      <c r="C33" s="82"/>
      <c r="D33" s="82"/>
      <c r="E33" s="82"/>
      <c r="F33" s="83"/>
      <c r="G33" s="83"/>
      <c r="H33" s="83"/>
    </row>
    <row r="34" spans="1:8">
      <c r="A34" s="83"/>
      <c r="B34" s="82"/>
      <c r="C34" s="82"/>
      <c r="D34" s="82"/>
      <c r="E34" s="82"/>
      <c r="F34" s="83"/>
      <c r="G34" s="83"/>
      <c r="H34" s="83"/>
    </row>
    <row r="35" spans="1:8">
      <c r="A35" s="83"/>
      <c r="B35" s="82"/>
      <c r="C35" s="82"/>
      <c r="D35" s="82"/>
      <c r="E35" s="82"/>
      <c r="F35" s="83"/>
      <c r="G35" s="83"/>
      <c r="H35" s="83"/>
    </row>
    <row r="36" spans="1:8">
      <c r="A36" s="83"/>
      <c r="B36" s="82"/>
      <c r="C36" s="82"/>
      <c r="D36" s="82"/>
      <c r="E36" s="82"/>
      <c r="F36" s="83"/>
      <c r="G36" s="83"/>
      <c r="H36" s="83"/>
    </row>
    <row r="37" spans="1:8">
      <c r="A37" s="83"/>
      <c r="B37" s="82"/>
      <c r="C37" s="82"/>
      <c r="D37" s="82"/>
      <c r="E37" s="82"/>
      <c r="F37" s="83"/>
      <c r="G37" s="83"/>
      <c r="H37" s="83"/>
    </row>
    <row r="38" spans="1:8">
      <c r="A38" s="83"/>
      <c r="B38" s="82"/>
      <c r="C38" s="82"/>
      <c r="D38" s="82"/>
      <c r="E38" s="82"/>
      <c r="F38" s="83"/>
      <c r="G38" s="83"/>
      <c r="H38" s="83"/>
    </row>
    <row r="39" spans="1:8">
      <c r="A39" s="83"/>
      <c r="B39" s="82"/>
      <c r="C39" s="82"/>
      <c r="D39" s="82"/>
      <c r="E39" s="82"/>
      <c r="F39" s="83"/>
      <c r="G39" s="83"/>
      <c r="H39" s="83"/>
    </row>
    <row r="40" spans="1:8">
      <c r="A40" s="83"/>
      <c r="B40" s="82"/>
      <c r="C40" s="82"/>
      <c r="D40" s="82"/>
      <c r="E40" s="82"/>
      <c r="F40" s="83"/>
      <c r="G40" s="83"/>
      <c r="H40" s="83"/>
    </row>
    <row r="41" spans="1:8">
      <c r="A41" s="83"/>
      <c r="B41" s="82"/>
      <c r="C41" s="82"/>
      <c r="D41" s="82"/>
      <c r="E41" s="82"/>
      <c r="F41" s="83"/>
      <c r="G41" s="83"/>
      <c r="H41" s="83"/>
    </row>
    <row r="42" spans="1:8">
      <c r="A42" s="83"/>
      <c r="B42" s="82"/>
      <c r="C42" s="82"/>
      <c r="D42" s="82"/>
      <c r="E42" s="82"/>
      <c r="F42" s="83"/>
      <c r="G42" s="83"/>
      <c r="H42" s="83"/>
    </row>
    <row r="43" spans="1:8">
      <c r="A43" s="83"/>
      <c r="B43" s="82"/>
      <c r="C43" s="82"/>
      <c r="D43" s="82"/>
      <c r="E43" s="82"/>
      <c r="F43" s="83"/>
      <c r="G43" s="83"/>
      <c r="H43" s="83"/>
    </row>
    <row r="44" spans="1:8">
      <c r="A44" s="83"/>
      <c r="B44" s="82"/>
      <c r="C44" s="82"/>
      <c r="D44" s="82"/>
      <c r="E44" s="82"/>
      <c r="F44" s="83"/>
      <c r="G44" s="83"/>
      <c r="H44" s="83"/>
    </row>
    <row r="45" spans="1:8">
      <c r="A45" s="83"/>
      <c r="B45" s="82"/>
      <c r="C45" s="82"/>
      <c r="D45" s="82"/>
      <c r="E45" s="82"/>
      <c r="F45" s="83"/>
      <c r="G45" s="83"/>
      <c r="H45" s="83"/>
    </row>
    <row r="46" spans="1:8">
      <c r="A46" s="83"/>
      <c r="B46" s="82"/>
      <c r="C46" s="82"/>
      <c r="D46" s="82"/>
      <c r="E46" s="82"/>
      <c r="F46" s="83"/>
      <c r="G46" s="83"/>
      <c r="H46" s="83"/>
    </row>
    <row r="47" spans="1:8">
      <c r="A47" s="83"/>
      <c r="B47" s="82"/>
      <c r="C47" s="82"/>
      <c r="D47" s="82"/>
      <c r="E47" s="82"/>
      <c r="F47" s="83"/>
      <c r="G47" s="83"/>
      <c r="H47" s="83"/>
    </row>
    <row r="48" spans="1:8">
      <c r="A48" s="83"/>
      <c r="B48" s="82"/>
      <c r="C48" s="82"/>
      <c r="D48" s="82"/>
      <c r="E48" s="82"/>
      <c r="F48" s="83"/>
      <c r="G48" s="83"/>
      <c r="H48" s="83"/>
    </row>
    <row r="49" spans="1:8">
      <c r="A49" s="83"/>
      <c r="B49" s="82"/>
      <c r="C49" s="82"/>
      <c r="D49" s="82"/>
      <c r="E49" s="82"/>
      <c r="F49" s="83"/>
      <c r="G49" s="83"/>
      <c r="H49" s="83"/>
    </row>
    <row r="50" spans="1:8">
      <c r="A50" s="83"/>
      <c r="B50" s="82"/>
      <c r="C50" s="82"/>
      <c r="D50" s="82"/>
      <c r="E50" s="82"/>
      <c r="F50" s="83"/>
      <c r="G50" s="83"/>
      <c r="H50" s="83"/>
    </row>
    <row r="51" spans="1:8">
      <c r="A51" s="83"/>
      <c r="B51" s="82"/>
      <c r="C51" s="82"/>
      <c r="D51" s="82"/>
      <c r="E51" s="82"/>
      <c r="F51" s="83"/>
      <c r="G51" s="83"/>
      <c r="H51" s="83"/>
    </row>
    <row r="52" spans="1:8">
      <c r="A52" s="83"/>
      <c r="B52" s="82"/>
      <c r="C52" s="82"/>
      <c r="D52" s="82"/>
      <c r="E52" s="82"/>
      <c r="F52" s="83"/>
      <c r="G52" s="83"/>
      <c r="H52" s="83"/>
    </row>
    <row r="53" spans="1:8">
      <c r="A53" s="83"/>
      <c r="B53" s="82"/>
      <c r="C53" s="82"/>
      <c r="D53" s="82"/>
      <c r="E53" s="82"/>
      <c r="F53" s="83"/>
      <c r="G53" s="83"/>
      <c r="H53" s="83"/>
    </row>
    <row r="54" spans="1:8">
      <c r="A54" s="83"/>
      <c r="B54" s="82"/>
      <c r="C54" s="82"/>
      <c r="D54" s="82"/>
      <c r="E54" s="82"/>
      <c r="F54" s="83"/>
      <c r="G54" s="83"/>
      <c r="H54" s="83"/>
    </row>
    <row r="55" spans="1:8">
      <c r="A55" s="83"/>
      <c r="B55" s="82"/>
      <c r="C55" s="82"/>
      <c r="D55" s="82"/>
      <c r="E55" s="82"/>
      <c r="F55" s="83"/>
      <c r="G55" s="83"/>
      <c r="H55" s="83"/>
    </row>
    <row r="56" spans="1:8">
      <c r="A56" s="83"/>
      <c r="B56" s="82"/>
      <c r="C56" s="82"/>
      <c r="D56" s="82"/>
      <c r="E56" s="82"/>
      <c r="F56" s="83"/>
      <c r="G56" s="83"/>
      <c r="H56" s="83"/>
    </row>
    <row r="57" spans="1:8">
      <c r="A57" s="83"/>
      <c r="B57" s="82"/>
      <c r="C57" s="82"/>
      <c r="D57" s="82"/>
      <c r="E57" s="82"/>
      <c r="F57" s="83"/>
      <c r="G57" s="83"/>
      <c r="H57" s="83"/>
    </row>
    <row r="58" spans="1:8">
      <c r="A58" s="83"/>
      <c r="B58" s="82"/>
      <c r="C58" s="82"/>
      <c r="D58" s="82"/>
      <c r="E58" s="82"/>
      <c r="F58" s="83"/>
      <c r="G58" s="83"/>
      <c r="H58" s="83"/>
    </row>
    <row r="59" spans="1:8">
      <c r="A59" s="83"/>
      <c r="B59" s="82"/>
      <c r="C59" s="82"/>
      <c r="D59" s="82"/>
      <c r="E59" s="82"/>
      <c r="F59" s="83"/>
      <c r="G59" s="83"/>
      <c r="H59" s="83"/>
    </row>
    <row r="60" spans="1:8">
      <c r="A60" s="83"/>
      <c r="B60" s="82"/>
      <c r="C60" s="82"/>
      <c r="D60" s="82"/>
      <c r="E60" s="82"/>
      <c r="F60" s="83"/>
      <c r="G60" s="83"/>
      <c r="H60" s="83"/>
    </row>
    <row r="61" spans="1:8">
      <c r="A61" s="83"/>
      <c r="B61" s="82"/>
      <c r="C61" s="82"/>
      <c r="D61" s="82"/>
      <c r="E61" s="82"/>
      <c r="F61" s="83"/>
      <c r="G61" s="83"/>
      <c r="H61" s="83"/>
    </row>
    <row r="62" spans="1:8">
      <c r="A62" s="83"/>
      <c r="B62" s="82"/>
      <c r="C62" s="82"/>
      <c r="D62" s="82"/>
      <c r="E62" s="82"/>
      <c r="F62" s="83"/>
      <c r="G62" s="83"/>
      <c r="H62" s="83"/>
    </row>
    <row r="63" spans="1:8">
      <c r="A63" s="83"/>
      <c r="B63" s="82"/>
      <c r="C63" s="82"/>
      <c r="D63" s="82"/>
      <c r="E63" s="82"/>
      <c r="F63" s="83"/>
      <c r="G63" s="83"/>
      <c r="H63" s="83"/>
    </row>
    <row r="64" spans="1:8">
      <c r="A64" s="83"/>
      <c r="B64" s="82"/>
      <c r="C64" s="82"/>
      <c r="D64" s="82"/>
      <c r="E64" s="82"/>
      <c r="F64" s="83"/>
      <c r="G64" s="83"/>
      <c r="H64" s="83"/>
    </row>
    <row r="65" spans="1:8">
      <c r="A65" s="83"/>
      <c r="B65" s="82"/>
      <c r="C65" s="82"/>
      <c r="D65" s="82"/>
      <c r="E65" s="82"/>
      <c r="F65" s="83"/>
      <c r="G65" s="83"/>
      <c r="H65" s="83"/>
    </row>
    <row r="66" spans="1:8">
      <c r="A66" s="83"/>
      <c r="B66" s="82"/>
      <c r="C66" s="82"/>
      <c r="D66" s="82"/>
      <c r="E66" s="82"/>
      <c r="F66" s="83"/>
      <c r="G66" s="83"/>
      <c r="H66" s="83"/>
    </row>
    <row r="67" spans="1:8">
      <c r="A67" s="83"/>
      <c r="B67" s="82"/>
      <c r="C67" s="82"/>
      <c r="D67" s="82"/>
      <c r="E67" s="82"/>
      <c r="F67" s="83"/>
      <c r="G67" s="83"/>
      <c r="H67" s="83"/>
    </row>
    <row r="68" spans="1:8">
      <c r="A68" s="83"/>
      <c r="B68" s="82"/>
      <c r="C68" s="82"/>
      <c r="D68" s="82"/>
      <c r="E68" s="82"/>
      <c r="F68" s="83"/>
      <c r="G68" s="83"/>
      <c r="H68" s="83"/>
    </row>
    <row r="69" spans="1:8">
      <c r="A69" s="83"/>
      <c r="B69" s="82"/>
      <c r="C69" s="82"/>
      <c r="D69" s="82"/>
      <c r="E69" s="82"/>
      <c r="F69" s="83"/>
      <c r="G69" s="83"/>
      <c r="H69" s="83"/>
    </row>
    <row r="70" spans="1:8">
      <c r="A70" s="83"/>
      <c r="B70" s="82"/>
      <c r="C70" s="82"/>
      <c r="D70" s="82"/>
      <c r="E70" s="82"/>
      <c r="F70" s="83"/>
      <c r="G70" s="83"/>
      <c r="H70" s="83"/>
    </row>
    <row r="71" spans="1:8">
      <c r="A71" s="83"/>
      <c r="B71" s="82"/>
      <c r="C71" s="82"/>
      <c r="D71" s="82"/>
      <c r="E71" s="82"/>
      <c r="F71" s="83"/>
      <c r="G71" s="83"/>
      <c r="H71" s="83"/>
    </row>
    <row r="72" spans="1:8">
      <c r="A72" s="83"/>
      <c r="B72" s="82"/>
      <c r="C72" s="82"/>
      <c r="D72" s="82"/>
      <c r="E72" s="82"/>
      <c r="F72" s="83"/>
      <c r="G72" s="83"/>
      <c r="H72" s="83"/>
    </row>
    <row r="73" spans="1:8">
      <c r="A73" s="83"/>
      <c r="B73" s="82"/>
      <c r="C73" s="82"/>
      <c r="D73" s="82"/>
      <c r="E73" s="82"/>
      <c r="F73" s="83"/>
      <c r="G73" s="83"/>
      <c r="H73" s="83"/>
    </row>
    <row r="74" spans="1:8">
      <c r="A74" s="83"/>
      <c r="B74" s="82"/>
      <c r="C74" s="82"/>
      <c r="D74" s="82"/>
      <c r="E74" s="82"/>
      <c r="F74" s="83"/>
      <c r="G74" s="83"/>
      <c r="H74" s="83"/>
    </row>
    <row r="75" spans="1:8">
      <c r="A75" s="83"/>
      <c r="B75" s="82"/>
      <c r="C75" s="82"/>
      <c r="D75" s="82"/>
      <c r="E75" s="82"/>
      <c r="F75" s="83"/>
      <c r="G75" s="83"/>
      <c r="H75" s="83"/>
    </row>
    <row r="76" spans="1:8">
      <c r="A76" s="83"/>
      <c r="B76" s="82"/>
      <c r="C76" s="82"/>
      <c r="D76" s="82"/>
      <c r="E76" s="82"/>
      <c r="F76" s="83"/>
      <c r="G76" s="83"/>
      <c r="H76" s="83"/>
    </row>
    <row r="77" spans="1:8">
      <c r="A77" s="83"/>
      <c r="B77" s="82"/>
      <c r="C77" s="82"/>
      <c r="D77" s="82"/>
      <c r="E77" s="82"/>
      <c r="F77" s="83"/>
      <c r="G77" s="83"/>
      <c r="H77" s="83"/>
    </row>
    <row r="78" spans="1:8">
      <c r="A78" s="83"/>
      <c r="B78" s="82"/>
      <c r="C78" s="82"/>
      <c r="D78" s="82"/>
      <c r="E78" s="82"/>
      <c r="F78" s="83"/>
      <c r="G78" s="83"/>
      <c r="H78" s="83"/>
    </row>
    <row r="79" spans="1:8">
      <c r="A79" s="83"/>
      <c r="B79" s="82"/>
      <c r="C79" s="82"/>
      <c r="D79" s="82"/>
      <c r="E79" s="82"/>
      <c r="F79" s="83"/>
      <c r="G79" s="83"/>
      <c r="H79" s="83"/>
    </row>
    <row r="80" spans="1:8">
      <c r="A80" s="83"/>
      <c r="B80" s="82"/>
      <c r="C80" s="82"/>
      <c r="D80" s="82"/>
      <c r="E80" s="82"/>
      <c r="F80" s="83"/>
      <c r="G80" s="83"/>
      <c r="H80" s="83"/>
    </row>
    <row r="81" spans="1:8">
      <c r="A81" s="83"/>
      <c r="B81" s="82"/>
      <c r="C81" s="82"/>
      <c r="D81" s="82"/>
      <c r="E81" s="82"/>
      <c r="F81" s="83"/>
      <c r="G81" s="83"/>
      <c r="H81" s="83"/>
    </row>
    <row r="82" spans="1:8">
      <c r="A82" s="83"/>
      <c r="B82" s="82"/>
      <c r="C82" s="82"/>
      <c r="D82" s="82"/>
      <c r="E82" s="82"/>
      <c r="F82" s="83"/>
      <c r="G82" s="83"/>
      <c r="H82" s="83"/>
    </row>
    <row r="83" spans="1:8">
      <c r="A83" s="83"/>
      <c r="B83" s="82"/>
      <c r="C83" s="82"/>
      <c r="D83" s="82"/>
      <c r="E83" s="82"/>
      <c r="F83" s="83"/>
      <c r="G83" s="83"/>
      <c r="H83" s="83"/>
    </row>
    <row r="84" spans="1:8">
      <c r="A84" s="83"/>
      <c r="B84" s="82"/>
      <c r="C84" s="82"/>
      <c r="D84" s="82"/>
      <c r="E84" s="82"/>
      <c r="F84" s="83"/>
      <c r="G84" s="83"/>
      <c r="H84" s="83"/>
    </row>
    <row r="85" spans="1:8">
      <c r="A85" s="83"/>
      <c r="B85" s="82"/>
      <c r="C85" s="82"/>
      <c r="D85" s="82"/>
      <c r="E85" s="82"/>
      <c r="F85" s="83"/>
      <c r="G85" s="83"/>
      <c r="H85" s="83"/>
    </row>
    <row r="86" spans="1:8">
      <c r="A86" s="83"/>
      <c r="B86" s="82"/>
      <c r="C86" s="82"/>
      <c r="D86" s="82"/>
      <c r="E86" s="82"/>
      <c r="F86" s="83"/>
      <c r="G86" s="83"/>
      <c r="H86" s="83"/>
    </row>
    <row r="87" spans="1:8">
      <c r="A87" s="83"/>
      <c r="B87" s="82"/>
      <c r="C87" s="82"/>
      <c r="D87" s="82"/>
      <c r="E87" s="82"/>
      <c r="F87" s="83"/>
      <c r="G87" s="83"/>
      <c r="H87" s="83"/>
    </row>
    <row r="88" spans="1:8">
      <c r="A88" s="83"/>
      <c r="B88" s="82"/>
      <c r="C88" s="82"/>
      <c r="D88" s="82"/>
      <c r="E88" s="82"/>
      <c r="F88" s="83"/>
      <c r="G88" s="83"/>
      <c r="H88" s="83"/>
    </row>
    <row r="89" spans="1:8">
      <c r="A89" s="83"/>
      <c r="B89" s="82"/>
      <c r="C89" s="82"/>
      <c r="D89" s="82"/>
      <c r="E89" s="82"/>
      <c r="F89" s="83"/>
      <c r="G89" s="83"/>
      <c r="H89" s="83"/>
    </row>
    <row r="90" spans="1:8">
      <c r="A90" s="83"/>
      <c r="B90" s="82"/>
      <c r="C90" s="82"/>
      <c r="D90" s="82"/>
      <c r="E90" s="82"/>
      <c r="F90" s="83"/>
      <c r="G90" s="83"/>
      <c r="H90" s="83"/>
    </row>
    <row r="91" spans="1:8">
      <c r="A91" s="83"/>
      <c r="B91" s="82"/>
      <c r="C91" s="82"/>
      <c r="D91" s="82"/>
      <c r="E91" s="82"/>
      <c r="F91" s="83"/>
      <c r="G91" s="83"/>
      <c r="H91" s="83"/>
    </row>
    <row r="92" spans="1:8">
      <c r="A92" s="83"/>
      <c r="B92" s="82"/>
      <c r="C92" s="82"/>
      <c r="D92" s="82"/>
      <c r="E92" s="82"/>
      <c r="F92" s="83"/>
      <c r="G92" s="83"/>
      <c r="H92" s="83"/>
    </row>
    <row r="93" spans="1:8">
      <c r="A93" s="83"/>
      <c r="B93" s="82"/>
      <c r="C93" s="82"/>
      <c r="D93" s="82"/>
      <c r="E93" s="82"/>
      <c r="F93" s="83"/>
      <c r="G93" s="83"/>
      <c r="H93" s="83"/>
    </row>
    <row r="94" spans="1:8">
      <c r="A94" s="83"/>
      <c r="B94" s="82"/>
      <c r="C94" s="82"/>
      <c r="D94" s="82"/>
      <c r="E94" s="82"/>
      <c r="F94" s="83"/>
      <c r="G94" s="83"/>
      <c r="H94" s="83"/>
    </row>
    <row r="95" spans="1:8">
      <c r="A95" s="83"/>
      <c r="B95" s="82"/>
      <c r="C95" s="82"/>
      <c r="D95" s="82"/>
      <c r="E95" s="82"/>
      <c r="F95" s="83"/>
      <c r="G95" s="83"/>
      <c r="H95" s="83"/>
    </row>
    <row r="96" spans="1:8">
      <c r="A96" s="83"/>
      <c r="B96" s="82"/>
      <c r="C96" s="82"/>
      <c r="D96" s="82"/>
      <c r="E96" s="82"/>
      <c r="F96" s="83"/>
      <c r="G96" s="83"/>
      <c r="H96" s="83"/>
    </row>
    <row r="97" spans="1:8">
      <c r="A97" s="83"/>
      <c r="B97" s="82"/>
      <c r="C97" s="82"/>
      <c r="D97" s="82"/>
      <c r="E97" s="82"/>
      <c r="F97" s="83"/>
      <c r="G97" s="83"/>
      <c r="H97" s="83"/>
    </row>
    <row r="98" spans="1:8">
      <c r="A98" s="83"/>
      <c r="B98" s="82"/>
      <c r="C98" s="82"/>
      <c r="D98" s="82"/>
      <c r="E98" s="82"/>
      <c r="F98" s="83"/>
      <c r="G98" s="83"/>
      <c r="H98" s="83"/>
    </row>
    <row r="99" spans="1:8">
      <c r="A99" s="83"/>
      <c r="B99" s="82"/>
      <c r="C99" s="82"/>
      <c r="D99" s="82"/>
      <c r="E99" s="82"/>
      <c r="F99" s="83"/>
      <c r="G99" s="83"/>
      <c r="H99" s="83"/>
    </row>
    <row r="100" spans="1:8">
      <c r="A100" s="83"/>
      <c r="B100" s="82"/>
      <c r="C100" s="82"/>
      <c r="D100" s="82"/>
      <c r="E100" s="82"/>
      <c r="F100" s="83"/>
      <c r="G100" s="83"/>
      <c r="H100" s="83"/>
    </row>
    <row r="101" spans="1:8">
      <c r="A101" s="83"/>
      <c r="B101" s="82"/>
      <c r="C101" s="82"/>
      <c r="D101" s="82"/>
      <c r="E101" s="82"/>
      <c r="F101" s="83"/>
      <c r="G101" s="83"/>
      <c r="H101" s="83"/>
    </row>
    <row r="102" spans="1:8">
      <c r="A102" s="83"/>
      <c r="B102" s="82"/>
      <c r="C102" s="82"/>
      <c r="D102" s="82"/>
      <c r="E102" s="82"/>
      <c r="F102" s="83"/>
      <c r="G102" s="83"/>
      <c r="H102" s="83"/>
    </row>
    <row r="103" spans="1:8">
      <c r="A103" s="83"/>
      <c r="B103" s="82"/>
      <c r="C103" s="82"/>
      <c r="D103" s="82"/>
      <c r="E103" s="82"/>
      <c r="F103" s="83"/>
      <c r="G103" s="83"/>
      <c r="H103" s="83"/>
    </row>
    <row r="104" spans="1:8">
      <c r="A104" s="83"/>
      <c r="B104" s="82"/>
      <c r="C104" s="82"/>
      <c r="D104" s="82"/>
      <c r="E104" s="82"/>
      <c r="F104" s="83"/>
      <c r="G104" s="83"/>
      <c r="H104" s="83"/>
    </row>
    <row r="105" spans="1:8">
      <c r="A105" s="83"/>
      <c r="B105" s="82"/>
      <c r="C105" s="82"/>
      <c r="D105" s="82"/>
      <c r="E105" s="82"/>
      <c r="F105" s="83"/>
      <c r="G105" s="83"/>
      <c r="H105" s="83"/>
    </row>
    <row r="106" spans="1:8">
      <c r="A106" s="83"/>
      <c r="B106" s="82"/>
      <c r="C106" s="82"/>
      <c r="D106" s="82"/>
      <c r="E106" s="82"/>
      <c r="F106" s="83"/>
      <c r="G106" s="83"/>
      <c r="H106" s="83"/>
    </row>
    <row r="107" spans="1:8">
      <c r="A107" s="83"/>
      <c r="B107" s="82"/>
      <c r="C107" s="82"/>
      <c r="D107" s="82"/>
      <c r="E107" s="82"/>
      <c r="F107" s="83"/>
      <c r="G107" s="83"/>
      <c r="H107" s="83"/>
    </row>
    <row r="108" spans="1:8">
      <c r="A108" s="83"/>
      <c r="B108" s="82"/>
      <c r="C108" s="82"/>
      <c r="D108" s="82"/>
      <c r="E108" s="82"/>
      <c r="F108" s="83"/>
      <c r="G108" s="83"/>
      <c r="H108" s="83"/>
    </row>
    <row r="109" spans="1:8">
      <c r="A109" s="83"/>
      <c r="B109" s="82"/>
      <c r="C109" s="82"/>
      <c r="D109" s="82"/>
      <c r="E109" s="82"/>
      <c r="F109" s="83"/>
      <c r="G109" s="83"/>
      <c r="H109" s="83"/>
    </row>
    <row r="110" spans="1:8">
      <c r="A110" s="83"/>
      <c r="B110" s="82"/>
      <c r="C110" s="82"/>
      <c r="D110" s="82"/>
      <c r="E110" s="82"/>
      <c r="F110" s="83"/>
      <c r="G110" s="83"/>
      <c r="H110" s="83"/>
    </row>
    <row r="111" spans="1:8">
      <c r="A111" s="83"/>
      <c r="B111" s="82"/>
      <c r="C111" s="82"/>
      <c r="D111" s="82"/>
      <c r="E111" s="82"/>
      <c r="F111" s="83"/>
      <c r="G111" s="83"/>
      <c r="H111" s="83"/>
    </row>
    <row r="112" spans="1:8">
      <c r="A112" s="83"/>
      <c r="B112" s="82"/>
      <c r="C112" s="82"/>
      <c r="D112" s="82"/>
      <c r="E112" s="82"/>
      <c r="F112" s="83"/>
      <c r="G112" s="83"/>
      <c r="H112" s="83"/>
    </row>
    <row r="113" spans="1:8">
      <c r="A113" s="83"/>
      <c r="B113" s="82"/>
      <c r="C113" s="82"/>
      <c r="D113" s="82"/>
      <c r="E113" s="82"/>
      <c r="F113" s="83"/>
      <c r="G113" s="83"/>
      <c r="H113" s="83"/>
    </row>
    <row r="114" spans="1:8">
      <c r="A114" s="83"/>
      <c r="B114" s="82"/>
      <c r="C114" s="82"/>
      <c r="D114" s="82"/>
      <c r="E114" s="82"/>
      <c r="F114" s="83"/>
      <c r="G114" s="83"/>
      <c r="H114" s="83"/>
    </row>
    <row r="115" spans="1:8">
      <c r="A115" s="83"/>
      <c r="B115" s="82"/>
      <c r="C115" s="82"/>
      <c r="D115" s="82"/>
      <c r="E115" s="82"/>
      <c r="F115" s="83"/>
      <c r="G115" s="83"/>
      <c r="H115" s="83"/>
    </row>
    <row r="116" spans="1:8">
      <c r="A116" s="83"/>
      <c r="B116" s="82"/>
      <c r="C116" s="82"/>
      <c r="D116" s="82"/>
      <c r="E116" s="82"/>
      <c r="F116" s="83"/>
      <c r="G116" s="83"/>
      <c r="H116" s="83"/>
    </row>
    <row r="117" spans="1:8">
      <c r="A117" s="83"/>
      <c r="B117" s="82"/>
      <c r="C117" s="82"/>
      <c r="D117" s="82"/>
      <c r="E117" s="82"/>
      <c r="F117" s="83"/>
      <c r="G117" s="83"/>
      <c r="H117" s="83"/>
    </row>
    <row r="118" spans="1:8">
      <c r="A118" s="83"/>
      <c r="B118" s="82"/>
      <c r="C118" s="82"/>
      <c r="D118" s="82"/>
      <c r="E118" s="82"/>
      <c r="F118" s="83"/>
      <c r="G118" s="83"/>
      <c r="H118" s="83"/>
    </row>
    <row r="119" spans="1:8">
      <c r="A119" s="83"/>
      <c r="B119" s="82"/>
      <c r="C119" s="82"/>
      <c r="D119" s="82"/>
      <c r="E119" s="82"/>
      <c r="F119" s="83"/>
      <c r="G119" s="83"/>
      <c r="H119" s="83"/>
    </row>
    <row r="120" spans="1:8">
      <c r="A120" s="83"/>
      <c r="B120" s="82"/>
      <c r="C120" s="82"/>
      <c r="D120" s="82"/>
      <c r="E120" s="82"/>
      <c r="F120" s="83"/>
      <c r="G120" s="83"/>
      <c r="H120" s="83"/>
    </row>
    <row r="121" spans="1:8">
      <c r="A121" s="83"/>
      <c r="B121" s="82"/>
      <c r="C121" s="82"/>
      <c r="D121" s="82"/>
      <c r="E121" s="82"/>
      <c r="F121" s="83"/>
      <c r="G121" s="83"/>
      <c r="H121" s="83"/>
    </row>
    <row r="122" spans="1:8">
      <c r="A122" s="83"/>
      <c r="B122" s="82"/>
      <c r="C122" s="82"/>
      <c r="D122" s="82"/>
      <c r="E122" s="82"/>
      <c r="F122" s="83"/>
      <c r="G122" s="83"/>
      <c r="H122" s="83"/>
    </row>
    <row r="123" spans="1:8">
      <c r="A123" s="83"/>
      <c r="B123" s="82"/>
      <c r="C123" s="82"/>
      <c r="D123" s="82"/>
      <c r="E123" s="82"/>
      <c r="F123" s="83"/>
      <c r="G123" s="83"/>
      <c r="H123" s="83"/>
    </row>
    <row r="124" spans="1:8">
      <c r="A124" s="83"/>
      <c r="B124" s="82"/>
      <c r="C124" s="82"/>
      <c r="D124" s="82"/>
      <c r="E124" s="82"/>
      <c r="F124" s="83"/>
      <c r="G124" s="83"/>
      <c r="H124" s="83"/>
    </row>
    <row r="125" spans="1:8">
      <c r="A125" s="83"/>
      <c r="B125" s="82"/>
      <c r="C125" s="82"/>
      <c r="D125" s="82"/>
      <c r="E125" s="82"/>
      <c r="F125" s="83"/>
      <c r="G125" s="83"/>
      <c r="H125" s="83"/>
    </row>
    <row r="126" spans="1:8">
      <c r="A126" s="83"/>
      <c r="B126" s="82"/>
      <c r="C126" s="82"/>
      <c r="D126" s="82"/>
      <c r="E126" s="82"/>
      <c r="F126" s="83"/>
      <c r="G126" s="83"/>
      <c r="H126" s="83"/>
    </row>
    <row r="127" spans="1:8">
      <c r="A127" s="83"/>
      <c r="B127" s="82"/>
      <c r="C127" s="82"/>
      <c r="D127" s="82"/>
      <c r="E127" s="82"/>
      <c r="F127" s="83"/>
      <c r="G127" s="83"/>
      <c r="H127" s="83"/>
    </row>
    <row r="128" spans="1:8">
      <c r="A128" s="83"/>
      <c r="B128" s="82"/>
      <c r="C128" s="82"/>
      <c r="D128" s="82"/>
      <c r="E128" s="82"/>
      <c r="F128" s="83"/>
      <c r="G128" s="83"/>
      <c r="H128" s="83"/>
    </row>
    <row r="129" spans="1:8">
      <c r="A129" s="83"/>
      <c r="B129" s="82"/>
      <c r="C129" s="82"/>
      <c r="D129" s="82"/>
      <c r="E129" s="82"/>
      <c r="F129" s="83"/>
      <c r="G129" s="83"/>
      <c r="H129" s="83"/>
    </row>
    <row r="130" spans="1:8">
      <c r="A130" s="83"/>
      <c r="B130" s="82"/>
      <c r="C130" s="82"/>
      <c r="D130" s="82"/>
      <c r="E130" s="82"/>
      <c r="F130" s="83"/>
      <c r="G130" s="83"/>
      <c r="H130" s="83"/>
    </row>
    <row r="131" spans="1:8">
      <c r="A131" s="83"/>
      <c r="B131" s="82"/>
      <c r="C131" s="82"/>
      <c r="D131" s="82"/>
      <c r="E131" s="82"/>
      <c r="F131" s="83"/>
      <c r="G131" s="83"/>
      <c r="H131" s="83"/>
    </row>
    <row r="132" spans="1:8">
      <c r="A132" s="83"/>
      <c r="B132" s="82"/>
      <c r="C132" s="82"/>
      <c r="D132" s="82"/>
      <c r="E132" s="82"/>
      <c r="F132" s="83"/>
      <c r="G132" s="83"/>
      <c r="H132" s="83"/>
    </row>
    <row r="133" spans="1:8">
      <c r="A133" s="83"/>
      <c r="B133" s="82"/>
      <c r="C133" s="82"/>
      <c r="D133" s="82"/>
      <c r="E133" s="82"/>
      <c r="F133" s="83"/>
      <c r="G133" s="83"/>
      <c r="H133" s="83"/>
    </row>
    <row r="134" spans="1:8">
      <c r="A134" s="83"/>
      <c r="B134" s="82"/>
      <c r="C134" s="82"/>
      <c r="D134" s="82"/>
      <c r="E134" s="82"/>
      <c r="F134" s="83"/>
      <c r="G134" s="83"/>
      <c r="H134" s="83"/>
    </row>
    <row r="135" spans="1:8">
      <c r="A135" s="83"/>
      <c r="B135" s="82"/>
      <c r="C135" s="82"/>
      <c r="D135" s="82"/>
      <c r="E135" s="82"/>
      <c r="F135" s="83"/>
      <c r="G135" s="83"/>
      <c r="H135" s="83"/>
    </row>
    <row r="136" spans="1:8">
      <c r="A136" s="83"/>
      <c r="B136" s="82"/>
      <c r="C136" s="82"/>
      <c r="D136" s="82"/>
      <c r="E136" s="82"/>
      <c r="F136" s="83"/>
      <c r="G136" s="83"/>
      <c r="H136" s="83"/>
    </row>
    <row r="137" spans="1:8">
      <c r="A137" s="83"/>
      <c r="B137" s="82"/>
      <c r="C137" s="82"/>
      <c r="D137" s="82"/>
      <c r="E137" s="82"/>
      <c r="F137" s="83"/>
      <c r="G137" s="83"/>
      <c r="H137" s="83"/>
    </row>
    <row r="138" spans="1:8">
      <c r="A138" s="83"/>
      <c r="B138" s="82"/>
      <c r="C138" s="82"/>
      <c r="D138" s="82"/>
      <c r="E138" s="82"/>
      <c r="F138" s="83"/>
      <c r="G138" s="83"/>
      <c r="H138" s="83"/>
    </row>
    <row r="139" spans="1:8">
      <c r="A139" s="83"/>
      <c r="B139" s="82"/>
      <c r="C139" s="82"/>
      <c r="D139" s="82"/>
      <c r="E139" s="82"/>
      <c r="F139" s="83"/>
      <c r="G139" s="83"/>
      <c r="H139" s="83"/>
    </row>
    <row r="140" spans="1:8">
      <c r="A140" s="83"/>
      <c r="B140" s="82"/>
      <c r="C140" s="82"/>
      <c r="D140" s="82"/>
      <c r="E140" s="82"/>
      <c r="F140" s="83"/>
      <c r="G140" s="83"/>
      <c r="H140" s="83"/>
    </row>
    <row r="141" spans="1:8">
      <c r="A141" s="83"/>
      <c r="B141" s="82"/>
      <c r="C141" s="82"/>
      <c r="D141" s="82"/>
      <c r="E141" s="82"/>
      <c r="F141" s="83"/>
      <c r="G141" s="83"/>
      <c r="H141" s="83"/>
    </row>
    <row r="142" spans="1:8">
      <c r="A142" s="83"/>
      <c r="B142" s="82"/>
      <c r="C142" s="82"/>
      <c r="D142" s="82"/>
      <c r="E142" s="82"/>
      <c r="F142" s="83"/>
      <c r="G142" s="83"/>
      <c r="H142" s="83"/>
    </row>
    <row r="143" spans="1:8">
      <c r="A143" s="83"/>
      <c r="B143" s="82"/>
      <c r="C143" s="82"/>
      <c r="D143" s="82"/>
      <c r="E143" s="82"/>
      <c r="F143" s="83"/>
      <c r="G143" s="83"/>
      <c r="H143" s="83"/>
    </row>
    <row r="144" spans="1:8">
      <c r="A144" s="83"/>
      <c r="B144" s="82"/>
      <c r="C144" s="82"/>
      <c r="D144" s="82"/>
      <c r="E144" s="82"/>
      <c r="F144" s="83"/>
      <c r="G144" s="83"/>
      <c r="H144" s="83"/>
    </row>
    <row r="145" spans="1:8">
      <c r="A145" s="83"/>
      <c r="B145" s="82"/>
      <c r="C145" s="82"/>
      <c r="D145" s="82"/>
      <c r="E145" s="82"/>
      <c r="F145" s="83"/>
      <c r="G145" s="83"/>
      <c r="H145" s="83"/>
    </row>
    <row r="146" spans="1:8">
      <c r="A146" s="83"/>
      <c r="B146" s="82"/>
      <c r="C146" s="82"/>
      <c r="D146" s="82"/>
      <c r="E146" s="82"/>
      <c r="F146" s="83"/>
      <c r="G146" s="83"/>
      <c r="H146" s="83"/>
    </row>
    <row r="147" spans="1:8">
      <c r="A147" s="83"/>
      <c r="B147" s="82"/>
      <c r="C147" s="82"/>
      <c r="D147" s="82"/>
      <c r="E147" s="82"/>
      <c r="F147" s="83"/>
      <c r="G147" s="83"/>
      <c r="H147" s="83"/>
    </row>
    <row r="148" spans="1:8">
      <c r="A148" s="83"/>
      <c r="B148" s="82"/>
      <c r="C148" s="82"/>
      <c r="D148" s="82"/>
      <c r="E148" s="82"/>
      <c r="F148" s="83"/>
      <c r="G148" s="83"/>
      <c r="H148" s="83"/>
    </row>
    <row r="149" spans="1:8">
      <c r="A149" s="83"/>
      <c r="B149" s="82"/>
      <c r="C149" s="82"/>
      <c r="D149" s="82"/>
      <c r="E149" s="82"/>
      <c r="F149" s="83"/>
      <c r="G149" s="83"/>
      <c r="H149" s="83"/>
    </row>
    <row r="150" spans="1:8">
      <c r="A150" s="83"/>
      <c r="B150" s="82"/>
      <c r="C150" s="82"/>
      <c r="D150" s="82"/>
      <c r="E150" s="82"/>
      <c r="F150" s="83"/>
      <c r="G150" s="83"/>
      <c r="H150" s="83"/>
    </row>
    <row r="151" spans="1:8">
      <c r="A151" s="83"/>
      <c r="B151" s="82"/>
      <c r="C151" s="82"/>
      <c r="D151" s="82"/>
      <c r="E151" s="82"/>
      <c r="F151" s="83"/>
      <c r="G151" s="83"/>
      <c r="H151" s="83"/>
    </row>
    <row r="152" spans="1:8">
      <c r="A152" s="83"/>
      <c r="B152" s="82"/>
      <c r="C152" s="82"/>
      <c r="D152" s="82"/>
      <c r="E152" s="82"/>
      <c r="F152" s="83"/>
      <c r="G152" s="83"/>
      <c r="H152" s="83"/>
    </row>
    <row r="153" spans="1:8">
      <c r="A153" s="83"/>
      <c r="B153" s="82"/>
      <c r="C153" s="82"/>
      <c r="D153" s="82"/>
      <c r="E153" s="82"/>
      <c r="F153" s="83"/>
      <c r="G153" s="83"/>
      <c r="H153" s="83"/>
    </row>
    <row r="154" spans="1:8">
      <c r="A154" s="83"/>
      <c r="B154" s="82"/>
      <c r="C154" s="82"/>
      <c r="D154" s="82"/>
      <c r="E154" s="82"/>
      <c r="F154" s="83"/>
      <c r="G154" s="83"/>
      <c r="H154" s="83"/>
    </row>
    <row r="155" spans="1:8">
      <c r="A155" s="83"/>
      <c r="B155" s="82"/>
      <c r="C155" s="82"/>
      <c r="D155" s="82"/>
      <c r="E155" s="82"/>
      <c r="F155" s="83"/>
      <c r="G155" s="83"/>
      <c r="H155" s="83"/>
    </row>
    <row r="156" spans="1:8">
      <c r="A156" s="83"/>
      <c r="B156" s="82"/>
      <c r="C156" s="82"/>
      <c r="D156" s="82"/>
      <c r="E156" s="82"/>
      <c r="F156" s="83"/>
      <c r="G156" s="83"/>
      <c r="H156" s="83"/>
    </row>
    <row r="157" spans="1:8">
      <c r="A157" s="83"/>
      <c r="B157" s="82"/>
      <c r="C157" s="82"/>
      <c r="D157" s="82"/>
      <c r="E157" s="82"/>
      <c r="F157" s="83"/>
      <c r="G157" s="83"/>
      <c r="H157" s="83"/>
    </row>
    <row r="158" spans="1:8">
      <c r="A158" s="83"/>
      <c r="B158" s="82"/>
      <c r="C158" s="82"/>
      <c r="D158" s="82"/>
      <c r="E158" s="82"/>
      <c r="F158" s="83"/>
      <c r="G158" s="83"/>
      <c r="H158" s="83"/>
    </row>
    <row r="159" spans="1:8">
      <c r="A159" s="83"/>
      <c r="B159" s="82"/>
      <c r="C159" s="82"/>
      <c r="D159" s="82"/>
      <c r="E159" s="82"/>
      <c r="F159" s="83"/>
      <c r="G159" s="83"/>
      <c r="H159" s="83"/>
    </row>
    <row r="160" spans="1:8">
      <c r="A160" s="83"/>
      <c r="B160" s="82"/>
      <c r="C160" s="82"/>
      <c r="D160" s="82"/>
      <c r="E160" s="82"/>
      <c r="F160" s="83"/>
      <c r="G160" s="83"/>
      <c r="H160" s="83"/>
    </row>
    <row r="161" spans="1:8">
      <c r="A161" s="83"/>
      <c r="B161" s="82"/>
      <c r="C161" s="82"/>
      <c r="D161" s="82"/>
      <c r="E161" s="82"/>
      <c r="F161" s="83"/>
      <c r="G161" s="83"/>
      <c r="H161" s="83"/>
    </row>
    <row r="162" spans="1:8">
      <c r="A162" s="83"/>
      <c r="B162" s="82"/>
      <c r="C162" s="82"/>
      <c r="D162" s="82"/>
      <c r="E162" s="82"/>
      <c r="F162" s="83"/>
      <c r="G162" s="83"/>
      <c r="H162" s="83"/>
    </row>
    <row r="163" spans="1:8">
      <c r="A163" s="83"/>
      <c r="B163" s="82"/>
      <c r="C163" s="82"/>
      <c r="D163" s="82"/>
      <c r="E163" s="82"/>
      <c r="F163" s="83"/>
      <c r="G163" s="83"/>
      <c r="H163" s="83"/>
    </row>
    <row r="164" spans="1:8">
      <c r="A164" s="83"/>
      <c r="B164" s="82"/>
      <c r="C164" s="82"/>
      <c r="D164" s="82"/>
      <c r="E164" s="82"/>
      <c r="F164" s="83"/>
      <c r="G164" s="83"/>
      <c r="H164" s="83"/>
    </row>
    <row r="165" spans="1:8">
      <c r="A165" s="83"/>
      <c r="B165" s="82"/>
      <c r="C165" s="82"/>
      <c r="D165" s="82"/>
      <c r="E165" s="82"/>
      <c r="F165" s="83"/>
      <c r="G165" s="83"/>
      <c r="H165" s="83"/>
    </row>
    <row r="166" spans="1:8">
      <c r="A166" s="83"/>
      <c r="B166" s="82"/>
      <c r="C166" s="82"/>
      <c r="D166" s="82"/>
      <c r="E166" s="82"/>
      <c r="F166" s="83"/>
      <c r="G166" s="83"/>
      <c r="H166" s="83"/>
    </row>
    <row r="167" spans="1:8">
      <c r="A167" s="83"/>
      <c r="B167" s="82"/>
      <c r="C167" s="82"/>
      <c r="D167" s="82"/>
      <c r="E167" s="82"/>
      <c r="F167" s="83"/>
      <c r="G167" s="83"/>
      <c r="H167" s="83"/>
    </row>
    <row r="168" spans="1:8">
      <c r="A168" s="83"/>
      <c r="B168" s="82"/>
      <c r="C168" s="82"/>
      <c r="D168" s="82"/>
      <c r="E168" s="82"/>
      <c r="F168" s="83"/>
      <c r="G168" s="83"/>
      <c r="H168" s="83"/>
    </row>
    <row r="169" spans="1:8">
      <c r="A169" s="83"/>
      <c r="B169" s="82"/>
      <c r="C169" s="82"/>
      <c r="D169" s="82"/>
      <c r="E169" s="82"/>
      <c r="F169" s="83"/>
      <c r="G169" s="83"/>
      <c r="H169" s="83"/>
    </row>
    <row r="170" spans="1:8">
      <c r="A170" s="83"/>
      <c r="B170" s="82"/>
      <c r="C170" s="82"/>
      <c r="D170" s="82"/>
      <c r="E170" s="82"/>
      <c r="F170" s="83"/>
      <c r="G170" s="83"/>
      <c r="H170" s="83"/>
    </row>
    <row r="171" spans="1:8">
      <c r="A171" s="83"/>
      <c r="B171" s="82"/>
      <c r="C171" s="82"/>
      <c r="D171" s="82"/>
      <c r="E171" s="82"/>
      <c r="F171" s="83"/>
      <c r="G171" s="83"/>
      <c r="H171" s="83"/>
    </row>
    <row r="172" spans="1:8">
      <c r="A172" s="83"/>
      <c r="B172" s="82"/>
      <c r="C172" s="82"/>
      <c r="D172" s="82"/>
      <c r="E172" s="82"/>
      <c r="F172" s="83"/>
      <c r="G172" s="83"/>
      <c r="H172" s="83"/>
    </row>
    <row r="173" spans="1:8">
      <c r="A173" s="83"/>
      <c r="B173" s="82"/>
      <c r="C173" s="82"/>
      <c r="D173" s="82"/>
      <c r="E173" s="82"/>
      <c r="F173" s="83"/>
      <c r="G173" s="83"/>
      <c r="H173" s="83"/>
    </row>
    <row r="174" spans="1:8">
      <c r="A174" s="83"/>
      <c r="B174" s="82"/>
      <c r="C174" s="82"/>
      <c r="D174" s="82"/>
      <c r="E174" s="82"/>
      <c r="F174" s="83"/>
      <c r="G174" s="83"/>
      <c r="H174" s="83"/>
    </row>
    <row r="175" spans="1:8">
      <c r="A175" s="83"/>
      <c r="B175" s="82"/>
      <c r="C175" s="82"/>
      <c r="D175" s="82"/>
      <c r="E175" s="82"/>
      <c r="F175" s="83"/>
      <c r="G175" s="83"/>
      <c r="H175" s="83"/>
    </row>
    <row r="176" spans="1:8">
      <c r="A176" s="83"/>
      <c r="B176" s="82"/>
      <c r="C176" s="82"/>
      <c r="D176" s="82"/>
      <c r="E176" s="82"/>
      <c r="F176" s="83"/>
      <c r="G176" s="83"/>
      <c r="H176" s="83"/>
    </row>
    <row r="177" spans="1:8">
      <c r="A177" s="83"/>
      <c r="B177" s="82"/>
      <c r="C177" s="82"/>
      <c r="D177" s="82"/>
      <c r="E177" s="82"/>
      <c r="F177" s="83"/>
      <c r="G177" s="83"/>
      <c r="H177" s="83"/>
    </row>
    <row r="178" spans="1:8">
      <c r="A178" s="83"/>
      <c r="B178" s="82"/>
      <c r="C178" s="82"/>
      <c r="D178" s="82"/>
      <c r="E178" s="82"/>
      <c r="F178" s="83"/>
      <c r="G178" s="83"/>
      <c r="H178" s="83"/>
    </row>
    <row r="179" spans="1:8">
      <c r="A179" s="83"/>
      <c r="B179" s="82"/>
      <c r="C179" s="82"/>
      <c r="D179" s="82"/>
      <c r="E179" s="82"/>
      <c r="F179" s="83"/>
      <c r="G179" s="83"/>
      <c r="H179" s="83"/>
    </row>
    <row r="180" spans="1:8">
      <c r="A180" s="83"/>
      <c r="B180" s="82"/>
      <c r="C180" s="82"/>
      <c r="D180" s="82"/>
      <c r="E180" s="82"/>
      <c r="F180" s="83"/>
      <c r="G180" s="83"/>
      <c r="H180" s="83"/>
    </row>
    <row r="181" spans="1:8">
      <c r="A181" s="83"/>
      <c r="B181" s="82"/>
      <c r="C181" s="82"/>
      <c r="D181" s="82"/>
      <c r="E181" s="82"/>
      <c r="F181" s="83"/>
      <c r="G181" s="83"/>
      <c r="H181" s="83"/>
    </row>
    <row r="182" spans="1:8">
      <c r="A182" s="83"/>
      <c r="B182" s="82"/>
      <c r="C182" s="82"/>
      <c r="D182" s="82"/>
      <c r="E182" s="82"/>
      <c r="F182" s="83"/>
      <c r="G182" s="83"/>
      <c r="H182" s="83"/>
    </row>
    <row r="183" spans="1:8">
      <c r="A183" s="83"/>
      <c r="B183" s="82"/>
      <c r="C183" s="82"/>
      <c r="D183" s="82"/>
      <c r="E183" s="82"/>
      <c r="F183" s="83"/>
      <c r="G183" s="83"/>
      <c r="H183" s="83"/>
    </row>
    <row r="184" spans="1:8">
      <c r="A184" s="83"/>
      <c r="B184" s="82"/>
      <c r="C184" s="82"/>
      <c r="D184" s="82"/>
      <c r="E184" s="82"/>
      <c r="F184" s="83"/>
      <c r="G184" s="83"/>
      <c r="H184" s="83"/>
    </row>
    <row r="185" spans="1:8">
      <c r="A185" s="83"/>
      <c r="B185" s="82"/>
      <c r="C185" s="82"/>
      <c r="D185" s="82"/>
      <c r="E185" s="82"/>
      <c r="F185" s="83"/>
      <c r="G185" s="83"/>
      <c r="H185" s="83"/>
    </row>
    <row r="186" spans="1:8">
      <c r="A186" s="83"/>
      <c r="B186" s="82"/>
      <c r="C186" s="82"/>
      <c r="D186" s="82"/>
      <c r="E186" s="82"/>
      <c r="F186" s="83"/>
      <c r="G186" s="83"/>
      <c r="H186" s="83"/>
    </row>
    <row r="187" spans="1:8">
      <c r="A187" s="83"/>
      <c r="B187" s="82"/>
      <c r="C187" s="82"/>
      <c r="D187" s="82"/>
      <c r="E187" s="82"/>
      <c r="F187" s="83"/>
      <c r="G187" s="83"/>
      <c r="H187" s="83"/>
    </row>
    <row r="188" spans="1:8">
      <c r="A188" s="83"/>
      <c r="B188" s="82"/>
      <c r="C188" s="82"/>
      <c r="D188" s="82"/>
      <c r="E188" s="82"/>
      <c r="F188" s="83"/>
      <c r="G188" s="83"/>
      <c r="H188" s="83"/>
    </row>
    <row r="189" spans="1:8">
      <c r="A189" s="83"/>
      <c r="B189" s="82"/>
      <c r="C189" s="82"/>
      <c r="D189" s="82"/>
      <c r="E189" s="82"/>
      <c r="F189" s="83"/>
      <c r="G189" s="83"/>
      <c r="H189" s="83"/>
    </row>
    <row r="190" spans="1:8">
      <c r="A190" s="83"/>
      <c r="B190" s="82"/>
      <c r="C190" s="82"/>
      <c r="D190" s="82"/>
      <c r="E190" s="82"/>
      <c r="F190" s="83"/>
      <c r="G190" s="83"/>
      <c r="H190" s="83"/>
    </row>
    <row r="191" spans="1:8">
      <c r="A191" s="83"/>
      <c r="B191" s="82"/>
      <c r="C191" s="82"/>
      <c r="D191" s="82"/>
      <c r="E191" s="82"/>
      <c r="F191" s="83"/>
      <c r="G191" s="83"/>
      <c r="H191" s="83"/>
    </row>
    <row r="192" spans="1:8">
      <c r="A192" s="83"/>
      <c r="B192" s="82"/>
      <c r="C192" s="82"/>
      <c r="D192" s="82"/>
      <c r="E192" s="82"/>
      <c r="F192" s="83"/>
      <c r="G192" s="83"/>
      <c r="H192" s="83"/>
    </row>
    <row r="193" spans="1:8">
      <c r="A193" s="83"/>
      <c r="B193" s="82"/>
      <c r="C193" s="82"/>
      <c r="D193" s="82"/>
      <c r="E193" s="82"/>
      <c r="F193" s="83"/>
      <c r="G193" s="83"/>
      <c r="H193" s="83"/>
    </row>
    <row r="194" spans="1:8">
      <c r="A194" s="83"/>
      <c r="B194" s="82"/>
      <c r="C194" s="82"/>
      <c r="D194" s="82"/>
      <c r="E194" s="82"/>
      <c r="F194" s="83"/>
      <c r="G194" s="83"/>
      <c r="H194" s="83"/>
    </row>
    <row r="195" spans="1:8">
      <c r="A195" s="83"/>
      <c r="B195" s="82"/>
      <c r="C195" s="82"/>
      <c r="D195" s="82"/>
      <c r="E195" s="82"/>
      <c r="F195" s="83"/>
      <c r="G195" s="83"/>
      <c r="H195" s="83"/>
    </row>
    <row r="196" spans="1:8">
      <c r="A196" s="83"/>
      <c r="B196" s="82"/>
      <c r="C196" s="82"/>
      <c r="D196" s="82"/>
      <c r="E196" s="82"/>
      <c r="F196" s="83"/>
      <c r="G196" s="83"/>
      <c r="H196" s="83"/>
    </row>
    <row r="197" spans="1:8">
      <c r="A197" s="83"/>
      <c r="B197" s="82"/>
      <c r="C197" s="82"/>
      <c r="D197" s="82"/>
      <c r="E197" s="82"/>
      <c r="F197" s="83"/>
      <c r="G197" s="83"/>
      <c r="H197" s="83"/>
    </row>
    <row r="198" spans="1:8">
      <c r="A198" s="83"/>
      <c r="B198" s="82"/>
      <c r="C198" s="82"/>
      <c r="D198" s="82"/>
      <c r="E198" s="82"/>
      <c r="F198" s="83"/>
      <c r="G198" s="83"/>
      <c r="H198" s="83"/>
    </row>
    <row r="199" spans="1:8">
      <c r="A199" s="83"/>
      <c r="B199" s="82"/>
      <c r="C199" s="82"/>
      <c r="D199" s="82"/>
      <c r="E199" s="82"/>
      <c r="F199" s="83"/>
      <c r="G199" s="83"/>
      <c r="H199" s="83"/>
    </row>
    <row r="200" spans="1:8">
      <c r="A200" s="83"/>
      <c r="B200" s="82"/>
      <c r="C200" s="82"/>
      <c r="D200" s="82"/>
      <c r="E200" s="82"/>
      <c r="F200" s="83"/>
      <c r="G200" s="83"/>
      <c r="H200" s="83"/>
    </row>
    <row r="201" spans="1:8">
      <c r="A201" s="83"/>
      <c r="B201" s="82"/>
      <c r="C201" s="82"/>
      <c r="D201" s="82"/>
      <c r="E201" s="82"/>
      <c r="F201" s="83"/>
      <c r="G201" s="83"/>
      <c r="H201" s="83"/>
    </row>
    <row r="202" spans="1:8">
      <c r="A202" s="83"/>
      <c r="B202" s="82"/>
      <c r="C202" s="82"/>
      <c r="D202" s="82"/>
      <c r="E202" s="82"/>
      <c r="F202" s="83"/>
      <c r="G202" s="83"/>
      <c r="H202" s="83"/>
    </row>
    <row r="203" spans="1:8">
      <c r="A203" s="83"/>
      <c r="B203" s="82"/>
      <c r="C203" s="82"/>
      <c r="D203" s="82"/>
      <c r="E203" s="82"/>
      <c r="F203" s="83"/>
      <c r="G203" s="83"/>
      <c r="H203" s="83"/>
    </row>
    <row r="204" spans="1:8">
      <c r="A204" s="83"/>
      <c r="B204" s="82"/>
      <c r="C204" s="82"/>
      <c r="D204" s="82"/>
      <c r="E204" s="82"/>
      <c r="F204" s="83"/>
      <c r="G204" s="83"/>
      <c r="H204" s="83"/>
    </row>
    <row r="205" spans="1:8">
      <c r="A205" s="83"/>
      <c r="B205" s="82"/>
      <c r="C205" s="82"/>
      <c r="D205" s="82"/>
      <c r="E205" s="82"/>
      <c r="F205" s="83"/>
      <c r="G205" s="83"/>
      <c r="H205" s="83"/>
    </row>
    <row r="206" spans="1:8">
      <c r="A206" s="83"/>
      <c r="B206" s="82"/>
      <c r="C206" s="82"/>
      <c r="D206" s="82"/>
      <c r="E206" s="82"/>
      <c r="F206" s="83"/>
      <c r="G206" s="83"/>
      <c r="H206" s="83"/>
    </row>
    <row r="207" spans="1:8">
      <c r="A207" s="83"/>
      <c r="B207" s="82"/>
      <c r="C207" s="82"/>
      <c r="D207" s="82"/>
      <c r="E207" s="82"/>
      <c r="F207" s="83"/>
      <c r="G207" s="83"/>
      <c r="H207" s="83"/>
    </row>
    <row r="208" spans="1:8">
      <c r="A208" s="83"/>
      <c r="B208" s="82"/>
      <c r="C208" s="82"/>
      <c r="D208" s="82"/>
      <c r="E208" s="82"/>
      <c r="F208" s="83"/>
      <c r="G208" s="83"/>
      <c r="H208" s="83"/>
    </row>
    <row r="209" spans="1:8">
      <c r="A209" s="83"/>
      <c r="B209" s="82"/>
      <c r="C209" s="82"/>
      <c r="D209" s="82"/>
      <c r="E209" s="82"/>
      <c r="F209" s="83"/>
      <c r="G209" s="83"/>
      <c r="H209" s="83"/>
    </row>
    <row r="210" spans="1:8">
      <c r="A210" s="83"/>
      <c r="B210" s="82"/>
      <c r="C210" s="82"/>
      <c r="D210" s="82"/>
      <c r="E210" s="82"/>
      <c r="F210" s="83"/>
      <c r="G210" s="83"/>
      <c r="H210" s="83"/>
    </row>
    <row r="211" spans="1:8">
      <c r="A211" s="83"/>
      <c r="B211" s="82"/>
      <c r="C211" s="82"/>
      <c r="D211" s="82"/>
      <c r="E211" s="82"/>
      <c r="F211" s="83"/>
      <c r="G211" s="83"/>
      <c r="H211" s="83"/>
    </row>
    <row r="212" spans="1:8">
      <c r="A212" s="83"/>
      <c r="B212" s="82"/>
      <c r="C212" s="82"/>
      <c r="D212" s="82"/>
      <c r="E212" s="82"/>
      <c r="F212" s="83"/>
      <c r="G212" s="83"/>
      <c r="H212" s="83"/>
    </row>
    <row r="213" spans="1:8">
      <c r="A213" s="83"/>
      <c r="B213" s="82"/>
      <c r="C213" s="82"/>
      <c r="D213" s="82"/>
      <c r="E213" s="82"/>
      <c r="F213" s="83"/>
      <c r="G213" s="83"/>
      <c r="H213" s="83"/>
    </row>
    <row r="214" spans="1:8">
      <c r="A214" s="83"/>
      <c r="B214" s="82"/>
      <c r="C214" s="82"/>
      <c r="D214" s="82"/>
      <c r="E214" s="82"/>
      <c r="F214" s="83"/>
      <c r="G214" s="83"/>
      <c r="H214" s="83"/>
    </row>
    <row r="215" spans="1:8">
      <c r="A215" s="83"/>
      <c r="B215" s="82"/>
      <c r="C215" s="82"/>
      <c r="D215" s="82"/>
      <c r="E215" s="82"/>
      <c r="F215" s="83"/>
      <c r="G215" s="83"/>
      <c r="H215" s="83"/>
    </row>
    <row r="216" spans="1:8">
      <c r="A216" s="83"/>
      <c r="B216" s="82"/>
      <c r="C216" s="82"/>
      <c r="D216" s="82"/>
      <c r="E216" s="82"/>
      <c r="F216" s="83"/>
      <c r="G216" s="83"/>
      <c r="H216" s="83"/>
    </row>
    <row r="217" spans="1:8">
      <c r="A217" s="83"/>
      <c r="B217" s="82"/>
      <c r="C217" s="82"/>
      <c r="D217" s="82"/>
      <c r="E217" s="82"/>
      <c r="F217" s="83"/>
      <c r="G217" s="83"/>
      <c r="H217" s="83"/>
    </row>
    <row r="218" spans="1:8">
      <c r="A218" s="83"/>
      <c r="B218" s="82"/>
      <c r="C218" s="82"/>
      <c r="D218" s="82"/>
      <c r="E218" s="82"/>
      <c r="F218" s="83"/>
      <c r="G218" s="83"/>
      <c r="H218" s="83"/>
    </row>
    <row r="219" spans="1:8">
      <c r="A219" s="83"/>
      <c r="B219" s="82"/>
      <c r="C219" s="82"/>
      <c r="D219" s="82"/>
      <c r="E219" s="82"/>
      <c r="F219" s="83"/>
      <c r="G219" s="83"/>
      <c r="H219" s="83"/>
    </row>
    <row r="220" spans="1:8">
      <c r="A220" s="83"/>
      <c r="B220" s="82"/>
      <c r="C220" s="82"/>
      <c r="D220" s="82"/>
      <c r="E220" s="82"/>
      <c r="F220" s="83"/>
      <c r="G220" s="83"/>
      <c r="H220" s="83"/>
    </row>
    <row r="221" spans="1:8">
      <c r="A221" s="83"/>
      <c r="B221" s="82"/>
      <c r="C221" s="82"/>
      <c r="D221" s="82"/>
      <c r="E221" s="82"/>
      <c r="F221" s="83"/>
      <c r="G221" s="83"/>
      <c r="H221" s="83"/>
    </row>
    <row r="222" spans="1:8">
      <c r="A222" s="83"/>
      <c r="B222" s="82"/>
      <c r="C222" s="82"/>
      <c r="D222" s="82"/>
      <c r="E222" s="82"/>
      <c r="F222" s="83"/>
      <c r="G222" s="83"/>
      <c r="H222" s="83"/>
    </row>
    <row r="223" spans="1:8">
      <c r="A223" s="83"/>
      <c r="B223" s="82"/>
      <c r="C223" s="82"/>
      <c r="D223" s="82"/>
      <c r="E223" s="82"/>
      <c r="F223" s="83"/>
      <c r="G223" s="83"/>
      <c r="H223" s="83"/>
    </row>
    <row r="224" spans="1:8">
      <c r="A224" s="83"/>
      <c r="B224" s="82"/>
      <c r="C224" s="82"/>
      <c r="D224" s="82"/>
      <c r="E224" s="82"/>
      <c r="F224" s="83"/>
      <c r="G224" s="83"/>
      <c r="H224" s="83"/>
    </row>
    <row r="225" spans="1:8">
      <c r="A225" s="83"/>
      <c r="B225" s="82"/>
      <c r="C225" s="82"/>
      <c r="D225" s="82"/>
      <c r="E225" s="82"/>
      <c r="F225" s="83"/>
      <c r="G225" s="83"/>
      <c r="H225" s="83"/>
    </row>
    <row r="226" spans="1:8">
      <c r="A226" s="83"/>
      <c r="B226" s="82"/>
      <c r="C226" s="82"/>
      <c r="D226" s="82"/>
      <c r="E226" s="82"/>
      <c r="F226" s="83"/>
      <c r="G226" s="83"/>
      <c r="H226" s="83"/>
    </row>
    <row r="227" spans="1:8">
      <c r="A227" s="83"/>
      <c r="B227" s="82"/>
      <c r="C227" s="82"/>
      <c r="D227" s="82"/>
      <c r="E227" s="82"/>
      <c r="F227" s="83"/>
      <c r="G227" s="83"/>
      <c r="H227" s="83"/>
    </row>
    <row r="228" spans="1:8">
      <c r="A228" s="83"/>
      <c r="B228" s="82"/>
      <c r="C228" s="82"/>
      <c r="D228" s="82"/>
      <c r="E228" s="82"/>
      <c r="F228" s="83"/>
      <c r="G228" s="83"/>
      <c r="H228" s="83"/>
    </row>
    <row r="229" spans="1:8">
      <c r="A229" s="83"/>
      <c r="B229" s="82"/>
      <c r="C229" s="82"/>
      <c r="D229" s="82"/>
      <c r="E229" s="82"/>
      <c r="F229" s="83"/>
      <c r="G229" s="83"/>
      <c r="H229" s="83"/>
    </row>
    <row r="230" spans="1:8">
      <c r="A230" s="83"/>
      <c r="B230" s="82"/>
      <c r="C230" s="82"/>
      <c r="D230" s="82"/>
      <c r="E230" s="82"/>
      <c r="F230" s="83"/>
      <c r="G230" s="83"/>
      <c r="H230" s="83"/>
    </row>
    <row r="231" spans="1:8">
      <c r="A231" s="83"/>
      <c r="B231" s="82"/>
      <c r="C231" s="82"/>
      <c r="D231" s="82"/>
      <c r="E231" s="82"/>
      <c r="F231" s="83"/>
      <c r="G231" s="83"/>
      <c r="H231" s="83"/>
    </row>
    <row r="232" spans="1:8">
      <c r="A232" s="83"/>
      <c r="B232" s="82"/>
      <c r="C232" s="82"/>
      <c r="D232" s="82"/>
      <c r="E232" s="82"/>
      <c r="F232" s="83"/>
      <c r="G232" s="83"/>
      <c r="H232" s="83"/>
    </row>
    <row r="233" spans="1:8">
      <c r="A233" s="83"/>
      <c r="B233" s="82"/>
      <c r="C233" s="82"/>
      <c r="D233" s="82"/>
      <c r="E233" s="82"/>
      <c r="F233" s="83"/>
      <c r="G233" s="83"/>
      <c r="H233" s="83"/>
    </row>
    <row r="234" spans="1:8">
      <c r="A234" s="83"/>
      <c r="B234" s="82"/>
      <c r="C234" s="82"/>
      <c r="D234" s="82"/>
      <c r="E234" s="82"/>
      <c r="F234" s="83"/>
      <c r="G234" s="83"/>
      <c r="H234" s="83"/>
    </row>
    <row r="235" spans="1:8">
      <c r="A235" s="83"/>
      <c r="B235" s="82"/>
      <c r="C235" s="82"/>
      <c r="D235" s="82"/>
      <c r="E235" s="82"/>
      <c r="F235" s="83"/>
      <c r="G235" s="83"/>
      <c r="H235" s="83"/>
    </row>
    <row r="236" spans="1:8">
      <c r="A236" s="83"/>
      <c r="B236" s="82"/>
      <c r="C236" s="82"/>
      <c r="D236" s="82"/>
      <c r="E236" s="82"/>
      <c r="F236" s="83"/>
      <c r="G236" s="83"/>
      <c r="H236" s="83"/>
    </row>
    <row r="237" spans="1:8">
      <c r="A237" s="83"/>
      <c r="B237" s="82"/>
      <c r="C237" s="82"/>
      <c r="D237" s="82"/>
      <c r="E237" s="82"/>
      <c r="F237" s="83"/>
      <c r="G237" s="83"/>
      <c r="H237" s="83"/>
    </row>
    <row r="238" spans="1:8">
      <c r="A238" s="83"/>
      <c r="B238" s="82"/>
      <c r="C238" s="82"/>
      <c r="D238" s="82"/>
      <c r="E238" s="82"/>
      <c r="F238" s="83"/>
      <c r="G238" s="83"/>
      <c r="H238" s="83"/>
    </row>
    <row r="239" spans="1:8">
      <c r="A239" s="83"/>
      <c r="B239" s="82"/>
      <c r="C239" s="82"/>
      <c r="D239" s="82"/>
      <c r="E239" s="82"/>
      <c r="F239" s="83"/>
      <c r="G239" s="83"/>
      <c r="H239" s="83"/>
    </row>
    <row r="240" spans="1:8">
      <c r="A240" s="83"/>
      <c r="B240" s="82"/>
      <c r="C240" s="82"/>
      <c r="D240" s="82"/>
      <c r="E240" s="82"/>
      <c r="F240" s="83"/>
      <c r="G240" s="83"/>
      <c r="H240" s="83"/>
    </row>
    <row r="241" spans="1:8">
      <c r="A241" s="83"/>
      <c r="B241" s="82"/>
      <c r="C241" s="82"/>
      <c r="D241" s="82"/>
      <c r="E241" s="82"/>
      <c r="F241" s="83"/>
      <c r="G241" s="83"/>
      <c r="H241" s="83"/>
    </row>
    <row r="242" spans="1:8">
      <c r="A242" s="83"/>
      <c r="B242" s="82"/>
      <c r="C242" s="82"/>
      <c r="D242" s="82"/>
      <c r="E242" s="82"/>
      <c r="F242" s="83"/>
      <c r="G242" s="83"/>
      <c r="H242" s="83"/>
    </row>
    <row r="243" spans="1:8">
      <c r="A243" s="83"/>
      <c r="B243" s="82"/>
      <c r="C243" s="82"/>
      <c r="D243" s="82"/>
      <c r="E243" s="82"/>
      <c r="F243" s="83"/>
      <c r="G243" s="83"/>
      <c r="H243" s="83"/>
    </row>
    <row r="244" spans="1:8">
      <c r="A244" s="83"/>
      <c r="B244" s="82"/>
      <c r="C244" s="82"/>
      <c r="D244" s="82"/>
      <c r="E244" s="82"/>
      <c r="F244" s="83"/>
      <c r="G244" s="83"/>
      <c r="H244" s="83"/>
    </row>
    <row r="245" spans="1:8">
      <c r="A245" s="83"/>
      <c r="B245" s="82"/>
      <c r="C245" s="82"/>
      <c r="D245" s="82"/>
      <c r="E245" s="82"/>
      <c r="F245" s="83"/>
      <c r="G245" s="83"/>
      <c r="H245" s="83"/>
    </row>
    <row r="246" spans="1:8">
      <c r="A246" s="83"/>
      <c r="B246" s="82"/>
      <c r="C246" s="82"/>
      <c r="D246" s="82"/>
      <c r="E246" s="82"/>
      <c r="F246" s="83"/>
      <c r="G246" s="83"/>
      <c r="H246" s="83"/>
    </row>
    <row r="247" spans="1:8">
      <c r="A247" s="83"/>
      <c r="B247" s="82"/>
      <c r="C247" s="82"/>
      <c r="D247" s="82"/>
      <c r="E247" s="82"/>
      <c r="F247" s="83"/>
      <c r="G247" s="83"/>
      <c r="H247" s="83"/>
    </row>
    <row r="248" spans="1:8">
      <c r="A248" s="83"/>
      <c r="B248" s="82"/>
      <c r="C248" s="82"/>
      <c r="D248" s="82"/>
      <c r="E248" s="82"/>
      <c r="F248" s="83"/>
      <c r="G248" s="83"/>
      <c r="H248" s="83"/>
    </row>
    <row r="249" spans="1:8">
      <c r="A249" s="83"/>
      <c r="B249" s="82"/>
      <c r="C249" s="82"/>
      <c r="D249" s="82"/>
      <c r="E249" s="82"/>
      <c r="F249" s="83"/>
      <c r="G249" s="83"/>
      <c r="H249" s="83"/>
    </row>
    <row r="250" spans="1:8">
      <c r="A250" s="83"/>
      <c r="B250" s="82"/>
      <c r="C250" s="82"/>
      <c r="D250" s="82"/>
      <c r="E250" s="82"/>
      <c r="F250" s="83"/>
      <c r="G250" s="83"/>
      <c r="H250" s="83"/>
    </row>
    <row r="251" spans="1:8">
      <c r="A251" s="83"/>
      <c r="B251" s="82"/>
      <c r="C251" s="82"/>
      <c r="D251" s="82"/>
      <c r="E251" s="82"/>
      <c r="F251" s="83"/>
      <c r="G251" s="83"/>
      <c r="H251" s="83"/>
    </row>
    <row r="252" spans="1:8">
      <c r="A252" s="83"/>
      <c r="B252" s="82"/>
      <c r="C252" s="82"/>
      <c r="D252" s="82"/>
      <c r="E252" s="82"/>
      <c r="F252" s="83"/>
      <c r="G252" s="83"/>
      <c r="H252" s="83"/>
    </row>
    <row r="253" spans="1:8">
      <c r="A253" s="83"/>
      <c r="B253" s="82"/>
      <c r="C253" s="82"/>
      <c r="D253" s="82"/>
      <c r="E253" s="82"/>
      <c r="F253" s="83"/>
      <c r="G253" s="83"/>
      <c r="H253" s="83"/>
    </row>
    <row r="254" spans="1:8">
      <c r="A254" s="83"/>
      <c r="B254" s="82"/>
      <c r="C254" s="82"/>
      <c r="D254" s="82"/>
      <c r="E254" s="82"/>
      <c r="F254" s="83"/>
      <c r="G254" s="83"/>
      <c r="H254" s="83"/>
    </row>
    <row r="255" spans="1:8">
      <c r="A255" s="83"/>
      <c r="B255" s="82"/>
      <c r="C255" s="82"/>
      <c r="D255" s="82"/>
      <c r="E255" s="82"/>
      <c r="F255" s="83"/>
      <c r="G255" s="83"/>
      <c r="H255" s="83"/>
    </row>
    <row r="256" spans="1:8">
      <c r="A256" s="83"/>
      <c r="B256" s="82"/>
      <c r="C256" s="82"/>
      <c r="D256" s="82"/>
      <c r="E256" s="82"/>
      <c r="F256" s="83"/>
      <c r="G256" s="83"/>
      <c r="H256" s="83"/>
    </row>
    <row r="257" spans="1:8">
      <c r="A257" s="83"/>
      <c r="B257" s="82"/>
      <c r="C257" s="82"/>
      <c r="D257" s="82"/>
      <c r="E257" s="82"/>
      <c r="F257" s="83"/>
      <c r="G257" s="83"/>
      <c r="H257" s="83"/>
    </row>
    <row r="258" spans="1:8">
      <c r="A258" s="83"/>
      <c r="B258" s="82"/>
      <c r="C258" s="82"/>
      <c r="D258" s="82"/>
      <c r="E258" s="82"/>
      <c r="F258" s="83"/>
      <c r="G258" s="83"/>
      <c r="H258" s="83"/>
    </row>
    <row r="259" spans="1:8">
      <c r="A259" s="83"/>
      <c r="B259" s="82"/>
      <c r="C259" s="82"/>
      <c r="D259" s="82"/>
      <c r="E259" s="82"/>
      <c r="F259" s="83"/>
      <c r="G259" s="83"/>
      <c r="H259" s="83"/>
    </row>
    <row r="260" spans="1:8">
      <c r="A260" s="83"/>
      <c r="B260" s="82"/>
      <c r="C260" s="82"/>
      <c r="D260" s="82"/>
      <c r="E260" s="82"/>
      <c r="F260" s="83"/>
      <c r="G260" s="83"/>
      <c r="H260" s="83"/>
    </row>
    <row r="261" spans="1:8">
      <c r="A261" s="83"/>
      <c r="B261" s="82"/>
      <c r="C261" s="82"/>
      <c r="D261" s="82"/>
      <c r="E261" s="82"/>
      <c r="F261" s="83"/>
      <c r="G261" s="83"/>
      <c r="H261" s="83"/>
    </row>
    <row r="262" spans="1:8">
      <c r="A262" s="83"/>
      <c r="B262" s="82"/>
      <c r="C262" s="82"/>
      <c r="D262" s="82"/>
      <c r="E262" s="82"/>
      <c r="F262" s="83"/>
      <c r="G262" s="83"/>
      <c r="H262" s="83"/>
    </row>
    <row r="263" spans="1:8">
      <c r="A263" s="83"/>
      <c r="B263" s="82"/>
      <c r="C263" s="82"/>
      <c r="D263" s="82"/>
      <c r="E263" s="82"/>
      <c r="F263" s="83"/>
      <c r="G263" s="83"/>
      <c r="H263" s="83"/>
    </row>
    <row r="264" spans="1:8">
      <c r="A264" s="83"/>
      <c r="B264" s="82"/>
      <c r="C264" s="82"/>
      <c r="D264" s="82"/>
      <c r="E264" s="82"/>
      <c r="F264" s="83"/>
      <c r="G264" s="83"/>
      <c r="H264" s="83"/>
    </row>
    <row r="265" spans="1:8">
      <c r="A265" s="83"/>
      <c r="B265" s="82"/>
      <c r="C265" s="82"/>
      <c r="D265" s="82"/>
      <c r="E265" s="82"/>
      <c r="F265" s="83"/>
      <c r="G265" s="83"/>
      <c r="H265" s="83"/>
    </row>
    <row r="266" spans="1:8">
      <c r="A266" s="83"/>
      <c r="B266" s="82"/>
      <c r="C266" s="82"/>
      <c r="D266" s="82"/>
      <c r="E266" s="82"/>
      <c r="F266" s="83"/>
      <c r="G266" s="83"/>
      <c r="H266" s="83"/>
    </row>
    <row r="267" spans="1:8">
      <c r="A267" s="83"/>
      <c r="B267" s="82"/>
      <c r="C267" s="82"/>
      <c r="D267" s="82"/>
      <c r="E267" s="82"/>
      <c r="F267" s="83"/>
      <c r="G267" s="83"/>
      <c r="H267" s="83"/>
    </row>
    <row r="268" spans="1:8">
      <c r="A268" s="83"/>
      <c r="B268" s="82"/>
      <c r="C268" s="82"/>
      <c r="D268" s="82"/>
      <c r="E268" s="82"/>
      <c r="F268" s="83"/>
      <c r="G268" s="83"/>
      <c r="H268" s="83"/>
    </row>
    <row r="269" spans="1:8">
      <c r="A269" s="83"/>
      <c r="B269" s="82"/>
      <c r="C269" s="82"/>
      <c r="D269" s="82"/>
      <c r="E269" s="82"/>
      <c r="F269" s="83"/>
      <c r="G269" s="83"/>
      <c r="H269" s="83"/>
    </row>
    <row r="270" spans="1:8">
      <c r="A270" s="83"/>
      <c r="B270" s="82"/>
      <c r="C270" s="82"/>
      <c r="D270" s="82"/>
      <c r="E270" s="82"/>
      <c r="F270" s="83"/>
      <c r="G270" s="83"/>
      <c r="H270" s="83"/>
    </row>
    <row r="271" spans="1:8">
      <c r="A271" s="83"/>
      <c r="B271" s="82"/>
      <c r="C271" s="82"/>
      <c r="D271" s="82"/>
      <c r="E271" s="82"/>
      <c r="F271" s="83"/>
      <c r="G271" s="83"/>
      <c r="H271" s="83"/>
    </row>
    <row r="272" spans="1:8">
      <c r="A272" s="83"/>
      <c r="B272" s="82"/>
      <c r="C272" s="82"/>
      <c r="D272" s="82"/>
      <c r="E272" s="82"/>
      <c r="F272" s="83"/>
      <c r="G272" s="83"/>
      <c r="H272" s="83"/>
    </row>
    <row r="273" spans="1:8">
      <c r="A273" s="83"/>
      <c r="B273" s="82"/>
      <c r="C273" s="82"/>
      <c r="D273" s="82"/>
      <c r="E273" s="82"/>
      <c r="F273" s="83"/>
      <c r="G273" s="83"/>
      <c r="H273" s="83"/>
    </row>
    <row r="274" spans="1:8">
      <c r="A274" s="83"/>
      <c r="B274" s="82"/>
      <c r="C274" s="82"/>
      <c r="D274" s="82"/>
      <c r="E274" s="82"/>
      <c r="F274" s="83"/>
      <c r="G274" s="83"/>
      <c r="H274" s="83"/>
    </row>
    <row r="275" spans="1:8">
      <c r="A275" s="83"/>
      <c r="B275" s="82"/>
      <c r="C275" s="82"/>
      <c r="D275" s="82"/>
      <c r="E275" s="82"/>
      <c r="F275" s="83"/>
      <c r="G275" s="83"/>
      <c r="H275" s="83"/>
    </row>
    <row r="276" spans="1:8">
      <c r="A276" s="83"/>
      <c r="B276" s="82"/>
      <c r="C276" s="82"/>
      <c r="D276" s="82"/>
      <c r="E276" s="82"/>
      <c r="F276" s="83"/>
      <c r="G276" s="83"/>
      <c r="H276" s="83"/>
    </row>
    <row r="277" spans="1:8">
      <c r="A277" s="83"/>
      <c r="B277" s="82"/>
      <c r="C277" s="82"/>
      <c r="D277" s="82"/>
      <c r="E277" s="82"/>
      <c r="F277" s="83"/>
      <c r="G277" s="83"/>
      <c r="H277" s="83"/>
    </row>
    <row r="278" spans="1:8">
      <c r="A278" s="83"/>
      <c r="B278" s="82"/>
      <c r="C278" s="82"/>
      <c r="D278" s="82"/>
      <c r="E278" s="82"/>
      <c r="F278" s="83"/>
      <c r="G278" s="83"/>
      <c r="H278" s="83"/>
    </row>
    <row r="279" spans="1:8">
      <c r="A279" s="83"/>
      <c r="B279" s="82"/>
      <c r="C279" s="82"/>
      <c r="D279" s="82"/>
      <c r="E279" s="82"/>
      <c r="F279" s="83"/>
      <c r="G279" s="83"/>
      <c r="H279" s="83"/>
    </row>
    <row r="280" spans="1:8">
      <c r="A280" s="83"/>
      <c r="B280" s="82"/>
      <c r="C280" s="82"/>
      <c r="D280" s="82"/>
      <c r="E280" s="82"/>
      <c r="F280" s="83"/>
      <c r="G280" s="83"/>
      <c r="H280" s="83"/>
    </row>
    <row r="281" spans="1:8">
      <c r="A281" s="83"/>
      <c r="B281" s="82"/>
      <c r="C281" s="82"/>
      <c r="D281" s="82"/>
      <c r="E281" s="82"/>
      <c r="F281" s="83"/>
      <c r="G281" s="83"/>
      <c r="H281" s="83"/>
    </row>
    <row r="282" spans="1:8">
      <c r="A282" s="83"/>
      <c r="B282" s="82"/>
      <c r="C282" s="82"/>
      <c r="D282" s="82"/>
      <c r="E282" s="82"/>
      <c r="F282" s="83"/>
      <c r="G282" s="83"/>
      <c r="H282" s="83"/>
    </row>
    <row r="283" spans="1:8">
      <c r="A283" s="83"/>
      <c r="B283" s="82"/>
      <c r="C283" s="82"/>
      <c r="D283" s="82"/>
      <c r="E283" s="82"/>
      <c r="F283" s="83"/>
      <c r="G283" s="83"/>
      <c r="H283" s="83"/>
    </row>
    <row r="284" spans="1:8">
      <c r="A284" s="83"/>
      <c r="B284" s="82"/>
      <c r="C284" s="82"/>
      <c r="D284" s="82"/>
      <c r="E284" s="82"/>
      <c r="F284" s="83"/>
      <c r="G284" s="83"/>
      <c r="H284" s="83"/>
    </row>
    <row r="285" spans="1:8">
      <c r="A285" s="83"/>
      <c r="B285" s="82"/>
      <c r="C285" s="82"/>
      <c r="D285" s="82"/>
      <c r="E285" s="82"/>
      <c r="F285" s="83"/>
      <c r="G285" s="83"/>
      <c r="H285" s="83"/>
    </row>
    <row r="286" spans="1:8">
      <c r="A286" s="83"/>
      <c r="B286" s="82"/>
      <c r="C286" s="82"/>
      <c r="D286" s="82"/>
      <c r="E286" s="82"/>
      <c r="F286" s="83"/>
      <c r="G286" s="83"/>
      <c r="H286" s="83"/>
    </row>
    <row r="287" spans="1:8">
      <c r="A287" s="83"/>
      <c r="B287" s="82"/>
      <c r="C287" s="82"/>
      <c r="D287" s="82"/>
      <c r="E287" s="82"/>
      <c r="F287" s="83"/>
      <c r="G287" s="83"/>
      <c r="H287" s="83"/>
    </row>
    <row r="288" spans="1:8">
      <c r="A288" s="83"/>
      <c r="B288" s="82"/>
      <c r="C288" s="82"/>
      <c r="D288" s="82"/>
      <c r="E288" s="82"/>
      <c r="F288" s="83"/>
      <c r="G288" s="83"/>
      <c r="H288" s="83"/>
    </row>
    <row r="289" spans="1:8">
      <c r="A289" s="83"/>
      <c r="B289" s="82"/>
      <c r="C289" s="82"/>
      <c r="D289" s="82"/>
      <c r="E289" s="82"/>
      <c r="F289" s="83"/>
      <c r="G289" s="83"/>
      <c r="H289" s="83"/>
    </row>
    <row r="290" spans="1:8">
      <c r="A290" s="83"/>
      <c r="B290" s="82"/>
      <c r="C290" s="82"/>
      <c r="D290" s="82"/>
      <c r="E290" s="82"/>
      <c r="F290" s="83"/>
      <c r="G290" s="83"/>
      <c r="H290" s="83"/>
    </row>
    <row r="291" spans="1:8">
      <c r="A291" s="83"/>
      <c r="B291" s="82"/>
      <c r="C291" s="82"/>
      <c r="D291" s="82"/>
      <c r="E291" s="82"/>
      <c r="F291" s="83"/>
      <c r="G291" s="83"/>
      <c r="H291" s="83"/>
    </row>
    <row r="292" spans="1:8">
      <c r="A292" s="83"/>
      <c r="B292" s="82"/>
      <c r="C292" s="82"/>
      <c r="D292" s="82"/>
      <c r="E292" s="82"/>
      <c r="F292" s="83"/>
      <c r="G292" s="83"/>
      <c r="H292" s="83"/>
    </row>
    <row r="293" spans="1:8">
      <c r="A293" s="83"/>
      <c r="B293" s="82"/>
      <c r="C293" s="82"/>
      <c r="D293" s="82"/>
      <c r="E293" s="82"/>
      <c r="F293" s="83"/>
      <c r="G293" s="83"/>
      <c r="H293" s="83"/>
    </row>
    <row r="294" spans="1:8">
      <c r="A294" s="83"/>
      <c r="B294" s="82"/>
      <c r="C294" s="82"/>
      <c r="D294" s="82"/>
      <c r="E294" s="82"/>
      <c r="F294" s="83"/>
      <c r="G294" s="83"/>
      <c r="H294" s="83"/>
    </row>
    <row r="295" spans="1:8">
      <c r="A295" s="83"/>
      <c r="B295" s="82"/>
      <c r="C295" s="82"/>
      <c r="D295" s="82"/>
      <c r="E295" s="82"/>
      <c r="F295" s="83"/>
      <c r="G295" s="83"/>
      <c r="H295" s="83"/>
    </row>
    <row r="296" spans="1:8">
      <c r="A296" s="83"/>
      <c r="B296" s="82"/>
      <c r="C296" s="82"/>
      <c r="D296" s="82"/>
      <c r="E296" s="82"/>
      <c r="F296" s="83"/>
      <c r="G296" s="83"/>
      <c r="H296" s="83"/>
    </row>
    <row r="297" spans="1:8">
      <c r="A297" s="83"/>
      <c r="B297" s="82"/>
      <c r="C297" s="82"/>
      <c r="D297" s="82"/>
      <c r="E297" s="82"/>
      <c r="F297" s="83"/>
      <c r="G297" s="83"/>
      <c r="H297" s="83"/>
    </row>
    <row r="298" spans="1:8">
      <c r="A298" s="83"/>
      <c r="B298" s="82"/>
      <c r="C298" s="82"/>
      <c r="D298" s="82"/>
      <c r="E298" s="82"/>
      <c r="F298" s="83"/>
      <c r="G298" s="83"/>
      <c r="H298" s="83"/>
    </row>
    <row r="299" spans="1:8">
      <c r="A299" s="83"/>
      <c r="B299" s="82"/>
      <c r="C299" s="82"/>
      <c r="D299" s="82"/>
      <c r="E299" s="82"/>
      <c r="F299" s="83"/>
      <c r="G299" s="83"/>
      <c r="H299" s="83"/>
    </row>
    <row r="300" spans="1:8">
      <c r="A300" s="83"/>
      <c r="B300" s="82"/>
      <c r="C300" s="82"/>
      <c r="D300" s="82"/>
      <c r="E300" s="82"/>
      <c r="F300" s="83"/>
      <c r="G300" s="83"/>
      <c r="H300" s="83"/>
    </row>
    <row r="301" spans="1:8">
      <c r="A301" s="83"/>
      <c r="B301" s="82"/>
      <c r="C301" s="82"/>
      <c r="D301" s="82"/>
      <c r="E301" s="82"/>
      <c r="F301" s="83"/>
      <c r="G301" s="83"/>
      <c r="H301" s="83"/>
    </row>
    <row r="302" spans="1:8">
      <c r="A302" s="83"/>
      <c r="B302" s="82"/>
      <c r="C302" s="82"/>
      <c r="D302" s="82"/>
      <c r="E302" s="82"/>
      <c r="F302" s="83"/>
      <c r="G302" s="83"/>
      <c r="H302" s="83"/>
    </row>
    <row r="303" spans="1:8">
      <c r="A303" s="83"/>
      <c r="B303" s="82"/>
      <c r="C303" s="82"/>
      <c r="D303" s="82"/>
      <c r="E303" s="82"/>
      <c r="F303" s="83"/>
      <c r="G303" s="83"/>
      <c r="H303" s="83"/>
    </row>
    <row r="304" spans="1:8">
      <c r="A304" s="83"/>
      <c r="B304" s="82"/>
      <c r="C304" s="82"/>
      <c r="D304" s="82"/>
      <c r="E304" s="82"/>
      <c r="F304" s="83"/>
      <c r="G304" s="83"/>
      <c r="H304" s="83"/>
    </row>
    <row r="305" spans="1:8">
      <c r="A305" s="83"/>
      <c r="B305" s="82"/>
      <c r="C305" s="82"/>
      <c r="D305" s="82"/>
      <c r="E305" s="82"/>
      <c r="F305" s="83"/>
      <c r="G305" s="83"/>
      <c r="H305" s="83"/>
    </row>
    <row r="306" spans="1:8">
      <c r="A306" s="83"/>
      <c r="B306" s="82"/>
      <c r="C306" s="82"/>
      <c r="D306" s="82"/>
      <c r="E306" s="82"/>
      <c r="F306" s="83"/>
      <c r="G306" s="83"/>
      <c r="H306" s="83"/>
    </row>
    <row r="307" spans="1:8">
      <c r="A307" s="83"/>
      <c r="B307" s="82"/>
      <c r="C307" s="82"/>
      <c r="D307" s="82"/>
      <c r="E307" s="82"/>
      <c r="F307" s="83"/>
      <c r="G307" s="83"/>
      <c r="H307" s="83"/>
    </row>
    <row r="308" spans="1:8">
      <c r="A308" s="83"/>
      <c r="B308" s="82"/>
      <c r="C308" s="82"/>
      <c r="D308" s="82"/>
      <c r="E308" s="82"/>
      <c r="F308" s="83"/>
      <c r="G308" s="83"/>
      <c r="H308" s="83"/>
    </row>
    <row r="309" spans="1:8">
      <c r="A309" s="83"/>
      <c r="B309" s="82"/>
      <c r="C309" s="82"/>
      <c r="D309" s="82"/>
      <c r="E309" s="82"/>
      <c r="F309" s="83"/>
      <c r="G309" s="83"/>
      <c r="H309" s="83"/>
    </row>
    <row r="310" spans="1:8">
      <c r="A310" s="83"/>
      <c r="B310" s="82"/>
      <c r="C310" s="82"/>
      <c r="D310" s="82"/>
      <c r="E310" s="82"/>
      <c r="F310" s="83"/>
      <c r="G310" s="83"/>
      <c r="H310" s="83"/>
    </row>
    <row r="311" spans="1:8">
      <c r="A311" s="83"/>
      <c r="B311" s="82"/>
      <c r="C311" s="82"/>
      <c r="D311" s="82"/>
      <c r="E311" s="82"/>
      <c r="F311" s="83"/>
      <c r="G311" s="83"/>
      <c r="H311" s="83"/>
    </row>
    <row r="312" spans="1:8">
      <c r="A312" s="83"/>
      <c r="B312" s="82"/>
      <c r="C312" s="82"/>
      <c r="D312" s="82"/>
      <c r="E312" s="82"/>
      <c r="F312" s="83"/>
      <c r="G312" s="83"/>
      <c r="H312" s="83"/>
    </row>
    <row r="313" spans="1:8">
      <c r="A313" s="83"/>
      <c r="B313" s="82"/>
      <c r="C313" s="82"/>
      <c r="D313" s="82"/>
      <c r="E313" s="82"/>
      <c r="F313" s="83"/>
      <c r="G313" s="83"/>
      <c r="H313" s="83"/>
    </row>
    <row r="314" spans="1:8">
      <c r="A314" s="83"/>
      <c r="B314" s="82"/>
      <c r="C314" s="82"/>
      <c r="D314" s="82"/>
      <c r="E314" s="82"/>
      <c r="F314" s="83"/>
      <c r="G314" s="83"/>
      <c r="H314" s="83"/>
    </row>
    <row r="315" spans="1:8">
      <c r="A315" s="83"/>
      <c r="B315" s="82"/>
      <c r="C315" s="82"/>
      <c r="D315" s="82"/>
      <c r="E315" s="82"/>
      <c r="F315" s="83"/>
      <c r="G315" s="83"/>
      <c r="H315" s="83"/>
    </row>
    <row r="316" spans="1:8">
      <c r="A316" s="83"/>
      <c r="B316" s="82"/>
      <c r="C316" s="82"/>
      <c r="D316" s="82"/>
      <c r="E316" s="82"/>
      <c r="F316" s="83"/>
      <c r="G316" s="83"/>
      <c r="H316" s="83"/>
    </row>
    <row r="317" spans="1:8">
      <c r="A317" s="83"/>
      <c r="B317" s="82"/>
      <c r="C317" s="82"/>
      <c r="D317" s="82"/>
      <c r="E317" s="82"/>
      <c r="F317" s="83"/>
      <c r="G317" s="83"/>
      <c r="H317" s="83"/>
    </row>
    <row r="318" spans="1:8">
      <c r="A318" s="83"/>
      <c r="B318" s="82"/>
      <c r="C318" s="82"/>
      <c r="D318" s="82"/>
      <c r="E318" s="82"/>
      <c r="F318" s="83"/>
      <c r="G318" s="83"/>
      <c r="H318" s="83"/>
    </row>
    <row r="319" spans="1:8">
      <c r="A319" s="83"/>
      <c r="B319" s="82"/>
      <c r="C319" s="82"/>
      <c r="D319" s="82"/>
      <c r="E319" s="82"/>
      <c r="F319" s="83"/>
      <c r="G319" s="83"/>
      <c r="H319" s="83"/>
    </row>
    <row r="320" spans="1:8">
      <c r="A320" s="83"/>
      <c r="B320" s="82"/>
      <c r="C320" s="82"/>
      <c r="D320" s="82"/>
      <c r="E320" s="82"/>
      <c r="F320" s="83"/>
      <c r="G320" s="83"/>
      <c r="H320" s="83"/>
    </row>
    <row r="321" spans="1:8">
      <c r="A321" s="83"/>
      <c r="B321" s="82"/>
      <c r="C321" s="82"/>
      <c r="D321" s="82"/>
      <c r="E321" s="82"/>
      <c r="F321" s="83"/>
      <c r="G321" s="83"/>
      <c r="H321" s="83"/>
    </row>
    <row r="322" spans="1:8">
      <c r="A322" s="83"/>
      <c r="B322" s="82"/>
      <c r="C322" s="82"/>
      <c r="D322" s="82"/>
      <c r="E322" s="82"/>
      <c r="F322" s="83"/>
      <c r="G322" s="83"/>
      <c r="H322" s="83"/>
    </row>
    <row r="323" spans="1:8">
      <c r="A323" s="83"/>
      <c r="B323" s="82"/>
      <c r="C323" s="82"/>
      <c r="D323" s="82"/>
      <c r="E323" s="82"/>
      <c r="F323" s="83"/>
      <c r="G323" s="83"/>
      <c r="H323" s="83"/>
    </row>
    <row r="324" spans="1:8">
      <c r="A324" s="83"/>
      <c r="B324" s="82"/>
      <c r="C324" s="82"/>
      <c r="D324" s="82"/>
      <c r="E324" s="82"/>
      <c r="F324" s="83"/>
      <c r="G324" s="83"/>
      <c r="H324" s="83"/>
    </row>
    <row r="325" spans="1:8">
      <c r="A325" s="83"/>
      <c r="B325" s="82"/>
      <c r="C325" s="82"/>
      <c r="D325" s="82"/>
      <c r="E325" s="82"/>
      <c r="F325" s="83"/>
      <c r="G325" s="83"/>
      <c r="H325" s="83"/>
    </row>
    <row r="326" spans="1:8">
      <c r="A326" s="83"/>
      <c r="B326" s="82"/>
      <c r="C326" s="82"/>
      <c r="D326" s="82"/>
      <c r="E326" s="82"/>
      <c r="F326" s="83"/>
      <c r="G326" s="83"/>
      <c r="H326" s="83"/>
    </row>
    <row r="327" spans="1:8">
      <c r="A327" s="83"/>
      <c r="B327" s="82"/>
      <c r="C327" s="82"/>
      <c r="D327" s="82"/>
      <c r="E327" s="82"/>
      <c r="F327" s="83"/>
      <c r="G327" s="83"/>
      <c r="H327" s="83"/>
    </row>
    <row r="328" spans="1:8">
      <c r="A328" s="83"/>
      <c r="B328" s="82"/>
      <c r="C328" s="82"/>
      <c r="D328" s="82"/>
      <c r="E328" s="82"/>
      <c r="F328" s="83"/>
      <c r="G328" s="83"/>
      <c r="H328" s="83"/>
    </row>
    <row r="329" spans="1:8">
      <c r="A329" s="83"/>
      <c r="B329" s="82"/>
      <c r="C329" s="82"/>
      <c r="D329" s="82"/>
      <c r="E329" s="82"/>
      <c r="F329" s="83"/>
      <c r="G329" s="83"/>
      <c r="H329" s="83"/>
    </row>
    <row r="330" spans="1:8">
      <c r="A330" s="83"/>
      <c r="B330" s="82"/>
      <c r="C330" s="82"/>
      <c r="D330" s="82"/>
      <c r="E330" s="82"/>
      <c r="F330" s="83"/>
      <c r="G330" s="83"/>
      <c r="H330" s="83"/>
    </row>
    <row r="331" spans="1:8">
      <c r="A331" s="83"/>
      <c r="B331" s="82"/>
      <c r="C331" s="82"/>
      <c r="D331" s="82"/>
      <c r="E331" s="82"/>
      <c r="F331" s="83"/>
      <c r="G331" s="83"/>
      <c r="H331" s="83"/>
    </row>
    <row r="332" spans="1:8">
      <c r="A332" s="83"/>
      <c r="B332" s="82"/>
      <c r="C332" s="82"/>
      <c r="D332" s="82"/>
      <c r="E332" s="82"/>
      <c r="F332" s="83"/>
      <c r="G332" s="83"/>
      <c r="H332" s="83"/>
    </row>
    <row r="333" spans="1:8">
      <c r="A333" s="83"/>
      <c r="B333" s="82"/>
      <c r="C333" s="82"/>
      <c r="D333" s="82"/>
      <c r="E333" s="82"/>
      <c r="F333" s="83"/>
      <c r="G333" s="83"/>
      <c r="H333" s="83"/>
    </row>
    <row r="334" spans="1:8">
      <c r="A334" s="83"/>
      <c r="B334" s="82"/>
      <c r="C334" s="82"/>
      <c r="D334" s="82"/>
      <c r="E334" s="82"/>
      <c r="F334" s="83"/>
      <c r="G334" s="83"/>
      <c r="H334" s="83"/>
    </row>
    <row r="335" spans="1:8">
      <c r="A335" s="83"/>
      <c r="B335" s="82"/>
      <c r="C335" s="82"/>
      <c r="D335" s="82"/>
      <c r="E335" s="82"/>
      <c r="F335" s="83"/>
      <c r="G335" s="83"/>
      <c r="H335" s="83"/>
    </row>
    <row r="336" spans="1:8">
      <c r="A336" s="83"/>
      <c r="B336" s="82"/>
      <c r="C336" s="82"/>
      <c r="D336" s="82"/>
      <c r="E336" s="82"/>
      <c r="F336" s="83"/>
      <c r="G336" s="83"/>
      <c r="H336" s="83"/>
    </row>
    <row r="337" spans="1:8">
      <c r="A337" s="83"/>
      <c r="B337" s="82"/>
      <c r="C337" s="82"/>
      <c r="D337" s="82"/>
      <c r="E337" s="82"/>
      <c r="F337" s="83"/>
      <c r="G337" s="83"/>
      <c r="H337" s="83"/>
    </row>
    <row r="338" spans="1:8">
      <c r="A338" s="83"/>
      <c r="B338" s="82"/>
      <c r="C338" s="82"/>
      <c r="D338" s="82"/>
      <c r="E338" s="82"/>
      <c r="F338" s="83"/>
      <c r="G338" s="83"/>
      <c r="H338" s="83"/>
    </row>
    <row r="339" spans="1:8">
      <c r="A339" s="83"/>
      <c r="B339" s="82"/>
      <c r="C339" s="82"/>
      <c r="D339" s="82"/>
      <c r="E339" s="82"/>
      <c r="F339" s="83"/>
      <c r="G339" s="83"/>
      <c r="H339" s="83"/>
    </row>
    <row r="340" spans="1:8">
      <c r="A340" s="83"/>
      <c r="B340" s="82"/>
      <c r="C340" s="82"/>
      <c r="D340" s="82"/>
      <c r="E340" s="82"/>
      <c r="F340" s="83"/>
      <c r="G340" s="83"/>
      <c r="H340" s="83"/>
    </row>
    <row r="341" spans="1:8">
      <c r="A341" s="83"/>
      <c r="B341" s="82"/>
      <c r="C341" s="82"/>
      <c r="D341" s="82"/>
      <c r="E341" s="82"/>
      <c r="F341" s="83"/>
      <c r="G341" s="83"/>
      <c r="H341" s="83"/>
    </row>
    <row r="342" spans="1:8">
      <c r="A342" s="83"/>
      <c r="B342" s="82"/>
      <c r="C342" s="82"/>
      <c r="D342" s="82"/>
      <c r="E342" s="82"/>
      <c r="F342" s="83"/>
      <c r="G342" s="83"/>
      <c r="H342" s="83"/>
    </row>
    <row r="343" spans="1:8">
      <c r="A343" s="83"/>
      <c r="B343" s="82"/>
      <c r="C343" s="82"/>
      <c r="D343" s="82"/>
      <c r="E343" s="82"/>
      <c r="F343" s="83"/>
      <c r="G343" s="83"/>
      <c r="H343" s="83"/>
    </row>
    <row r="344" spans="1:8">
      <c r="A344" s="83"/>
      <c r="B344" s="82"/>
      <c r="C344" s="82"/>
      <c r="D344" s="82"/>
      <c r="E344" s="82"/>
      <c r="F344" s="83"/>
      <c r="G344" s="83"/>
      <c r="H344" s="83"/>
    </row>
    <row r="345" spans="1:8">
      <c r="A345" s="83"/>
      <c r="B345" s="82"/>
      <c r="C345" s="82"/>
      <c r="D345" s="82"/>
      <c r="E345" s="82"/>
      <c r="F345" s="83"/>
      <c r="G345" s="83"/>
      <c r="H345" s="83"/>
    </row>
    <row r="346" spans="1:8">
      <c r="A346" s="83"/>
      <c r="B346" s="82"/>
      <c r="C346" s="82"/>
      <c r="D346" s="82"/>
      <c r="E346" s="82"/>
      <c r="F346" s="83"/>
      <c r="G346" s="83"/>
      <c r="H346" s="83"/>
    </row>
    <row r="347" spans="1:8">
      <c r="A347" s="83"/>
      <c r="B347" s="82"/>
      <c r="C347" s="82"/>
      <c r="D347" s="82"/>
      <c r="E347" s="82"/>
      <c r="F347" s="83"/>
      <c r="G347" s="83"/>
      <c r="H347" s="83"/>
    </row>
    <row r="348" spans="1:8">
      <c r="A348" s="83"/>
      <c r="B348" s="82"/>
      <c r="C348" s="82"/>
      <c r="D348" s="82"/>
      <c r="E348" s="82"/>
      <c r="F348" s="83"/>
      <c r="G348" s="83"/>
      <c r="H348" s="83"/>
    </row>
    <row r="349" spans="1:8">
      <c r="A349" s="83"/>
      <c r="B349" s="82"/>
      <c r="C349" s="82"/>
      <c r="D349" s="82"/>
      <c r="E349" s="82"/>
      <c r="F349" s="83"/>
      <c r="G349" s="83"/>
      <c r="H349" s="83"/>
    </row>
    <row r="350" spans="1:8">
      <c r="A350" s="83"/>
      <c r="B350" s="82"/>
      <c r="C350" s="82"/>
      <c r="D350" s="82"/>
      <c r="E350" s="82"/>
      <c r="F350" s="83"/>
      <c r="G350" s="83"/>
      <c r="H350" s="83"/>
    </row>
    <row r="351" spans="1:8">
      <c r="A351" s="83"/>
      <c r="B351" s="82"/>
      <c r="C351" s="82"/>
      <c r="D351" s="82"/>
      <c r="E351" s="82"/>
      <c r="F351" s="83"/>
      <c r="G351" s="83"/>
      <c r="H351" s="83"/>
    </row>
    <row r="352" spans="1:8">
      <c r="A352" s="83"/>
      <c r="B352" s="82"/>
      <c r="C352" s="82"/>
      <c r="D352" s="82"/>
      <c r="E352" s="82"/>
      <c r="F352" s="83"/>
      <c r="G352" s="83"/>
      <c r="H352" s="83"/>
    </row>
    <row r="353" spans="1:8">
      <c r="A353" s="83"/>
      <c r="B353" s="82"/>
      <c r="C353" s="82"/>
      <c r="D353" s="82"/>
      <c r="E353" s="82"/>
      <c r="F353" s="83"/>
      <c r="G353" s="83"/>
      <c r="H353" s="83"/>
    </row>
    <row r="354" spans="1:8">
      <c r="A354" s="83"/>
      <c r="B354" s="82"/>
      <c r="C354" s="82"/>
      <c r="D354" s="82"/>
      <c r="E354" s="82"/>
      <c r="F354" s="83"/>
      <c r="G354" s="83"/>
      <c r="H354" s="83"/>
    </row>
    <row r="355" spans="1:8">
      <c r="A355" s="83"/>
      <c r="B355" s="82"/>
      <c r="C355" s="82"/>
      <c r="D355" s="82"/>
      <c r="E355" s="82"/>
      <c r="F355" s="83"/>
      <c r="G355" s="83"/>
      <c r="H355" s="83"/>
    </row>
    <row r="356" spans="1:8">
      <c r="A356" s="83"/>
      <c r="B356" s="82"/>
      <c r="C356" s="82"/>
      <c r="D356" s="82"/>
      <c r="E356" s="82"/>
      <c r="F356" s="83"/>
      <c r="G356" s="83"/>
      <c r="H356" s="83"/>
    </row>
    <row r="357" spans="1:8">
      <c r="A357" s="83"/>
      <c r="B357" s="82"/>
      <c r="C357" s="82"/>
      <c r="D357" s="82"/>
      <c r="E357" s="82"/>
      <c r="F357" s="83"/>
      <c r="G357" s="83"/>
      <c r="H357" s="83"/>
    </row>
    <row r="358" spans="1:8">
      <c r="A358" s="83"/>
      <c r="B358" s="82"/>
      <c r="C358" s="82"/>
      <c r="D358" s="82"/>
      <c r="E358" s="82"/>
      <c r="F358" s="83"/>
      <c r="G358" s="83"/>
      <c r="H358" s="83"/>
    </row>
    <row r="359" spans="1:8">
      <c r="A359" s="83"/>
      <c r="B359" s="82"/>
      <c r="C359" s="82"/>
      <c r="D359" s="82"/>
      <c r="E359" s="82"/>
      <c r="F359" s="83"/>
      <c r="G359" s="83"/>
      <c r="H359" s="83"/>
    </row>
    <row r="360" spans="1:8">
      <c r="A360" s="83"/>
      <c r="B360" s="82"/>
      <c r="C360" s="82"/>
      <c r="D360" s="82"/>
      <c r="E360" s="82"/>
      <c r="F360" s="83"/>
      <c r="G360" s="83"/>
      <c r="H360" s="83"/>
    </row>
    <row r="361" spans="1:8">
      <c r="A361" s="83"/>
      <c r="B361" s="82"/>
      <c r="C361" s="82"/>
      <c r="D361" s="82"/>
      <c r="E361" s="82"/>
      <c r="F361" s="83"/>
      <c r="G361" s="83"/>
      <c r="H361" s="83"/>
    </row>
    <row r="362" spans="1:8">
      <c r="A362" s="83"/>
      <c r="B362" s="82"/>
      <c r="C362" s="82"/>
      <c r="D362" s="82"/>
      <c r="E362" s="82"/>
      <c r="F362" s="83"/>
      <c r="G362" s="83"/>
      <c r="H362" s="83"/>
    </row>
    <row r="363" spans="1:8">
      <c r="A363" s="83"/>
      <c r="B363" s="82"/>
      <c r="C363" s="82"/>
      <c r="D363" s="82"/>
      <c r="E363" s="82"/>
      <c r="F363" s="83"/>
      <c r="G363" s="83"/>
      <c r="H363" s="83"/>
    </row>
    <row r="364" spans="1:8">
      <c r="A364" s="83"/>
      <c r="B364" s="82"/>
      <c r="C364" s="82"/>
      <c r="D364" s="82"/>
      <c r="E364" s="82"/>
      <c r="F364" s="83"/>
      <c r="G364" s="83"/>
      <c r="H364" s="83"/>
    </row>
    <row r="365" spans="1:8">
      <c r="A365" s="83"/>
      <c r="B365" s="82"/>
      <c r="C365" s="82"/>
      <c r="D365" s="82"/>
      <c r="E365" s="82"/>
      <c r="F365" s="83"/>
      <c r="G365" s="83"/>
      <c r="H365" s="83"/>
    </row>
    <row r="366" spans="1:8">
      <c r="A366" s="83"/>
      <c r="B366" s="82"/>
      <c r="C366" s="82"/>
      <c r="D366" s="82"/>
      <c r="E366" s="82"/>
      <c r="F366" s="83"/>
      <c r="G366" s="83"/>
      <c r="H366" s="83"/>
    </row>
    <row r="367" spans="1:8">
      <c r="A367" s="83"/>
      <c r="B367" s="82"/>
      <c r="C367" s="82"/>
      <c r="D367" s="82"/>
      <c r="E367" s="82"/>
      <c r="F367" s="83"/>
      <c r="G367" s="83"/>
      <c r="H367" s="83"/>
    </row>
    <row r="368" spans="1:8">
      <c r="A368" s="83"/>
      <c r="B368" s="82"/>
      <c r="C368" s="82"/>
      <c r="D368" s="82"/>
      <c r="E368" s="82"/>
      <c r="F368" s="83"/>
      <c r="G368" s="83"/>
      <c r="H368" s="83"/>
    </row>
    <row r="369" spans="1:8">
      <c r="A369" s="83"/>
      <c r="B369" s="82"/>
      <c r="C369" s="82"/>
      <c r="D369" s="82"/>
      <c r="E369" s="82"/>
      <c r="F369" s="83"/>
      <c r="G369" s="83"/>
      <c r="H369" s="83"/>
    </row>
    <row r="370" spans="1:8">
      <c r="A370" s="83"/>
      <c r="B370" s="82"/>
      <c r="C370" s="82"/>
      <c r="D370" s="82"/>
      <c r="E370" s="82"/>
      <c r="F370" s="83"/>
      <c r="G370" s="83"/>
      <c r="H370" s="83"/>
    </row>
    <row r="371" spans="1:8">
      <c r="A371" s="83"/>
      <c r="B371" s="82"/>
      <c r="C371" s="82"/>
      <c r="D371" s="82"/>
      <c r="E371" s="82"/>
      <c r="F371" s="83"/>
      <c r="G371" s="83"/>
      <c r="H371" s="83"/>
    </row>
    <row r="372" spans="1:8">
      <c r="A372" s="83"/>
      <c r="B372" s="82"/>
      <c r="C372" s="82"/>
      <c r="D372" s="82"/>
      <c r="E372" s="82"/>
      <c r="F372" s="83"/>
      <c r="G372" s="83"/>
      <c r="H372" s="83"/>
    </row>
    <row r="373" spans="1:8">
      <c r="A373" s="83"/>
      <c r="B373" s="82"/>
      <c r="C373" s="82"/>
      <c r="D373" s="82"/>
      <c r="E373" s="82"/>
      <c r="F373" s="83"/>
      <c r="G373" s="83"/>
      <c r="H373" s="83"/>
    </row>
    <row r="374" spans="1:8">
      <c r="A374" s="83"/>
      <c r="B374" s="82"/>
      <c r="C374" s="82"/>
      <c r="D374" s="82"/>
      <c r="E374" s="82"/>
      <c r="F374" s="83"/>
      <c r="G374" s="83"/>
      <c r="H374" s="83"/>
    </row>
    <row r="375" spans="1:8">
      <c r="A375" s="83"/>
      <c r="B375" s="82"/>
      <c r="C375" s="82"/>
      <c r="D375" s="82"/>
      <c r="E375" s="82"/>
      <c r="F375" s="83"/>
      <c r="G375" s="83"/>
      <c r="H375" s="83"/>
    </row>
    <row r="376" spans="1:8">
      <c r="A376" s="83"/>
      <c r="B376" s="82"/>
      <c r="C376" s="82"/>
      <c r="D376" s="82"/>
      <c r="E376" s="82"/>
      <c r="F376" s="83"/>
      <c r="G376" s="83"/>
      <c r="H376" s="83"/>
    </row>
    <row r="377" spans="1:8">
      <c r="A377" s="83"/>
      <c r="B377" s="82"/>
      <c r="C377" s="82"/>
      <c r="D377" s="82"/>
      <c r="E377" s="82"/>
      <c r="F377" s="83"/>
      <c r="G377" s="83"/>
      <c r="H377" s="83"/>
    </row>
    <row r="378" spans="1:8">
      <c r="A378" s="83"/>
      <c r="B378" s="82"/>
      <c r="C378" s="82"/>
      <c r="D378" s="82"/>
      <c r="E378" s="82"/>
      <c r="F378" s="83"/>
      <c r="G378" s="83"/>
      <c r="H378" s="83"/>
    </row>
    <row r="379" spans="1:8">
      <c r="A379" s="83"/>
      <c r="B379" s="82"/>
      <c r="C379" s="82"/>
      <c r="D379" s="82"/>
      <c r="E379" s="82"/>
      <c r="F379" s="83"/>
      <c r="G379" s="83"/>
      <c r="H379" s="83"/>
    </row>
    <row r="380" spans="1:8">
      <c r="A380" s="83"/>
      <c r="B380" s="82"/>
      <c r="C380" s="82"/>
      <c r="D380" s="82"/>
      <c r="E380" s="82"/>
      <c r="F380" s="83"/>
      <c r="G380" s="83"/>
      <c r="H380" s="83"/>
    </row>
    <row r="381" spans="1:8">
      <c r="A381" s="83"/>
      <c r="B381" s="82"/>
      <c r="C381" s="82"/>
      <c r="D381" s="82"/>
      <c r="E381" s="82"/>
      <c r="F381" s="83"/>
      <c r="G381" s="83"/>
      <c r="H381" s="83"/>
    </row>
    <row r="382" spans="1:8">
      <c r="A382" s="83"/>
      <c r="B382" s="82"/>
      <c r="C382" s="82"/>
      <c r="D382" s="82"/>
      <c r="E382" s="82"/>
      <c r="F382" s="83"/>
      <c r="G382" s="83"/>
      <c r="H382" s="83"/>
    </row>
    <row r="383" spans="1:8">
      <c r="A383" s="83"/>
      <c r="B383" s="82"/>
      <c r="C383" s="82"/>
      <c r="D383" s="82"/>
      <c r="E383" s="82"/>
      <c r="F383" s="83"/>
      <c r="G383" s="83"/>
      <c r="H383" s="83"/>
    </row>
    <row r="384" spans="1:8">
      <c r="A384" s="83"/>
      <c r="B384" s="82"/>
      <c r="C384" s="82"/>
      <c r="D384" s="82"/>
      <c r="E384" s="82"/>
      <c r="F384" s="83"/>
      <c r="G384" s="83"/>
      <c r="H384" s="83"/>
    </row>
    <row r="385" spans="1:8">
      <c r="A385" s="83"/>
      <c r="B385" s="82"/>
      <c r="C385" s="82"/>
      <c r="D385" s="82"/>
      <c r="E385" s="82"/>
      <c r="F385" s="83"/>
      <c r="G385" s="83"/>
      <c r="H385" s="83"/>
    </row>
    <row r="386" spans="1:8">
      <c r="A386" s="83"/>
      <c r="B386" s="82"/>
      <c r="C386" s="82"/>
      <c r="D386" s="82"/>
      <c r="E386" s="82"/>
      <c r="F386" s="83"/>
      <c r="G386" s="83"/>
      <c r="H386" s="83"/>
    </row>
    <row r="387" spans="1:8">
      <c r="A387" s="83"/>
      <c r="B387" s="82"/>
      <c r="C387" s="82"/>
      <c r="D387" s="82"/>
      <c r="E387" s="82"/>
      <c r="F387" s="83"/>
      <c r="G387" s="83"/>
      <c r="H387" s="83"/>
    </row>
    <row r="388" spans="1:8">
      <c r="A388" s="83"/>
      <c r="B388" s="82"/>
      <c r="C388" s="82"/>
      <c r="D388" s="82"/>
      <c r="E388" s="82"/>
      <c r="F388" s="83"/>
      <c r="G388" s="83"/>
      <c r="H388" s="83"/>
    </row>
    <row r="389" spans="1:8">
      <c r="A389" s="83"/>
      <c r="B389" s="82"/>
      <c r="C389" s="82"/>
      <c r="D389" s="82"/>
      <c r="E389" s="82"/>
      <c r="F389" s="83"/>
      <c r="G389" s="83"/>
      <c r="H389" s="83"/>
    </row>
    <row r="390" spans="1:8">
      <c r="A390" s="83"/>
      <c r="B390" s="82"/>
      <c r="C390" s="82"/>
      <c r="D390" s="82"/>
      <c r="E390" s="82"/>
      <c r="F390" s="83"/>
      <c r="G390" s="83"/>
      <c r="H390" s="83"/>
    </row>
    <row r="391" spans="1:8">
      <c r="A391" s="83"/>
      <c r="B391" s="82"/>
      <c r="C391" s="82"/>
      <c r="D391" s="82"/>
      <c r="E391" s="82"/>
      <c r="F391" s="83"/>
      <c r="G391" s="83"/>
      <c r="H391" s="83"/>
    </row>
    <row r="392" spans="1:8">
      <c r="A392" s="83"/>
      <c r="B392" s="82"/>
      <c r="C392" s="82"/>
      <c r="D392" s="82"/>
      <c r="E392" s="82"/>
      <c r="F392" s="83"/>
      <c r="G392" s="83"/>
      <c r="H392" s="83"/>
    </row>
    <row r="393" spans="1:8">
      <c r="A393" s="83"/>
      <c r="B393" s="82"/>
      <c r="C393" s="82"/>
      <c r="D393" s="82"/>
      <c r="E393" s="82"/>
      <c r="F393" s="83"/>
      <c r="G393" s="83"/>
      <c r="H393" s="83"/>
    </row>
    <row r="394" spans="1:8">
      <c r="A394" s="83"/>
      <c r="B394" s="82"/>
      <c r="C394" s="82"/>
      <c r="D394" s="82"/>
      <c r="E394" s="82"/>
      <c r="F394" s="83"/>
      <c r="G394" s="83"/>
      <c r="H394" s="83"/>
    </row>
    <row r="395" spans="1:8">
      <c r="A395" s="83"/>
      <c r="B395" s="82"/>
      <c r="C395" s="82"/>
      <c r="D395" s="82"/>
      <c r="E395" s="82"/>
      <c r="F395" s="83"/>
      <c r="G395" s="83"/>
      <c r="H395" s="83"/>
    </row>
    <row r="396" spans="1:8">
      <c r="A396" s="83"/>
      <c r="B396" s="82"/>
      <c r="C396" s="82"/>
      <c r="D396" s="82"/>
      <c r="E396" s="82"/>
      <c r="F396" s="83"/>
      <c r="G396" s="83"/>
      <c r="H396" s="83"/>
    </row>
    <row r="397" spans="1:8">
      <c r="A397" s="83"/>
      <c r="B397" s="82"/>
      <c r="C397" s="82"/>
      <c r="D397" s="82"/>
      <c r="E397" s="82"/>
      <c r="F397" s="83"/>
      <c r="G397" s="83"/>
      <c r="H397" s="83"/>
    </row>
    <row r="398" spans="1:8">
      <c r="A398" s="83"/>
      <c r="B398" s="82"/>
      <c r="C398" s="82"/>
      <c r="D398" s="82"/>
      <c r="E398" s="82"/>
      <c r="F398" s="83"/>
      <c r="G398" s="83"/>
      <c r="H398" s="83"/>
    </row>
    <row r="399" spans="1:8">
      <c r="A399" s="83"/>
      <c r="B399" s="82"/>
      <c r="C399" s="82"/>
      <c r="D399" s="82"/>
      <c r="E399" s="82"/>
      <c r="F399" s="83"/>
      <c r="G399" s="83"/>
      <c r="H399" s="83"/>
    </row>
    <row r="400" spans="1:8">
      <c r="A400" s="83"/>
      <c r="B400" s="82"/>
      <c r="C400" s="82"/>
      <c r="D400" s="82"/>
      <c r="E400" s="82"/>
      <c r="F400" s="83"/>
      <c r="G400" s="83"/>
      <c r="H400" s="83"/>
    </row>
    <row r="401" spans="1:8">
      <c r="A401" s="83"/>
      <c r="B401" s="82"/>
      <c r="C401" s="82"/>
      <c r="D401" s="82"/>
      <c r="E401" s="82"/>
      <c r="F401" s="83"/>
      <c r="G401" s="83"/>
      <c r="H401" s="83"/>
    </row>
    <row r="402" spans="1:8">
      <c r="A402" s="83"/>
      <c r="B402" s="82"/>
      <c r="C402" s="82"/>
      <c r="D402" s="82"/>
      <c r="E402" s="82"/>
      <c r="F402" s="83"/>
      <c r="G402" s="83"/>
      <c r="H402" s="83"/>
    </row>
    <row r="403" spans="1:8">
      <c r="A403" s="83"/>
      <c r="B403" s="82"/>
      <c r="C403" s="82"/>
      <c r="D403" s="82"/>
      <c r="E403" s="82"/>
      <c r="F403" s="83"/>
      <c r="G403" s="83"/>
      <c r="H403" s="83"/>
    </row>
    <row r="404" spans="1:8">
      <c r="A404" s="83"/>
      <c r="B404" s="82"/>
      <c r="C404" s="82"/>
      <c r="D404" s="82"/>
      <c r="E404" s="82"/>
      <c r="F404" s="83"/>
      <c r="G404" s="83"/>
      <c r="H404" s="83"/>
    </row>
    <row r="405" spans="1:8">
      <c r="A405" s="83"/>
      <c r="B405" s="82"/>
      <c r="C405" s="82"/>
      <c r="D405" s="82"/>
      <c r="E405" s="82"/>
      <c r="F405" s="83"/>
      <c r="G405" s="83"/>
      <c r="H405" s="83"/>
    </row>
    <row r="406" spans="1:8">
      <c r="A406" s="83"/>
      <c r="B406" s="82"/>
      <c r="C406" s="82"/>
      <c r="D406" s="82"/>
      <c r="E406" s="82"/>
      <c r="F406" s="83"/>
      <c r="G406" s="83"/>
      <c r="H406" s="83"/>
    </row>
    <row r="407" spans="1:8">
      <c r="A407" s="83"/>
      <c r="B407" s="82"/>
      <c r="C407" s="82"/>
      <c r="D407" s="82"/>
      <c r="E407" s="82"/>
      <c r="F407" s="83"/>
      <c r="G407" s="83"/>
      <c r="H407" s="83"/>
    </row>
    <row r="408" spans="1:8">
      <c r="A408" s="83"/>
      <c r="B408" s="82"/>
      <c r="C408" s="82"/>
      <c r="D408" s="82"/>
      <c r="E408" s="82"/>
      <c r="F408" s="83"/>
      <c r="G408" s="83"/>
      <c r="H408" s="83"/>
    </row>
    <row r="409" spans="1:8">
      <c r="A409" s="83"/>
      <c r="B409" s="82"/>
      <c r="C409" s="82"/>
      <c r="D409" s="82"/>
      <c r="E409" s="82"/>
      <c r="F409" s="83"/>
      <c r="G409" s="83"/>
      <c r="H409" s="83"/>
    </row>
    <row r="410" spans="1:8">
      <c r="A410" s="83"/>
      <c r="B410" s="82"/>
      <c r="C410" s="82"/>
      <c r="D410" s="82"/>
      <c r="E410" s="82"/>
      <c r="F410" s="83"/>
      <c r="G410" s="83"/>
      <c r="H410" s="83"/>
    </row>
    <row r="411" spans="1:8">
      <c r="A411" s="83"/>
      <c r="B411" s="82"/>
      <c r="C411" s="82"/>
      <c r="D411" s="82"/>
      <c r="E411" s="82"/>
      <c r="F411" s="83"/>
      <c r="G411" s="83"/>
      <c r="H411" s="83"/>
    </row>
    <row r="412" spans="1:8">
      <c r="A412" s="83"/>
      <c r="B412" s="82"/>
      <c r="C412" s="82"/>
      <c r="D412" s="82"/>
      <c r="E412" s="82"/>
      <c r="F412" s="83"/>
      <c r="G412" s="83"/>
      <c r="H412" s="83"/>
    </row>
    <row r="413" spans="1:8">
      <c r="A413" s="83"/>
      <c r="B413" s="82"/>
      <c r="C413" s="82"/>
      <c r="D413" s="82"/>
      <c r="E413" s="82"/>
      <c r="F413" s="83"/>
      <c r="G413" s="83"/>
      <c r="H413" s="83"/>
    </row>
    <row r="414" spans="1:8">
      <c r="A414" s="83"/>
      <c r="B414" s="82"/>
      <c r="C414" s="82"/>
      <c r="D414" s="82"/>
      <c r="E414" s="82"/>
      <c r="F414" s="83"/>
      <c r="G414" s="83"/>
      <c r="H414" s="83"/>
    </row>
    <row r="415" spans="1:8">
      <c r="A415" s="83"/>
      <c r="B415" s="82"/>
      <c r="C415" s="82"/>
      <c r="D415" s="82"/>
      <c r="E415" s="82"/>
      <c r="F415" s="83"/>
      <c r="G415" s="83"/>
      <c r="H415" s="83"/>
    </row>
    <row r="416" spans="1:8">
      <c r="A416" s="83"/>
      <c r="B416" s="82"/>
      <c r="C416" s="82"/>
      <c r="D416" s="82"/>
      <c r="E416" s="82"/>
      <c r="F416" s="83"/>
      <c r="G416" s="83"/>
      <c r="H416" s="83"/>
    </row>
    <row r="417" spans="1:8">
      <c r="A417" s="83"/>
      <c r="B417" s="82"/>
      <c r="C417" s="82"/>
      <c r="D417" s="82"/>
      <c r="E417" s="82"/>
      <c r="F417" s="83"/>
      <c r="G417" s="83"/>
      <c r="H417" s="83"/>
    </row>
    <row r="418" spans="1:8">
      <c r="A418" s="83"/>
      <c r="B418" s="82"/>
      <c r="C418" s="82"/>
      <c r="D418" s="82"/>
      <c r="E418" s="82"/>
      <c r="F418" s="83"/>
      <c r="G418" s="83"/>
      <c r="H418" s="83"/>
    </row>
    <row r="419" spans="1:8">
      <c r="A419" s="83"/>
      <c r="B419" s="82"/>
      <c r="C419" s="82"/>
      <c r="D419" s="82"/>
      <c r="E419" s="82"/>
      <c r="F419" s="83"/>
      <c r="G419" s="83"/>
      <c r="H419" s="83"/>
    </row>
    <row r="420" spans="1:8">
      <c r="A420" s="83"/>
      <c r="B420" s="82"/>
      <c r="C420" s="82"/>
      <c r="D420" s="82"/>
      <c r="E420" s="82"/>
      <c r="F420" s="83"/>
      <c r="G420" s="83"/>
      <c r="H420" s="83"/>
    </row>
    <row r="421" spans="1:8">
      <c r="A421" s="83"/>
      <c r="B421" s="82"/>
      <c r="C421" s="82"/>
      <c r="D421" s="82"/>
      <c r="E421" s="82"/>
      <c r="F421" s="83"/>
      <c r="G421" s="83"/>
      <c r="H421" s="83"/>
    </row>
    <row r="422" spans="1:8">
      <c r="A422" s="83"/>
      <c r="B422" s="82"/>
      <c r="C422" s="82"/>
      <c r="D422" s="82"/>
      <c r="E422" s="82"/>
      <c r="F422" s="83"/>
      <c r="G422" s="83"/>
      <c r="H422" s="83"/>
    </row>
    <row r="423" spans="1:8">
      <c r="A423" s="83"/>
      <c r="B423" s="82"/>
      <c r="C423" s="82"/>
      <c r="D423" s="82"/>
      <c r="E423" s="82"/>
      <c r="F423" s="83"/>
      <c r="G423" s="83"/>
      <c r="H423" s="83"/>
    </row>
    <row r="424" spans="1:8">
      <c r="A424" s="83"/>
      <c r="B424" s="82"/>
      <c r="C424" s="82"/>
      <c r="D424" s="82"/>
      <c r="E424" s="82"/>
      <c r="F424" s="83"/>
      <c r="G424" s="83"/>
      <c r="H424" s="83"/>
    </row>
    <row r="425" spans="1:8">
      <c r="A425" s="83"/>
      <c r="B425" s="82"/>
      <c r="C425" s="82"/>
      <c r="D425" s="82"/>
      <c r="E425" s="82"/>
      <c r="F425" s="83"/>
      <c r="G425" s="83"/>
      <c r="H425" s="83"/>
    </row>
    <row r="426" spans="1:8">
      <c r="A426" s="83"/>
      <c r="B426" s="82"/>
      <c r="C426" s="82"/>
      <c r="D426" s="82"/>
      <c r="E426" s="82"/>
      <c r="F426" s="83"/>
      <c r="G426" s="83"/>
      <c r="H426" s="83"/>
    </row>
    <row r="427" spans="1:8">
      <c r="A427" s="83"/>
      <c r="B427" s="82"/>
      <c r="C427" s="82"/>
      <c r="D427" s="82"/>
      <c r="E427" s="82"/>
      <c r="F427" s="83"/>
      <c r="G427" s="83"/>
      <c r="H427" s="83"/>
    </row>
    <row r="428" spans="1:8">
      <c r="A428" s="83"/>
      <c r="B428" s="82"/>
      <c r="C428" s="82"/>
      <c r="D428" s="82"/>
      <c r="E428" s="82"/>
      <c r="F428" s="83"/>
      <c r="G428" s="83"/>
      <c r="H428" s="83"/>
    </row>
    <row r="429" spans="1:8">
      <c r="A429" s="83"/>
      <c r="B429" s="82"/>
      <c r="C429" s="82"/>
      <c r="D429" s="82"/>
      <c r="E429" s="82"/>
      <c r="F429" s="83"/>
      <c r="G429" s="83"/>
      <c r="H429" s="83"/>
    </row>
    <row r="430" spans="1:8">
      <c r="A430" s="83"/>
      <c r="B430" s="82"/>
      <c r="C430" s="82"/>
      <c r="D430" s="82"/>
      <c r="E430" s="82"/>
      <c r="F430" s="83"/>
      <c r="G430" s="83"/>
      <c r="H430" s="83"/>
    </row>
    <row r="431" spans="1:8">
      <c r="A431" s="83"/>
      <c r="B431" s="82"/>
      <c r="C431" s="82"/>
      <c r="D431" s="82"/>
      <c r="E431" s="82"/>
      <c r="F431" s="83"/>
      <c r="G431" s="83"/>
      <c r="H431" s="83"/>
    </row>
    <row r="432" spans="1:8">
      <c r="A432" s="83"/>
      <c r="B432" s="82"/>
      <c r="C432" s="82"/>
      <c r="D432" s="82"/>
      <c r="E432" s="82"/>
      <c r="F432" s="83"/>
      <c r="G432" s="83"/>
      <c r="H432" s="83"/>
    </row>
    <row r="433" spans="1:8">
      <c r="A433" s="83"/>
      <c r="B433" s="82"/>
      <c r="C433" s="82"/>
      <c r="D433" s="82"/>
      <c r="E433" s="82"/>
      <c r="F433" s="83"/>
      <c r="G433" s="83"/>
      <c r="H433" s="83"/>
    </row>
    <row r="434" spans="1:8">
      <c r="A434" s="83"/>
      <c r="B434" s="82"/>
      <c r="C434" s="82"/>
      <c r="D434" s="82"/>
      <c r="E434" s="82"/>
      <c r="F434" s="83"/>
      <c r="G434" s="83"/>
      <c r="H434" s="83"/>
    </row>
    <row r="435" spans="1:8">
      <c r="A435" s="83"/>
      <c r="B435" s="82"/>
      <c r="C435" s="82"/>
      <c r="D435" s="82"/>
      <c r="E435" s="82"/>
      <c r="F435" s="83"/>
      <c r="G435" s="83"/>
      <c r="H435" s="83"/>
    </row>
    <row r="436" spans="1:8">
      <c r="A436" s="83"/>
      <c r="B436" s="82"/>
      <c r="C436" s="82"/>
      <c r="D436" s="82"/>
      <c r="E436" s="82"/>
      <c r="F436" s="83"/>
      <c r="G436" s="83"/>
      <c r="H436" s="83"/>
    </row>
    <row r="437" spans="1:8">
      <c r="A437" s="83"/>
      <c r="B437" s="82"/>
      <c r="C437" s="82"/>
      <c r="D437" s="82"/>
      <c r="E437" s="82"/>
      <c r="F437" s="83"/>
      <c r="G437" s="83"/>
      <c r="H437" s="83"/>
    </row>
    <row r="438" spans="1:8">
      <c r="A438" s="83"/>
      <c r="B438" s="82"/>
      <c r="C438" s="82"/>
      <c r="D438" s="82"/>
      <c r="E438" s="82"/>
      <c r="F438" s="83"/>
      <c r="G438" s="83"/>
      <c r="H438" s="83"/>
    </row>
    <row r="439" spans="1:8">
      <c r="A439" s="83"/>
      <c r="B439" s="82"/>
      <c r="C439" s="82"/>
      <c r="D439" s="82"/>
      <c r="E439" s="82"/>
      <c r="F439" s="83"/>
      <c r="G439" s="83"/>
      <c r="H439" s="83"/>
    </row>
    <row r="440" spans="1:8">
      <c r="A440" s="83"/>
      <c r="B440" s="82"/>
      <c r="C440" s="82"/>
      <c r="D440" s="82"/>
      <c r="E440" s="82"/>
      <c r="F440" s="83"/>
      <c r="G440" s="83"/>
      <c r="H440" s="83"/>
    </row>
    <row r="441" spans="1:8">
      <c r="A441" s="83"/>
      <c r="B441" s="82"/>
      <c r="C441" s="82"/>
      <c r="D441" s="82"/>
      <c r="E441" s="82"/>
      <c r="F441" s="83"/>
      <c r="G441" s="83"/>
      <c r="H441" s="83"/>
    </row>
    <row r="442" spans="1:8">
      <c r="A442" s="83"/>
      <c r="B442" s="82"/>
      <c r="C442" s="82"/>
      <c r="D442" s="82"/>
      <c r="E442" s="82"/>
      <c r="F442" s="83"/>
      <c r="G442" s="83"/>
      <c r="H442" s="83"/>
    </row>
    <row r="443" spans="1:8">
      <c r="A443" s="83"/>
      <c r="B443" s="82"/>
      <c r="C443" s="82"/>
      <c r="D443" s="82"/>
      <c r="E443" s="82"/>
      <c r="F443" s="83"/>
      <c r="G443" s="83"/>
      <c r="H443" s="83"/>
    </row>
    <row r="444" spans="1:8">
      <c r="A444" s="83"/>
      <c r="B444" s="82"/>
      <c r="C444" s="82"/>
      <c r="D444" s="82"/>
      <c r="E444" s="82"/>
      <c r="F444" s="83"/>
      <c r="G444" s="83"/>
      <c r="H444" s="83"/>
    </row>
    <row r="445" spans="1:8">
      <c r="A445" s="83"/>
      <c r="B445" s="82"/>
      <c r="C445" s="82"/>
      <c r="D445" s="82"/>
      <c r="E445" s="82"/>
      <c r="F445" s="83"/>
      <c r="G445" s="83"/>
      <c r="H445" s="83"/>
    </row>
    <row r="446" spans="1:8">
      <c r="A446" s="83"/>
      <c r="B446" s="82"/>
      <c r="C446" s="82"/>
      <c r="D446" s="82"/>
      <c r="E446" s="82"/>
      <c r="F446" s="83"/>
      <c r="G446" s="83"/>
      <c r="H446" s="83"/>
    </row>
    <row r="447" spans="1:8">
      <c r="A447" s="83"/>
      <c r="B447" s="82"/>
      <c r="C447" s="82"/>
      <c r="D447" s="82"/>
      <c r="E447" s="82"/>
      <c r="F447" s="83"/>
      <c r="G447" s="83"/>
      <c r="H447" s="83"/>
    </row>
    <row r="448" spans="1:8">
      <c r="A448" s="83"/>
      <c r="B448" s="82"/>
      <c r="C448" s="82"/>
      <c r="D448" s="82"/>
      <c r="E448" s="82"/>
      <c r="F448" s="83"/>
      <c r="G448" s="83"/>
      <c r="H448" s="83"/>
    </row>
    <row r="449" spans="1:8">
      <c r="A449" s="83"/>
      <c r="B449" s="82"/>
      <c r="C449" s="82"/>
      <c r="D449" s="82"/>
      <c r="E449" s="82"/>
      <c r="F449" s="83"/>
      <c r="G449" s="83"/>
      <c r="H449" s="83"/>
    </row>
    <row r="450" spans="1:8">
      <c r="A450" s="83"/>
      <c r="B450" s="82"/>
      <c r="C450" s="82"/>
      <c r="D450" s="82"/>
      <c r="E450" s="82"/>
      <c r="F450" s="83"/>
      <c r="G450" s="83"/>
      <c r="H450" s="83"/>
    </row>
    <row r="451" spans="1:8">
      <c r="A451" s="83"/>
      <c r="B451" s="82"/>
      <c r="C451" s="82"/>
      <c r="D451" s="82"/>
      <c r="E451" s="82"/>
      <c r="F451" s="83"/>
      <c r="G451" s="83"/>
      <c r="H451" s="83"/>
    </row>
    <row r="452" spans="1:8">
      <c r="A452" s="83"/>
      <c r="B452" s="82"/>
      <c r="C452" s="82"/>
      <c r="D452" s="82"/>
      <c r="E452" s="82"/>
      <c r="F452" s="83"/>
      <c r="G452" s="83"/>
      <c r="H452" s="83"/>
    </row>
    <row r="453" spans="1:8">
      <c r="A453" s="83"/>
      <c r="B453" s="82"/>
      <c r="C453" s="82"/>
      <c r="D453" s="82"/>
      <c r="E453" s="82"/>
      <c r="F453" s="83"/>
      <c r="G453" s="83"/>
      <c r="H453" s="83"/>
    </row>
    <row r="454" spans="1:8">
      <c r="A454" s="83"/>
      <c r="B454" s="82"/>
      <c r="C454" s="82"/>
      <c r="D454" s="82"/>
      <c r="E454" s="82"/>
      <c r="F454" s="83"/>
      <c r="G454" s="83"/>
      <c r="H454" s="83"/>
    </row>
    <row r="455" spans="1:8">
      <c r="A455" s="83"/>
      <c r="B455" s="82"/>
      <c r="C455" s="82"/>
      <c r="D455" s="82"/>
      <c r="E455" s="82"/>
      <c r="F455" s="83"/>
      <c r="G455" s="83"/>
      <c r="H455" s="83"/>
    </row>
    <row r="456" spans="1:8">
      <c r="A456" s="83"/>
      <c r="B456" s="82"/>
      <c r="C456" s="82"/>
      <c r="D456" s="82"/>
      <c r="E456" s="82"/>
      <c r="F456" s="83"/>
      <c r="G456" s="83"/>
      <c r="H456" s="83"/>
    </row>
    <row r="457" spans="1:8">
      <c r="A457" s="83"/>
      <c r="B457" s="82"/>
      <c r="C457" s="82"/>
      <c r="D457" s="82"/>
      <c r="E457" s="82"/>
      <c r="F457" s="83"/>
      <c r="G457" s="83"/>
      <c r="H457" s="83"/>
    </row>
    <row r="458" spans="1:8">
      <c r="A458" s="83"/>
      <c r="B458" s="82"/>
      <c r="C458" s="82"/>
      <c r="D458" s="82"/>
      <c r="E458" s="82"/>
      <c r="F458" s="83"/>
      <c r="G458" s="83"/>
      <c r="H458" s="83"/>
    </row>
    <row r="459" spans="1:8">
      <c r="A459" s="83"/>
      <c r="B459" s="82"/>
      <c r="C459" s="82"/>
      <c r="D459" s="82"/>
      <c r="E459" s="82"/>
      <c r="F459" s="83"/>
      <c r="G459" s="83"/>
      <c r="H459" s="83"/>
    </row>
    <row r="460" spans="1:8">
      <c r="A460" s="83"/>
      <c r="B460" s="82"/>
      <c r="C460" s="82"/>
      <c r="D460" s="82"/>
      <c r="E460" s="82"/>
      <c r="F460" s="83"/>
      <c r="G460" s="83"/>
      <c r="H460" s="83"/>
    </row>
    <row r="461" spans="1:8">
      <c r="A461" s="83"/>
      <c r="B461" s="82"/>
      <c r="C461" s="82"/>
      <c r="D461" s="82"/>
      <c r="E461" s="82"/>
      <c r="F461" s="83"/>
      <c r="G461" s="83"/>
      <c r="H461" s="83"/>
    </row>
    <row r="462" spans="1:8">
      <c r="A462" s="83"/>
      <c r="B462" s="82"/>
      <c r="C462" s="82"/>
      <c r="D462" s="82"/>
      <c r="E462" s="82"/>
      <c r="F462" s="83"/>
      <c r="G462" s="83"/>
      <c r="H462" s="83"/>
    </row>
    <row r="463" spans="1:8">
      <c r="A463" s="83"/>
      <c r="B463" s="82"/>
      <c r="C463" s="82"/>
      <c r="D463" s="82"/>
      <c r="E463" s="82"/>
      <c r="F463" s="83"/>
      <c r="G463" s="83"/>
      <c r="H463" s="83"/>
    </row>
    <row r="464" spans="1:8">
      <c r="A464" s="83"/>
      <c r="B464" s="82"/>
      <c r="C464" s="82"/>
      <c r="D464" s="82"/>
      <c r="E464" s="82"/>
      <c r="F464" s="83"/>
      <c r="G464" s="83"/>
      <c r="H464" s="83"/>
    </row>
    <row r="465" spans="1:8">
      <c r="A465" s="83"/>
      <c r="B465" s="82"/>
      <c r="C465" s="82"/>
      <c r="D465" s="82"/>
      <c r="E465" s="82"/>
      <c r="F465" s="83"/>
      <c r="G465" s="83"/>
      <c r="H465" s="83"/>
    </row>
    <row r="466" spans="1:8">
      <c r="A466" s="83"/>
      <c r="B466" s="82"/>
      <c r="C466" s="82"/>
      <c r="D466" s="82"/>
      <c r="E466" s="82"/>
      <c r="F466" s="83"/>
      <c r="G466" s="83"/>
      <c r="H466" s="83"/>
    </row>
    <row r="467" spans="1:8">
      <c r="A467" s="83"/>
      <c r="B467" s="82"/>
      <c r="C467" s="82"/>
      <c r="D467" s="82"/>
      <c r="E467" s="82"/>
      <c r="F467" s="83"/>
      <c r="G467" s="83"/>
      <c r="H467" s="83"/>
    </row>
    <row r="468" spans="1:8">
      <c r="A468" s="83"/>
      <c r="B468" s="82"/>
      <c r="C468" s="82"/>
      <c r="D468" s="82"/>
      <c r="E468" s="82"/>
      <c r="F468" s="83"/>
      <c r="G468" s="83"/>
      <c r="H468" s="83"/>
    </row>
    <row r="469" spans="1:8">
      <c r="A469" s="83"/>
      <c r="B469" s="82"/>
      <c r="C469" s="82"/>
      <c r="D469" s="82"/>
      <c r="E469" s="82"/>
      <c r="F469" s="83"/>
      <c r="G469" s="83"/>
      <c r="H469" s="83"/>
    </row>
    <row r="470" spans="1:8">
      <c r="A470" s="83"/>
      <c r="B470" s="82"/>
      <c r="C470" s="82"/>
      <c r="D470" s="82"/>
      <c r="E470" s="82"/>
      <c r="F470" s="83"/>
      <c r="G470" s="83"/>
      <c r="H470" s="83"/>
    </row>
    <row r="471" spans="1:8">
      <c r="A471" s="83"/>
      <c r="B471" s="82"/>
      <c r="C471" s="82"/>
      <c r="D471" s="82"/>
      <c r="E471" s="82"/>
      <c r="F471" s="83"/>
      <c r="G471" s="83"/>
      <c r="H471" s="83"/>
    </row>
    <row r="472" spans="1:8">
      <c r="A472" s="83"/>
      <c r="B472" s="82"/>
      <c r="C472" s="82"/>
      <c r="D472" s="82"/>
      <c r="E472" s="82"/>
      <c r="F472" s="83"/>
      <c r="G472" s="83"/>
      <c r="H472" s="83"/>
    </row>
    <row r="473" spans="1:8">
      <c r="A473" s="83"/>
      <c r="B473" s="82"/>
      <c r="C473" s="82"/>
      <c r="D473" s="82"/>
      <c r="E473" s="82"/>
      <c r="F473" s="83"/>
      <c r="G473" s="83"/>
      <c r="H473" s="83"/>
    </row>
    <row r="474" spans="1:8">
      <c r="A474" s="83"/>
      <c r="B474" s="82"/>
      <c r="C474" s="82"/>
      <c r="D474" s="82"/>
      <c r="E474" s="82"/>
      <c r="F474" s="83"/>
      <c r="G474" s="83"/>
      <c r="H474" s="83"/>
    </row>
    <row r="475" spans="1:8">
      <c r="A475" s="83"/>
      <c r="B475" s="82"/>
      <c r="C475" s="82"/>
      <c r="D475" s="82"/>
      <c r="E475" s="82"/>
      <c r="F475" s="83"/>
      <c r="G475" s="83"/>
      <c r="H475" s="83"/>
    </row>
    <row r="476" spans="1:8">
      <c r="A476" s="83"/>
      <c r="B476" s="82"/>
      <c r="C476" s="82"/>
      <c r="D476" s="82"/>
      <c r="E476" s="82"/>
      <c r="F476" s="83"/>
      <c r="G476" s="83"/>
      <c r="H476" s="83"/>
    </row>
    <row r="477" spans="1:8">
      <c r="A477" s="83"/>
      <c r="B477" s="82"/>
      <c r="C477" s="82"/>
      <c r="D477" s="82"/>
      <c r="E477" s="82"/>
      <c r="F477" s="83"/>
      <c r="G477" s="83"/>
      <c r="H477" s="83"/>
    </row>
    <row r="478" spans="1:8">
      <c r="A478" s="83"/>
      <c r="B478" s="82"/>
      <c r="C478" s="82"/>
      <c r="D478" s="82"/>
      <c r="E478" s="82"/>
      <c r="F478" s="83"/>
      <c r="G478" s="83"/>
      <c r="H478" s="83"/>
    </row>
    <row r="479" spans="1:8">
      <c r="A479" s="83"/>
      <c r="B479" s="82"/>
      <c r="C479" s="82"/>
      <c r="D479" s="82"/>
      <c r="E479" s="82"/>
      <c r="F479" s="83"/>
      <c r="G479" s="83"/>
      <c r="H479" s="83"/>
    </row>
    <row r="480" spans="1:8">
      <c r="A480" s="83"/>
      <c r="B480" s="82"/>
      <c r="C480" s="82"/>
      <c r="D480" s="82"/>
      <c r="E480" s="82"/>
      <c r="F480" s="83"/>
      <c r="G480" s="83"/>
      <c r="H480" s="83"/>
    </row>
    <row r="481" spans="1:8">
      <c r="A481" s="83"/>
      <c r="B481" s="82"/>
      <c r="C481" s="82"/>
      <c r="D481" s="82"/>
      <c r="E481" s="82"/>
      <c r="F481" s="83"/>
      <c r="G481" s="83"/>
      <c r="H481" s="83"/>
    </row>
    <row r="482" spans="1:8">
      <c r="A482" s="83"/>
      <c r="B482" s="82"/>
      <c r="C482" s="82"/>
      <c r="D482" s="82"/>
      <c r="E482" s="82"/>
      <c r="F482" s="83"/>
      <c r="G482" s="83"/>
      <c r="H482" s="83"/>
    </row>
    <row r="483" spans="1:8">
      <c r="A483" s="83"/>
      <c r="B483" s="82"/>
      <c r="C483" s="82"/>
      <c r="D483" s="82"/>
      <c r="E483" s="82"/>
      <c r="F483" s="83"/>
      <c r="G483" s="83"/>
      <c r="H483" s="83"/>
    </row>
    <row r="484" spans="1:8">
      <c r="A484" s="83"/>
      <c r="B484" s="82"/>
      <c r="C484" s="82"/>
      <c r="D484" s="82"/>
      <c r="E484" s="82"/>
      <c r="F484" s="83"/>
      <c r="G484" s="83"/>
      <c r="H484" s="83"/>
    </row>
    <row r="485" spans="1:8">
      <c r="A485" s="83"/>
      <c r="B485" s="82"/>
      <c r="C485" s="82"/>
      <c r="D485" s="82"/>
      <c r="E485" s="82"/>
      <c r="F485" s="83"/>
      <c r="G485" s="83"/>
      <c r="H485" s="83"/>
    </row>
    <row r="486" spans="1:8">
      <c r="A486" s="83"/>
      <c r="B486" s="82"/>
      <c r="C486" s="82"/>
      <c r="D486" s="82"/>
      <c r="E486" s="82"/>
      <c r="F486" s="83"/>
      <c r="G486" s="83"/>
      <c r="H486" s="83"/>
    </row>
    <row r="487" spans="1:8">
      <c r="A487" s="83"/>
      <c r="B487" s="82"/>
      <c r="C487" s="82"/>
      <c r="D487" s="82"/>
      <c r="E487" s="82"/>
      <c r="F487" s="83"/>
      <c r="G487" s="83"/>
      <c r="H487" s="83"/>
    </row>
    <row r="488" spans="1:8">
      <c r="A488" s="83"/>
      <c r="B488" s="82"/>
      <c r="C488" s="82"/>
      <c r="D488" s="82"/>
      <c r="E488" s="82"/>
      <c r="F488" s="83"/>
      <c r="G488" s="83"/>
      <c r="H488" s="83"/>
    </row>
    <row r="489" spans="1:8">
      <c r="A489" s="83"/>
      <c r="B489" s="82"/>
      <c r="C489" s="82"/>
      <c r="D489" s="82"/>
      <c r="E489" s="82"/>
      <c r="F489" s="83"/>
      <c r="G489" s="83"/>
      <c r="H489" s="83"/>
    </row>
    <row r="490" spans="1:8">
      <c r="A490" s="83"/>
      <c r="B490" s="82"/>
      <c r="C490" s="82"/>
      <c r="D490" s="82"/>
      <c r="E490" s="82"/>
      <c r="F490" s="83"/>
      <c r="G490" s="83"/>
      <c r="H490" s="83"/>
    </row>
    <row r="491" spans="1:8">
      <c r="A491" s="83"/>
      <c r="B491" s="82"/>
      <c r="C491" s="82"/>
      <c r="D491" s="82"/>
      <c r="E491" s="82"/>
      <c r="F491" s="83"/>
      <c r="G491" s="83"/>
      <c r="H491" s="83"/>
    </row>
    <row r="492" spans="1:8">
      <c r="A492" s="83"/>
      <c r="B492" s="82"/>
      <c r="C492" s="82"/>
      <c r="D492" s="82"/>
      <c r="E492" s="82"/>
      <c r="F492" s="83"/>
      <c r="G492" s="83"/>
      <c r="H492" s="83"/>
    </row>
    <row r="493" spans="1:8">
      <c r="A493" s="83"/>
      <c r="B493" s="82"/>
      <c r="C493" s="82"/>
      <c r="D493" s="82"/>
      <c r="E493" s="82"/>
      <c r="F493" s="83"/>
      <c r="G493" s="83"/>
      <c r="H493" s="83"/>
    </row>
    <row r="494" spans="1:8">
      <c r="A494" s="83"/>
      <c r="B494" s="82"/>
      <c r="C494" s="82"/>
      <c r="D494" s="82"/>
      <c r="E494" s="82"/>
      <c r="F494" s="83"/>
      <c r="G494" s="83"/>
      <c r="H494" s="83"/>
    </row>
    <row r="495" spans="1:8">
      <c r="A495" s="83"/>
      <c r="B495" s="82"/>
      <c r="C495" s="82"/>
      <c r="D495" s="82"/>
      <c r="E495" s="82"/>
      <c r="F495" s="83"/>
      <c r="G495" s="83"/>
      <c r="H495" s="83"/>
    </row>
    <row r="496" spans="1:8">
      <c r="A496" s="83"/>
      <c r="B496" s="82"/>
      <c r="C496" s="82"/>
      <c r="D496" s="82"/>
      <c r="E496" s="82"/>
      <c r="F496" s="83"/>
      <c r="G496" s="83"/>
      <c r="H496" s="83"/>
    </row>
    <row r="497" spans="1:8">
      <c r="A497" s="83"/>
      <c r="B497" s="82"/>
      <c r="C497" s="82"/>
      <c r="D497" s="82"/>
      <c r="E497" s="82"/>
      <c r="F497" s="83"/>
      <c r="G497" s="83"/>
      <c r="H497" s="83"/>
    </row>
    <row r="498" spans="1:8">
      <c r="A498" s="83"/>
      <c r="B498" s="82"/>
      <c r="C498" s="82"/>
      <c r="D498" s="82"/>
      <c r="E498" s="82"/>
      <c r="F498" s="83"/>
      <c r="G498" s="83"/>
      <c r="H498" s="83"/>
    </row>
    <row r="499" spans="1:8">
      <c r="A499" s="83"/>
      <c r="B499" s="82"/>
      <c r="C499" s="82"/>
      <c r="D499" s="82"/>
      <c r="E499" s="82"/>
      <c r="F499" s="83"/>
      <c r="G499" s="83"/>
      <c r="H499" s="83"/>
    </row>
    <row r="500" spans="1:8">
      <c r="A500" s="83"/>
      <c r="B500" s="82"/>
      <c r="C500" s="82"/>
      <c r="D500" s="82"/>
      <c r="E500" s="82"/>
      <c r="F500" s="83"/>
      <c r="G500" s="83"/>
      <c r="H500" s="83"/>
    </row>
    <row r="501" spans="1:8">
      <c r="A501" s="83"/>
      <c r="B501" s="82"/>
      <c r="C501" s="82"/>
      <c r="D501" s="82"/>
      <c r="E501" s="82"/>
      <c r="F501" s="83"/>
      <c r="G501" s="83"/>
      <c r="H501" s="83"/>
    </row>
    <row r="502" spans="1:8">
      <c r="A502" s="83"/>
      <c r="B502" s="82"/>
      <c r="C502" s="82"/>
      <c r="D502" s="82"/>
      <c r="E502" s="82"/>
      <c r="F502" s="83"/>
      <c r="G502" s="83"/>
      <c r="H502" s="83"/>
    </row>
    <row r="503" spans="1:8">
      <c r="A503" s="83"/>
      <c r="B503" s="82"/>
      <c r="C503" s="82"/>
      <c r="D503" s="82"/>
      <c r="E503" s="82"/>
      <c r="F503" s="83"/>
      <c r="G503" s="83"/>
      <c r="H503" s="83"/>
    </row>
    <row r="504" spans="1:8">
      <c r="A504" s="83"/>
      <c r="B504" s="82"/>
      <c r="C504" s="82"/>
      <c r="D504" s="82"/>
      <c r="E504" s="82"/>
      <c r="F504" s="83"/>
      <c r="G504" s="83"/>
      <c r="H504" s="83"/>
    </row>
    <row r="505" spans="1:8">
      <c r="A505" s="83"/>
      <c r="B505" s="82"/>
      <c r="C505" s="82"/>
      <c r="D505" s="82"/>
      <c r="E505" s="82"/>
      <c r="F505" s="83"/>
      <c r="G505" s="83"/>
      <c r="H505" s="83"/>
    </row>
    <row r="506" spans="1:8">
      <c r="A506" s="83"/>
      <c r="B506" s="82"/>
      <c r="C506" s="82"/>
      <c r="D506" s="82"/>
      <c r="E506" s="82"/>
      <c r="F506" s="83"/>
      <c r="G506" s="83"/>
      <c r="H506" s="83"/>
    </row>
    <row r="507" spans="1:8">
      <c r="A507" s="83"/>
      <c r="B507" s="82"/>
      <c r="C507" s="82"/>
      <c r="D507" s="82"/>
      <c r="E507" s="82"/>
      <c r="F507" s="83"/>
      <c r="G507" s="83"/>
      <c r="H507" s="83"/>
    </row>
    <row r="508" spans="1:8">
      <c r="A508" s="83"/>
      <c r="B508" s="82"/>
      <c r="C508" s="82"/>
      <c r="D508" s="82"/>
      <c r="E508" s="82"/>
      <c r="F508" s="83"/>
      <c r="G508" s="83"/>
      <c r="H508" s="83"/>
    </row>
    <row r="509" spans="1:8">
      <c r="A509" s="83"/>
      <c r="B509" s="82"/>
      <c r="C509" s="82"/>
      <c r="D509" s="82"/>
      <c r="E509" s="82"/>
      <c r="F509" s="83"/>
      <c r="G509" s="83"/>
      <c r="H509" s="83"/>
    </row>
    <row r="510" spans="1:8">
      <c r="A510" s="83"/>
      <c r="B510" s="82"/>
      <c r="C510" s="82"/>
      <c r="D510" s="82"/>
      <c r="E510" s="82"/>
      <c r="F510" s="83"/>
      <c r="G510" s="83"/>
      <c r="H510" s="83"/>
    </row>
    <row r="511" spans="1:8">
      <c r="A511" s="83"/>
      <c r="B511" s="82"/>
      <c r="C511" s="82"/>
      <c r="D511" s="82"/>
      <c r="E511" s="82"/>
      <c r="F511" s="83"/>
      <c r="G511" s="83"/>
      <c r="H511" s="83"/>
    </row>
    <row r="512" spans="1:8">
      <c r="A512" s="83"/>
      <c r="B512" s="82"/>
      <c r="C512" s="82"/>
      <c r="D512" s="82"/>
      <c r="E512" s="82"/>
      <c r="F512" s="83"/>
      <c r="G512" s="83"/>
      <c r="H512" s="83"/>
    </row>
    <row r="513" spans="1:8">
      <c r="A513" s="83"/>
      <c r="B513" s="82"/>
      <c r="C513" s="82"/>
      <c r="D513" s="82"/>
      <c r="E513" s="82"/>
      <c r="F513" s="83"/>
      <c r="G513" s="83"/>
      <c r="H513" s="83"/>
    </row>
    <row r="514" spans="1:8">
      <c r="A514" s="83"/>
      <c r="B514" s="82"/>
      <c r="C514" s="82"/>
      <c r="D514" s="82"/>
      <c r="E514" s="82"/>
      <c r="F514" s="83"/>
      <c r="G514" s="83"/>
      <c r="H514" s="83"/>
    </row>
    <row r="515" spans="1:8">
      <c r="A515" s="83"/>
      <c r="B515" s="82"/>
      <c r="C515" s="82"/>
      <c r="D515" s="82"/>
      <c r="E515" s="82"/>
      <c r="F515" s="83"/>
      <c r="G515" s="83"/>
      <c r="H515" s="83"/>
    </row>
    <row r="516" spans="1:8">
      <c r="A516" s="83"/>
      <c r="B516" s="82"/>
      <c r="C516" s="82"/>
      <c r="D516" s="82"/>
      <c r="E516" s="82"/>
      <c r="F516" s="83"/>
      <c r="G516" s="83"/>
      <c r="H516" s="83"/>
    </row>
    <row r="517" spans="1:8">
      <c r="A517" s="83"/>
      <c r="B517" s="82"/>
      <c r="C517" s="82"/>
      <c r="D517" s="82"/>
      <c r="E517" s="82"/>
      <c r="F517" s="83"/>
      <c r="G517" s="83"/>
      <c r="H517" s="83"/>
    </row>
    <row r="518" spans="1:8">
      <c r="A518" s="83"/>
      <c r="B518" s="82"/>
      <c r="C518" s="82"/>
      <c r="D518" s="82"/>
      <c r="E518" s="82"/>
      <c r="F518" s="83"/>
      <c r="G518" s="83"/>
      <c r="H518" s="83"/>
    </row>
    <row r="519" spans="1:8">
      <c r="A519" s="83"/>
      <c r="B519" s="82"/>
      <c r="C519" s="82"/>
      <c r="D519" s="82"/>
      <c r="E519" s="82"/>
      <c r="F519" s="83"/>
      <c r="G519" s="83"/>
      <c r="H519" s="83"/>
    </row>
    <row r="520" spans="1:8">
      <c r="A520" s="83"/>
      <c r="B520" s="82"/>
      <c r="C520" s="82"/>
      <c r="D520" s="82"/>
      <c r="E520" s="82"/>
      <c r="F520" s="83"/>
      <c r="G520" s="83"/>
      <c r="H520" s="83"/>
    </row>
    <row r="521" spans="1:8">
      <c r="A521" s="83"/>
      <c r="B521" s="82"/>
      <c r="C521" s="82"/>
      <c r="D521" s="82"/>
      <c r="E521" s="82"/>
      <c r="F521" s="83"/>
      <c r="G521" s="83"/>
      <c r="H521" s="83"/>
    </row>
    <row r="522" spans="1:8">
      <c r="A522" s="83"/>
      <c r="B522" s="82"/>
      <c r="C522" s="82"/>
      <c r="D522" s="82"/>
      <c r="E522" s="82"/>
      <c r="F522" s="83"/>
      <c r="G522" s="83"/>
      <c r="H522" s="83"/>
    </row>
    <row r="523" spans="1:8">
      <c r="A523" s="83"/>
      <c r="B523" s="82"/>
      <c r="C523" s="82"/>
      <c r="D523" s="82"/>
      <c r="E523" s="82"/>
      <c r="F523" s="83"/>
      <c r="G523" s="83"/>
      <c r="H523" s="83"/>
    </row>
    <row r="524" spans="1:8">
      <c r="A524" s="83"/>
      <c r="B524" s="82"/>
      <c r="C524" s="82"/>
      <c r="D524" s="82"/>
      <c r="E524" s="82"/>
      <c r="F524" s="83"/>
      <c r="G524" s="83"/>
      <c r="H524" s="83"/>
    </row>
    <row r="525" spans="1:8">
      <c r="A525" s="83"/>
      <c r="B525" s="82"/>
      <c r="C525" s="82"/>
      <c r="D525" s="82"/>
      <c r="E525" s="82"/>
      <c r="F525" s="83"/>
      <c r="G525" s="83"/>
      <c r="H525" s="83"/>
    </row>
    <row r="526" spans="1:8">
      <c r="A526" s="83"/>
      <c r="B526" s="82"/>
      <c r="C526" s="82"/>
      <c r="D526" s="82"/>
      <c r="E526" s="82"/>
      <c r="F526" s="83"/>
      <c r="G526" s="83"/>
      <c r="H526" s="83"/>
    </row>
    <row r="527" spans="1:8">
      <c r="A527" s="83"/>
      <c r="B527" s="82"/>
      <c r="C527" s="82"/>
      <c r="D527" s="82"/>
      <c r="E527" s="82"/>
      <c r="F527" s="83"/>
      <c r="G527" s="83"/>
      <c r="H527" s="83"/>
    </row>
    <row r="528" spans="1:8">
      <c r="A528" s="83"/>
      <c r="B528" s="82"/>
      <c r="C528" s="82"/>
      <c r="D528" s="82"/>
      <c r="E528" s="82"/>
      <c r="F528" s="83"/>
      <c r="G528" s="83"/>
      <c r="H528" s="83"/>
    </row>
    <row r="529" spans="1:8">
      <c r="A529" s="83"/>
      <c r="B529" s="82"/>
      <c r="C529" s="82"/>
      <c r="D529" s="82"/>
      <c r="E529" s="82"/>
      <c r="F529" s="83"/>
      <c r="G529" s="83"/>
      <c r="H529" s="83"/>
    </row>
    <row r="530" spans="1:8">
      <c r="A530" s="83"/>
      <c r="B530" s="82"/>
      <c r="C530" s="82"/>
      <c r="D530" s="82"/>
      <c r="E530" s="82"/>
      <c r="F530" s="83"/>
      <c r="G530" s="83"/>
      <c r="H530" s="83"/>
    </row>
    <row r="531" spans="1:8">
      <c r="A531" s="83"/>
      <c r="B531" s="82"/>
      <c r="C531" s="82"/>
      <c r="D531" s="82"/>
      <c r="E531" s="82"/>
      <c r="F531" s="83"/>
      <c r="G531" s="83"/>
      <c r="H531" s="83"/>
    </row>
    <row r="532" spans="1:8">
      <c r="A532" s="83"/>
      <c r="B532" s="82"/>
      <c r="C532" s="82"/>
      <c r="D532" s="82"/>
      <c r="E532" s="82"/>
      <c r="F532" s="83"/>
      <c r="G532" s="83"/>
      <c r="H532" s="83"/>
    </row>
    <row r="533" spans="1:8">
      <c r="A533" s="83"/>
      <c r="B533" s="82"/>
      <c r="C533" s="82"/>
      <c r="D533" s="82"/>
      <c r="E533" s="82"/>
      <c r="F533" s="83"/>
      <c r="G533" s="83"/>
      <c r="H533" s="83"/>
    </row>
    <row r="534" spans="1:8">
      <c r="A534" s="83"/>
      <c r="B534" s="82"/>
      <c r="C534" s="82"/>
      <c r="D534" s="82"/>
      <c r="E534" s="82"/>
      <c r="F534" s="83"/>
      <c r="G534" s="83"/>
      <c r="H534" s="83"/>
    </row>
    <row r="535" spans="1:8">
      <c r="A535" s="83"/>
      <c r="B535" s="82"/>
      <c r="C535" s="82"/>
      <c r="D535" s="82"/>
      <c r="E535" s="82"/>
      <c r="F535" s="83"/>
      <c r="G535" s="83"/>
      <c r="H535" s="83"/>
    </row>
    <row r="536" spans="1:8">
      <c r="A536" s="83"/>
      <c r="B536" s="82"/>
      <c r="C536" s="82"/>
      <c r="D536" s="82"/>
      <c r="E536" s="82"/>
      <c r="F536" s="83"/>
      <c r="G536" s="83"/>
      <c r="H536" s="83"/>
    </row>
    <row r="537" spans="1:8">
      <c r="A537" s="83"/>
      <c r="B537" s="82"/>
      <c r="C537" s="82"/>
      <c r="D537" s="82"/>
      <c r="E537" s="82"/>
      <c r="F537" s="83"/>
      <c r="G537" s="83"/>
      <c r="H537" s="83"/>
    </row>
    <row r="538" spans="1:8">
      <c r="A538" s="83"/>
      <c r="B538" s="82"/>
      <c r="C538" s="82"/>
      <c r="D538" s="82"/>
      <c r="E538" s="82"/>
      <c r="F538" s="83"/>
      <c r="G538" s="83"/>
      <c r="H538" s="83"/>
    </row>
    <row r="539" spans="1:8">
      <c r="A539" s="83"/>
      <c r="B539" s="82"/>
      <c r="C539" s="82"/>
      <c r="D539" s="82"/>
      <c r="E539" s="82"/>
      <c r="F539" s="83"/>
      <c r="G539" s="83"/>
      <c r="H539" s="83"/>
    </row>
    <row r="540" spans="1:8">
      <c r="A540" s="83"/>
      <c r="B540" s="82"/>
      <c r="C540" s="82"/>
      <c r="D540" s="82"/>
      <c r="E540" s="82"/>
      <c r="F540" s="83"/>
      <c r="G540" s="83"/>
      <c r="H540" s="83"/>
    </row>
    <row r="541" spans="1:8">
      <c r="A541" s="83"/>
      <c r="B541" s="82"/>
      <c r="C541" s="82"/>
      <c r="D541" s="82"/>
      <c r="E541" s="82"/>
      <c r="F541" s="83"/>
      <c r="G541" s="83"/>
      <c r="H541" s="83"/>
    </row>
    <row r="542" spans="1:8">
      <c r="A542" s="83"/>
      <c r="B542" s="82"/>
      <c r="C542" s="82"/>
      <c r="D542" s="82"/>
      <c r="E542" s="82"/>
      <c r="F542" s="83"/>
      <c r="G542" s="83"/>
      <c r="H542" s="83"/>
    </row>
    <row r="543" spans="1:8">
      <c r="A543" s="83"/>
      <c r="B543" s="82"/>
      <c r="C543" s="82"/>
      <c r="D543" s="82"/>
      <c r="E543" s="82"/>
      <c r="F543" s="83"/>
      <c r="G543" s="83"/>
      <c r="H543" s="83"/>
    </row>
    <row r="544" spans="1:8">
      <c r="A544" s="83"/>
      <c r="B544" s="82"/>
      <c r="C544" s="82"/>
      <c r="D544" s="82"/>
      <c r="E544" s="82"/>
      <c r="F544" s="83"/>
      <c r="G544" s="83"/>
      <c r="H544" s="83"/>
    </row>
    <row r="545" spans="1:8">
      <c r="A545" s="83"/>
      <c r="B545" s="82"/>
      <c r="C545" s="82"/>
      <c r="D545" s="82"/>
      <c r="E545" s="82"/>
      <c r="F545" s="83"/>
      <c r="G545" s="83"/>
      <c r="H545" s="83"/>
    </row>
    <row r="546" spans="1:8">
      <c r="A546" s="83"/>
      <c r="B546" s="82"/>
      <c r="C546" s="82"/>
      <c r="D546" s="82"/>
      <c r="E546" s="82"/>
      <c r="F546" s="83"/>
      <c r="G546" s="83"/>
      <c r="H546" s="83"/>
    </row>
    <row r="547" spans="1:8">
      <c r="A547" s="83"/>
      <c r="B547" s="82"/>
      <c r="C547" s="82"/>
      <c r="D547" s="82"/>
      <c r="E547" s="82"/>
      <c r="F547" s="83"/>
      <c r="G547" s="83"/>
      <c r="H547" s="83"/>
    </row>
    <row r="548" spans="1:8">
      <c r="A548" s="83"/>
      <c r="B548" s="82"/>
      <c r="C548" s="82"/>
      <c r="D548" s="82"/>
      <c r="E548" s="82"/>
      <c r="F548" s="83"/>
      <c r="G548" s="83"/>
      <c r="H548" s="83"/>
    </row>
    <row r="549" spans="1:8">
      <c r="A549" s="83"/>
      <c r="B549" s="82"/>
      <c r="C549" s="82"/>
      <c r="D549" s="82"/>
      <c r="E549" s="82"/>
      <c r="F549" s="83"/>
      <c r="G549" s="83"/>
      <c r="H549" s="83"/>
    </row>
    <row r="550" spans="1:8">
      <c r="A550" s="83"/>
      <c r="B550" s="82"/>
      <c r="C550" s="82"/>
      <c r="D550" s="82"/>
      <c r="E550" s="82"/>
      <c r="F550" s="83"/>
      <c r="G550" s="83"/>
      <c r="H550" s="83"/>
    </row>
    <row r="551" spans="1:8">
      <c r="A551" s="83"/>
      <c r="B551" s="82"/>
      <c r="C551" s="82"/>
      <c r="D551" s="82"/>
      <c r="E551" s="82"/>
      <c r="F551" s="83"/>
      <c r="G551" s="83"/>
      <c r="H551" s="83"/>
    </row>
    <row r="552" spans="1:8">
      <c r="A552" s="83"/>
      <c r="B552" s="82"/>
      <c r="C552" s="82"/>
      <c r="D552" s="82"/>
      <c r="E552" s="82"/>
      <c r="F552" s="83"/>
      <c r="G552" s="83"/>
      <c r="H552" s="83"/>
    </row>
    <row r="553" spans="1:8">
      <c r="A553" s="83"/>
      <c r="B553" s="82"/>
      <c r="C553" s="82"/>
      <c r="D553" s="82"/>
      <c r="E553" s="82"/>
      <c r="F553" s="83"/>
      <c r="G553" s="83"/>
      <c r="H553" s="83"/>
    </row>
    <row r="554" spans="1:8">
      <c r="A554" s="83"/>
      <c r="B554" s="82"/>
      <c r="C554" s="82"/>
      <c r="D554" s="82"/>
      <c r="E554" s="82"/>
      <c r="F554" s="83"/>
      <c r="G554" s="83"/>
      <c r="H554" s="83"/>
    </row>
    <row r="555" spans="1:8">
      <c r="A555" s="83"/>
      <c r="B555" s="82"/>
      <c r="C555" s="82"/>
      <c r="D555" s="82"/>
      <c r="E555" s="82"/>
      <c r="F555" s="83"/>
      <c r="G555" s="83"/>
      <c r="H555" s="83"/>
    </row>
    <row r="556" spans="1:8">
      <c r="A556" s="83"/>
      <c r="B556" s="82"/>
      <c r="C556" s="82"/>
      <c r="D556" s="82"/>
      <c r="E556" s="82"/>
      <c r="F556" s="83"/>
      <c r="G556" s="83"/>
      <c r="H556" s="83"/>
    </row>
    <row r="557" spans="1:8">
      <c r="A557" s="83"/>
      <c r="B557" s="82"/>
      <c r="C557" s="82"/>
      <c r="D557" s="82"/>
      <c r="E557" s="82"/>
      <c r="F557" s="83"/>
      <c r="G557" s="83"/>
      <c r="H557" s="83"/>
    </row>
    <row r="558" spans="1:8">
      <c r="A558" s="83"/>
      <c r="B558" s="82"/>
      <c r="C558" s="82"/>
      <c r="D558" s="82"/>
      <c r="E558" s="82"/>
      <c r="F558" s="83"/>
      <c r="G558" s="83"/>
      <c r="H558" s="83"/>
    </row>
    <row r="559" spans="1:8">
      <c r="A559" s="83"/>
      <c r="B559" s="82"/>
      <c r="C559" s="82"/>
      <c r="D559" s="82"/>
      <c r="E559" s="82"/>
      <c r="F559" s="83"/>
      <c r="G559" s="83"/>
      <c r="H559" s="83"/>
    </row>
    <row r="560" spans="1:8">
      <c r="A560" s="83"/>
      <c r="B560" s="82"/>
      <c r="C560" s="82"/>
      <c r="D560" s="82"/>
      <c r="E560" s="82"/>
      <c r="F560" s="83"/>
      <c r="G560" s="83"/>
      <c r="H560" s="83"/>
    </row>
    <row r="561" spans="1:8">
      <c r="A561" s="83"/>
      <c r="B561" s="82"/>
      <c r="C561" s="82"/>
      <c r="D561" s="82"/>
      <c r="E561" s="82"/>
      <c r="F561" s="83"/>
      <c r="G561" s="83"/>
      <c r="H561" s="83"/>
    </row>
    <row r="562" spans="1:8">
      <c r="A562" s="83"/>
      <c r="B562" s="82"/>
      <c r="C562" s="82"/>
      <c r="D562" s="82"/>
      <c r="E562" s="82"/>
      <c r="F562" s="83"/>
      <c r="G562" s="83"/>
      <c r="H562" s="83"/>
    </row>
    <row r="563" spans="1:8">
      <c r="A563" s="83"/>
      <c r="B563" s="82"/>
      <c r="C563" s="82"/>
      <c r="D563" s="82"/>
      <c r="E563" s="82"/>
      <c r="F563" s="83"/>
      <c r="G563" s="83"/>
      <c r="H563" s="83"/>
    </row>
    <row r="564" spans="1:8">
      <c r="A564" s="83"/>
      <c r="B564" s="82"/>
      <c r="C564" s="82"/>
      <c r="D564" s="82"/>
      <c r="E564" s="82"/>
      <c r="F564" s="83"/>
      <c r="G564" s="83"/>
      <c r="H564" s="83"/>
    </row>
    <row r="565" spans="1:8">
      <c r="A565" s="83"/>
      <c r="B565" s="82"/>
      <c r="C565" s="82"/>
      <c r="D565" s="82"/>
      <c r="E565" s="82"/>
      <c r="F565" s="83"/>
      <c r="G565" s="83"/>
      <c r="H565" s="83"/>
    </row>
    <row r="566" spans="1:8">
      <c r="A566" s="83"/>
      <c r="B566" s="82"/>
      <c r="C566" s="82"/>
      <c r="D566" s="82"/>
      <c r="E566" s="82"/>
      <c r="F566" s="83"/>
      <c r="G566" s="83"/>
      <c r="H566" s="83"/>
    </row>
    <row r="567" spans="1:8">
      <c r="A567" s="83"/>
      <c r="B567" s="82"/>
      <c r="C567" s="82"/>
      <c r="D567" s="82"/>
      <c r="E567" s="82"/>
      <c r="F567" s="83"/>
      <c r="G567" s="83"/>
      <c r="H567" s="83"/>
    </row>
    <row r="568" spans="1:8">
      <c r="A568" s="83"/>
      <c r="B568" s="82"/>
      <c r="C568" s="82"/>
      <c r="D568" s="82"/>
      <c r="E568" s="82"/>
      <c r="F568" s="83"/>
      <c r="G568" s="83"/>
      <c r="H568" s="83"/>
    </row>
    <row r="569" spans="1:8">
      <c r="A569" s="83"/>
      <c r="B569" s="82"/>
      <c r="C569" s="82"/>
      <c r="D569" s="82"/>
      <c r="E569" s="82"/>
      <c r="F569" s="83"/>
      <c r="G569" s="83"/>
      <c r="H569" s="83"/>
    </row>
    <row r="570" spans="1:8">
      <c r="A570" s="83"/>
      <c r="B570" s="82"/>
      <c r="C570" s="82"/>
      <c r="D570" s="82"/>
      <c r="E570" s="82"/>
      <c r="F570" s="83"/>
      <c r="G570" s="83"/>
      <c r="H570" s="83"/>
    </row>
    <row r="571" spans="1:8">
      <c r="A571" s="83"/>
      <c r="B571" s="82"/>
      <c r="C571" s="82"/>
      <c r="D571" s="82"/>
      <c r="E571" s="82"/>
      <c r="F571" s="83"/>
      <c r="G571" s="83"/>
      <c r="H571" s="83"/>
    </row>
    <row r="572" spans="1:8">
      <c r="A572" s="83"/>
      <c r="B572" s="82"/>
      <c r="C572" s="82"/>
      <c r="D572" s="82"/>
      <c r="E572" s="82"/>
      <c r="F572" s="83"/>
      <c r="G572" s="83"/>
      <c r="H572" s="83"/>
    </row>
    <row r="573" spans="1:8">
      <c r="A573" s="83"/>
      <c r="B573" s="82"/>
      <c r="C573" s="82"/>
      <c r="D573" s="82"/>
      <c r="E573" s="82"/>
      <c r="F573" s="83"/>
      <c r="G573" s="83"/>
      <c r="H573" s="83"/>
    </row>
    <row r="574" spans="1:8">
      <c r="A574" s="83"/>
      <c r="B574" s="82"/>
      <c r="C574" s="82"/>
      <c r="D574" s="82"/>
      <c r="E574" s="82"/>
      <c r="F574" s="83"/>
      <c r="G574" s="83"/>
      <c r="H574" s="83"/>
    </row>
    <row r="575" spans="1:8">
      <c r="A575" s="83"/>
      <c r="B575" s="82"/>
      <c r="C575" s="82"/>
      <c r="D575" s="82"/>
      <c r="E575" s="82"/>
      <c r="F575" s="83"/>
      <c r="G575" s="83"/>
      <c r="H575" s="83"/>
    </row>
    <row r="576" spans="1:8">
      <c r="A576" s="83"/>
      <c r="B576" s="82"/>
      <c r="C576" s="82"/>
      <c r="D576" s="82"/>
      <c r="E576" s="82"/>
      <c r="F576" s="83"/>
      <c r="G576" s="83"/>
      <c r="H576" s="83"/>
    </row>
    <row r="577" spans="1:8">
      <c r="A577" s="83"/>
      <c r="B577" s="82"/>
      <c r="C577" s="82"/>
      <c r="D577" s="82"/>
      <c r="E577" s="82"/>
      <c r="F577" s="83"/>
      <c r="G577" s="83"/>
      <c r="H577" s="83"/>
    </row>
    <row r="578" spans="1:8">
      <c r="A578" s="83"/>
      <c r="B578" s="82"/>
      <c r="C578" s="82"/>
      <c r="D578" s="82"/>
      <c r="E578" s="82"/>
      <c r="F578" s="83"/>
      <c r="G578" s="83"/>
      <c r="H578" s="83"/>
    </row>
    <row r="579" spans="1:8">
      <c r="A579" s="83"/>
      <c r="B579" s="82"/>
      <c r="C579" s="82"/>
      <c r="D579" s="82"/>
      <c r="E579" s="82"/>
      <c r="F579" s="83"/>
      <c r="G579" s="83"/>
      <c r="H579" s="83"/>
    </row>
    <row r="580" spans="1:8">
      <c r="A580" s="83"/>
      <c r="B580" s="82"/>
      <c r="C580" s="82"/>
      <c r="D580" s="82"/>
      <c r="E580" s="82"/>
      <c r="F580" s="83"/>
      <c r="G580" s="83"/>
      <c r="H580" s="83"/>
    </row>
    <row r="581" spans="1:8">
      <c r="A581" s="83"/>
      <c r="B581" s="82"/>
      <c r="C581" s="82"/>
      <c r="D581" s="82"/>
      <c r="E581" s="82"/>
      <c r="F581" s="83"/>
      <c r="G581" s="83"/>
      <c r="H581" s="83"/>
    </row>
    <row r="582" spans="1:8">
      <c r="A582" s="83"/>
      <c r="B582" s="82"/>
      <c r="C582" s="82"/>
      <c r="D582" s="82"/>
      <c r="E582" s="82"/>
      <c r="F582" s="83"/>
      <c r="G582" s="83"/>
      <c r="H582" s="83"/>
    </row>
    <row r="583" spans="1:8">
      <c r="A583" s="83"/>
      <c r="B583" s="82"/>
      <c r="C583" s="82"/>
      <c r="D583" s="82"/>
      <c r="E583" s="82"/>
      <c r="F583" s="83"/>
      <c r="G583" s="83"/>
      <c r="H583" s="83"/>
    </row>
    <row r="584" spans="1:8">
      <c r="A584" s="83"/>
      <c r="B584" s="82"/>
      <c r="C584" s="82"/>
      <c r="D584" s="82"/>
      <c r="E584" s="82"/>
      <c r="F584" s="83"/>
      <c r="G584" s="83"/>
      <c r="H584" s="83"/>
    </row>
    <row r="585" spans="1:8">
      <c r="A585" s="83"/>
      <c r="B585" s="82"/>
      <c r="C585" s="82"/>
      <c r="D585" s="82"/>
      <c r="E585" s="82"/>
      <c r="F585" s="83"/>
      <c r="G585" s="83"/>
      <c r="H585" s="83"/>
    </row>
    <row r="586" spans="1:8">
      <c r="A586" s="83"/>
      <c r="B586" s="82"/>
      <c r="C586" s="82"/>
      <c r="D586" s="82"/>
      <c r="E586" s="82"/>
      <c r="F586" s="83"/>
      <c r="G586" s="83"/>
      <c r="H586" s="83"/>
    </row>
    <row r="587" spans="1:8">
      <c r="A587" s="83"/>
      <c r="B587" s="82"/>
      <c r="C587" s="82"/>
      <c r="D587" s="82"/>
      <c r="E587" s="82"/>
      <c r="F587" s="83"/>
      <c r="G587" s="83"/>
      <c r="H587" s="83"/>
    </row>
    <row r="588" spans="1:8">
      <c r="A588" s="83"/>
      <c r="B588" s="82"/>
      <c r="C588" s="82"/>
      <c r="D588" s="82"/>
      <c r="E588" s="82"/>
      <c r="F588" s="83"/>
      <c r="G588" s="83"/>
      <c r="H588" s="83"/>
    </row>
    <row r="589" spans="1:8">
      <c r="A589" s="83"/>
      <c r="B589" s="82"/>
      <c r="C589" s="82"/>
      <c r="D589" s="82"/>
      <c r="E589" s="82"/>
      <c r="F589" s="83"/>
      <c r="G589" s="83"/>
      <c r="H589" s="83"/>
    </row>
    <row r="590" spans="1:8">
      <c r="A590" s="83"/>
      <c r="B590" s="82"/>
      <c r="C590" s="82"/>
      <c r="D590" s="82"/>
      <c r="E590" s="82"/>
      <c r="F590" s="83"/>
      <c r="G590" s="83"/>
      <c r="H590" s="83"/>
    </row>
    <row r="591" spans="1:8">
      <c r="A591" s="83"/>
      <c r="B591" s="82"/>
      <c r="C591" s="82"/>
      <c r="D591" s="82"/>
      <c r="E591" s="82"/>
      <c r="F591" s="83"/>
      <c r="G591" s="83"/>
      <c r="H591" s="83"/>
    </row>
    <row r="592" spans="1:8">
      <c r="A592" s="83"/>
      <c r="B592" s="82"/>
      <c r="C592" s="82"/>
      <c r="D592" s="82"/>
      <c r="E592" s="82"/>
      <c r="F592" s="83"/>
      <c r="G592" s="83"/>
      <c r="H592" s="83"/>
    </row>
    <row r="593" spans="1:8">
      <c r="A593" s="83"/>
      <c r="B593" s="82"/>
      <c r="C593" s="82"/>
      <c r="D593" s="82"/>
      <c r="E593" s="82"/>
      <c r="F593" s="83"/>
      <c r="G593" s="83"/>
      <c r="H593" s="83"/>
    </row>
    <row r="594" spans="1:8">
      <c r="A594" s="83"/>
      <c r="B594" s="82"/>
      <c r="C594" s="82"/>
      <c r="D594" s="82"/>
      <c r="E594" s="82"/>
      <c r="F594" s="83"/>
      <c r="G594" s="83"/>
      <c r="H594" s="83"/>
    </row>
    <row r="595" spans="1:8">
      <c r="A595" s="83"/>
      <c r="B595" s="82"/>
      <c r="C595" s="82"/>
      <c r="D595" s="82"/>
      <c r="E595" s="82"/>
      <c r="F595" s="83"/>
      <c r="G595" s="83"/>
      <c r="H595" s="83"/>
    </row>
    <row r="596" spans="1:8">
      <c r="A596" s="83"/>
      <c r="B596" s="82"/>
      <c r="C596" s="82"/>
      <c r="D596" s="82"/>
      <c r="E596" s="82"/>
      <c r="F596" s="83"/>
      <c r="G596" s="83"/>
      <c r="H596" s="83"/>
    </row>
    <row r="597" spans="1:8">
      <c r="A597" s="83"/>
      <c r="B597" s="82"/>
      <c r="C597" s="82"/>
      <c r="D597" s="82"/>
      <c r="E597" s="82"/>
      <c r="F597" s="83"/>
      <c r="G597" s="83"/>
      <c r="H597" s="83"/>
    </row>
    <row r="598" spans="1:8">
      <c r="A598" s="83"/>
      <c r="B598" s="82"/>
      <c r="C598" s="82"/>
      <c r="D598" s="82"/>
      <c r="E598" s="82"/>
      <c r="F598" s="83"/>
      <c r="G598" s="83"/>
      <c r="H598" s="83"/>
    </row>
    <row r="599" spans="1:8">
      <c r="A599" s="83"/>
      <c r="B599" s="82"/>
      <c r="C599" s="82"/>
      <c r="D599" s="82"/>
      <c r="E599" s="82"/>
      <c r="F599" s="83"/>
      <c r="G599" s="83"/>
      <c r="H599" s="83"/>
    </row>
    <row r="600" spans="1:8">
      <c r="A600" s="83"/>
      <c r="B600" s="82"/>
      <c r="C600" s="82"/>
      <c r="D600" s="82"/>
      <c r="E600" s="82"/>
      <c r="F600" s="83"/>
      <c r="G600" s="83"/>
      <c r="H600" s="83"/>
    </row>
    <row r="601" spans="1:8">
      <c r="A601" s="83"/>
      <c r="B601" s="82"/>
      <c r="C601" s="82"/>
      <c r="D601" s="82"/>
      <c r="E601" s="82"/>
      <c r="F601" s="83"/>
      <c r="G601" s="83"/>
      <c r="H601" s="83"/>
    </row>
    <row r="602" spans="1:8">
      <c r="A602" s="83"/>
      <c r="B602" s="82"/>
      <c r="C602" s="82"/>
      <c r="D602" s="82"/>
      <c r="E602" s="82"/>
      <c r="F602" s="83"/>
      <c r="G602" s="83"/>
      <c r="H602" s="83"/>
    </row>
    <row r="603" spans="1:8">
      <c r="A603" s="83"/>
      <c r="B603" s="82"/>
      <c r="C603" s="82"/>
      <c r="D603" s="82"/>
      <c r="E603" s="82"/>
      <c r="F603" s="83"/>
      <c r="G603" s="83"/>
      <c r="H603" s="83"/>
    </row>
    <row r="604" spans="1:8">
      <c r="A604" s="83"/>
      <c r="B604" s="82"/>
      <c r="C604" s="82"/>
      <c r="D604" s="82"/>
      <c r="E604" s="82"/>
      <c r="F604" s="83"/>
      <c r="G604" s="83"/>
      <c r="H604" s="83"/>
    </row>
    <row r="605" spans="1:8">
      <c r="A605" s="83"/>
      <c r="B605" s="82"/>
      <c r="C605" s="82"/>
      <c r="D605" s="82"/>
      <c r="E605" s="82"/>
      <c r="F605" s="83"/>
      <c r="G605" s="83"/>
      <c r="H605" s="83"/>
    </row>
    <row r="606" spans="1:8">
      <c r="A606" s="83"/>
      <c r="B606" s="82"/>
      <c r="C606" s="82"/>
      <c r="D606" s="82"/>
      <c r="E606" s="82"/>
      <c r="F606" s="83"/>
      <c r="G606" s="83"/>
      <c r="H606" s="83"/>
    </row>
    <row r="607" spans="1:8">
      <c r="A607" s="83"/>
      <c r="B607" s="82"/>
      <c r="C607" s="82"/>
      <c r="D607" s="82"/>
      <c r="E607" s="82"/>
      <c r="F607" s="83"/>
      <c r="G607" s="83"/>
      <c r="H607" s="83"/>
    </row>
    <row r="608" spans="1:8">
      <c r="A608" s="83"/>
      <c r="B608" s="82"/>
      <c r="C608" s="82"/>
      <c r="D608" s="82"/>
      <c r="E608" s="82"/>
      <c r="F608" s="83"/>
      <c r="G608" s="83"/>
      <c r="H608" s="83"/>
    </row>
    <row r="609" spans="1:8">
      <c r="A609" s="83"/>
      <c r="B609" s="82"/>
      <c r="C609" s="82"/>
      <c r="D609" s="82"/>
      <c r="E609" s="82"/>
      <c r="F609" s="83"/>
      <c r="G609" s="83"/>
      <c r="H609" s="83"/>
    </row>
    <row r="610" spans="1:8">
      <c r="A610" s="83"/>
      <c r="B610" s="82"/>
      <c r="C610" s="82"/>
      <c r="D610" s="82"/>
      <c r="E610" s="82"/>
      <c r="F610" s="83"/>
      <c r="G610" s="83"/>
      <c r="H610" s="83"/>
    </row>
    <row r="611" spans="1:8">
      <c r="A611" s="83"/>
      <c r="B611" s="82"/>
      <c r="C611" s="82"/>
      <c r="D611" s="82"/>
      <c r="E611" s="82"/>
      <c r="F611" s="83"/>
      <c r="G611" s="83"/>
      <c r="H611" s="83"/>
    </row>
    <row r="612" spans="1:8">
      <c r="A612" s="83"/>
      <c r="B612" s="82"/>
      <c r="C612" s="82"/>
      <c r="D612" s="82"/>
      <c r="E612" s="82"/>
      <c r="F612" s="83"/>
      <c r="G612" s="83"/>
      <c r="H612" s="83"/>
    </row>
    <row r="613" spans="1:8">
      <c r="A613" s="83"/>
      <c r="B613" s="82"/>
      <c r="C613" s="82"/>
      <c r="D613" s="82"/>
      <c r="E613" s="82"/>
      <c r="F613" s="83"/>
      <c r="G613" s="83"/>
      <c r="H613" s="83"/>
    </row>
    <row r="614" spans="1:8">
      <c r="A614" s="83"/>
      <c r="B614" s="82"/>
      <c r="C614" s="82"/>
      <c r="D614" s="82"/>
      <c r="E614" s="82"/>
      <c r="F614" s="83"/>
      <c r="G614" s="83"/>
      <c r="H614" s="83"/>
    </row>
    <row r="615" spans="1:8">
      <c r="A615" s="83"/>
      <c r="B615" s="82"/>
      <c r="C615" s="82"/>
      <c r="D615" s="82"/>
      <c r="E615" s="82"/>
      <c r="F615" s="83"/>
      <c r="G615" s="83"/>
      <c r="H615" s="83"/>
    </row>
    <row r="616" spans="1:8">
      <c r="A616" s="83"/>
      <c r="B616" s="82"/>
      <c r="C616" s="82"/>
      <c r="D616" s="82"/>
      <c r="E616" s="82"/>
      <c r="F616" s="83"/>
      <c r="G616" s="83"/>
      <c r="H616" s="83"/>
    </row>
    <row r="617" spans="1:8">
      <c r="A617" s="83"/>
      <c r="B617" s="82"/>
      <c r="C617" s="82"/>
      <c r="D617" s="82"/>
      <c r="E617" s="82"/>
      <c r="F617" s="83"/>
      <c r="G617" s="83"/>
      <c r="H617" s="83"/>
    </row>
    <row r="618" spans="1:8">
      <c r="A618" s="83"/>
      <c r="B618" s="82"/>
      <c r="C618" s="82"/>
      <c r="D618" s="82"/>
      <c r="E618" s="82"/>
      <c r="F618" s="83"/>
      <c r="G618" s="83"/>
      <c r="H618" s="83"/>
    </row>
    <row r="619" spans="1:8">
      <c r="A619" s="83"/>
      <c r="B619" s="82"/>
      <c r="C619" s="82"/>
      <c r="D619" s="82"/>
      <c r="E619" s="82"/>
      <c r="F619" s="83"/>
      <c r="G619" s="83"/>
      <c r="H619" s="83"/>
    </row>
    <row r="620" spans="1:8">
      <c r="A620" s="83"/>
      <c r="B620" s="82"/>
      <c r="C620" s="82"/>
      <c r="D620" s="82"/>
      <c r="E620" s="82"/>
      <c r="F620" s="83"/>
      <c r="G620" s="83"/>
      <c r="H620" s="83"/>
    </row>
    <row r="621" spans="1:8">
      <c r="A621" s="83"/>
      <c r="B621" s="82"/>
      <c r="C621" s="82"/>
      <c r="D621" s="82"/>
      <c r="E621" s="82"/>
      <c r="F621" s="83"/>
      <c r="G621" s="83"/>
      <c r="H621" s="83"/>
    </row>
    <row r="622" spans="1:8">
      <c r="A622" s="83"/>
      <c r="B622" s="82"/>
      <c r="C622" s="82"/>
      <c r="D622" s="82"/>
      <c r="E622" s="82"/>
      <c r="F622" s="83"/>
      <c r="G622" s="83"/>
      <c r="H622" s="83"/>
    </row>
    <row r="623" spans="1:8">
      <c r="A623" s="83"/>
      <c r="B623" s="82"/>
      <c r="C623" s="82"/>
      <c r="D623" s="82"/>
      <c r="E623" s="82"/>
      <c r="F623" s="83"/>
      <c r="G623" s="83"/>
      <c r="H623" s="83"/>
    </row>
    <row r="624" spans="1:8">
      <c r="A624" s="83"/>
      <c r="B624" s="82"/>
      <c r="C624" s="82"/>
      <c r="D624" s="82"/>
      <c r="E624" s="82"/>
      <c r="F624" s="83"/>
      <c r="G624" s="83"/>
      <c r="H624" s="83"/>
    </row>
    <row r="625" spans="1:8">
      <c r="A625" s="83"/>
      <c r="B625" s="82"/>
      <c r="C625" s="82"/>
      <c r="D625" s="82"/>
      <c r="E625" s="82"/>
      <c r="F625" s="83"/>
      <c r="G625" s="83"/>
      <c r="H625" s="83"/>
    </row>
    <row r="626" spans="1:8">
      <c r="A626" s="83"/>
      <c r="B626" s="82"/>
      <c r="C626" s="82"/>
      <c r="D626" s="82"/>
      <c r="E626" s="82"/>
      <c r="F626" s="83"/>
      <c r="G626" s="83"/>
      <c r="H626" s="83"/>
    </row>
    <row r="627" spans="1:8">
      <c r="A627" s="83"/>
      <c r="B627" s="82"/>
      <c r="C627" s="82"/>
      <c r="D627" s="82"/>
      <c r="E627" s="82"/>
      <c r="F627" s="83"/>
      <c r="G627" s="83"/>
      <c r="H627" s="83"/>
    </row>
    <row r="628" spans="1:8">
      <c r="A628" s="83"/>
      <c r="B628" s="82"/>
      <c r="C628" s="82"/>
      <c r="D628" s="82"/>
      <c r="E628" s="82"/>
      <c r="F628" s="83"/>
      <c r="G628" s="83"/>
      <c r="H628" s="83"/>
    </row>
    <row r="629" spans="1:8">
      <c r="A629" s="83"/>
      <c r="B629" s="82"/>
      <c r="C629" s="82"/>
      <c r="D629" s="82"/>
      <c r="E629" s="82"/>
      <c r="F629" s="83"/>
      <c r="G629" s="83"/>
      <c r="H629" s="83"/>
    </row>
    <row r="630" spans="1:8">
      <c r="A630" s="83"/>
      <c r="B630" s="82"/>
      <c r="C630" s="82"/>
      <c r="D630" s="82"/>
      <c r="E630" s="82"/>
      <c r="F630" s="83"/>
      <c r="G630" s="83"/>
      <c r="H630" s="83"/>
    </row>
    <row r="631" spans="1:8">
      <c r="A631" s="83"/>
      <c r="B631" s="82"/>
      <c r="C631" s="82"/>
      <c r="D631" s="82"/>
      <c r="E631" s="82"/>
      <c r="F631" s="83"/>
      <c r="G631" s="83"/>
      <c r="H631" s="83"/>
    </row>
    <row r="632" spans="1:8">
      <c r="A632" s="83"/>
      <c r="B632" s="82"/>
      <c r="C632" s="82"/>
      <c r="D632" s="82"/>
      <c r="E632" s="82"/>
      <c r="F632" s="83"/>
      <c r="G632" s="83"/>
      <c r="H632" s="83"/>
    </row>
    <row r="633" spans="1:8">
      <c r="A633" s="83"/>
      <c r="B633" s="82"/>
      <c r="C633" s="82"/>
      <c r="D633" s="82"/>
      <c r="E633" s="82"/>
      <c r="F633" s="83"/>
      <c r="G633" s="83"/>
      <c r="H633" s="83"/>
    </row>
    <row r="634" spans="1:8">
      <c r="A634" s="83"/>
      <c r="B634" s="82"/>
      <c r="C634" s="82"/>
      <c r="D634" s="82"/>
      <c r="E634" s="82"/>
      <c r="F634" s="83"/>
      <c r="G634" s="83"/>
      <c r="H634" s="83"/>
    </row>
    <row r="635" spans="1:8">
      <c r="A635" s="83"/>
      <c r="B635" s="82"/>
      <c r="C635" s="82"/>
      <c r="D635" s="82"/>
      <c r="E635" s="82"/>
      <c r="F635" s="83"/>
      <c r="G635" s="83"/>
      <c r="H635" s="83"/>
    </row>
    <row r="636" spans="1:8">
      <c r="A636" s="83"/>
      <c r="B636" s="82"/>
      <c r="C636" s="82"/>
      <c r="D636" s="82"/>
      <c r="E636" s="82"/>
      <c r="F636" s="83"/>
      <c r="G636" s="83"/>
      <c r="H636" s="83"/>
    </row>
    <row r="637" spans="1:8">
      <c r="A637" s="83"/>
      <c r="B637" s="82"/>
      <c r="C637" s="82"/>
      <c r="D637" s="82"/>
      <c r="E637" s="82"/>
      <c r="F637" s="83"/>
      <c r="G637" s="83"/>
      <c r="H637" s="83"/>
    </row>
    <row r="638" spans="1:8">
      <c r="A638" s="83"/>
      <c r="B638" s="82"/>
      <c r="C638" s="82"/>
      <c r="D638" s="82"/>
      <c r="E638" s="82"/>
      <c r="F638" s="83"/>
      <c r="G638" s="83"/>
      <c r="H638" s="83"/>
    </row>
    <row r="639" spans="1:8">
      <c r="A639" s="83"/>
      <c r="B639" s="82"/>
      <c r="C639" s="82"/>
      <c r="D639" s="82"/>
      <c r="E639" s="82"/>
      <c r="F639" s="83"/>
      <c r="G639" s="83"/>
      <c r="H639" s="83"/>
    </row>
    <row r="640" spans="1:8">
      <c r="A640" s="83"/>
      <c r="B640" s="82"/>
      <c r="C640" s="82"/>
      <c r="D640" s="82"/>
      <c r="E640" s="82"/>
      <c r="F640" s="83"/>
      <c r="G640" s="83"/>
      <c r="H640" s="83"/>
    </row>
    <row r="641" spans="1:8">
      <c r="A641" s="83"/>
      <c r="B641" s="82"/>
      <c r="C641" s="82"/>
      <c r="D641" s="82"/>
      <c r="E641" s="82"/>
      <c r="F641" s="83"/>
      <c r="G641" s="83"/>
      <c r="H641" s="83"/>
    </row>
    <row r="642" spans="1:8">
      <c r="A642" s="83"/>
      <c r="B642" s="82"/>
      <c r="C642" s="82"/>
      <c r="D642" s="82"/>
      <c r="E642" s="82"/>
      <c r="F642" s="83"/>
      <c r="G642" s="83"/>
      <c r="H642" s="83"/>
    </row>
    <row r="643" spans="1:8">
      <c r="A643" s="83"/>
      <c r="B643" s="82"/>
      <c r="C643" s="82"/>
      <c r="D643" s="82"/>
      <c r="E643" s="82"/>
      <c r="F643" s="83"/>
      <c r="G643" s="83"/>
      <c r="H643" s="83"/>
    </row>
    <row r="644" spans="1:8">
      <c r="A644" s="83"/>
      <c r="B644" s="82"/>
      <c r="C644" s="82"/>
      <c r="D644" s="82"/>
      <c r="E644" s="82"/>
      <c r="F644" s="83"/>
      <c r="G644" s="83"/>
      <c r="H644" s="83"/>
    </row>
    <row r="645" spans="1:8">
      <c r="A645" s="83"/>
      <c r="B645" s="82"/>
      <c r="C645" s="82"/>
      <c r="D645" s="82"/>
      <c r="E645" s="82"/>
      <c r="F645" s="83"/>
      <c r="G645" s="83"/>
      <c r="H645" s="83"/>
    </row>
    <row r="646" spans="1:8">
      <c r="A646" s="83"/>
      <c r="B646" s="82"/>
      <c r="C646" s="82"/>
      <c r="D646" s="82"/>
      <c r="E646" s="82"/>
      <c r="F646" s="83"/>
      <c r="G646" s="83"/>
      <c r="H646" s="83"/>
    </row>
    <row r="647" spans="1:8">
      <c r="A647" s="83"/>
      <c r="B647" s="82"/>
      <c r="C647" s="82"/>
      <c r="D647" s="82"/>
      <c r="E647" s="82"/>
      <c r="F647" s="83"/>
      <c r="G647" s="83"/>
      <c r="H647" s="83"/>
    </row>
    <row r="648" spans="1:8">
      <c r="A648" s="83"/>
      <c r="B648" s="82"/>
      <c r="C648" s="82"/>
      <c r="D648" s="82"/>
      <c r="E648" s="82"/>
      <c r="F648" s="83"/>
      <c r="G648" s="83"/>
      <c r="H648" s="83"/>
    </row>
    <row r="649" spans="1:8">
      <c r="A649" s="83"/>
      <c r="B649" s="82"/>
      <c r="C649" s="82"/>
      <c r="D649" s="82"/>
      <c r="E649" s="82"/>
      <c r="F649" s="83"/>
      <c r="G649" s="83"/>
      <c r="H649" s="83"/>
    </row>
    <row r="650" spans="1:8">
      <c r="A650" s="83"/>
      <c r="B650" s="82"/>
      <c r="C650" s="82"/>
      <c r="D650" s="82"/>
      <c r="E650" s="82"/>
      <c r="F650" s="83"/>
      <c r="G650" s="83"/>
      <c r="H650" s="83"/>
    </row>
    <row r="651" spans="1:8">
      <c r="A651" s="83"/>
      <c r="B651" s="82"/>
      <c r="C651" s="82"/>
      <c r="D651" s="82"/>
      <c r="E651" s="82"/>
      <c r="F651" s="83"/>
      <c r="G651" s="83"/>
      <c r="H651" s="83"/>
    </row>
    <row r="652" spans="1:8">
      <c r="A652" s="83"/>
      <c r="B652" s="82"/>
      <c r="C652" s="82"/>
      <c r="D652" s="82"/>
      <c r="E652" s="82"/>
      <c r="F652" s="83"/>
      <c r="G652" s="83"/>
      <c r="H652" s="83"/>
    </row>
    <row r="653" spans="1:8">
      <c r="A653" s="83"/>
      <c r="B653" s="82"/>
      <c r="C653" s="82"/>
      <c r="D653" s="82"/>
      <c r="E653" s="82"/>
      <c r="F653" s="83"/>
      <c r="G653" s="83"/>
      <c r="H653" s="83"/>
    </row>
    <row r="654" spans="1:8">
      <c r="A654" s="83"/>
      <c r="B654" s="82"/>
      <c r="C654" s="82"/>
      <c r="D654" s="82"/>
      <c r="E654" s="82"/>
      <c r="F654" s="83"/>
      <c r="G654" s="83"/>
      <c r="H654" s="83"/>
    </row>
    <row r="655" spans="1:8">
      <c r="A655" s="83"/>
      <c r="B655" s="82"/>
      <c r="C655" s="82"/>
      <c r="D655" s="82"/>
      <c r="E655" s="82"/>
      <c r="F655" s="83"/>
      <c r="G655" s="83"/>
      <c r="H655" s="83"/>
    </row>
    <row r="656" spans="1:8">
      <c r="A656" s="83"/>
      <c r="B656" s="82"/>
      <c r="C656" s="82"/>
      <c r="D656" s="82"/>
      <c r="E656" s="82"/>
      <c r="F656" s="83"/>
      <c r="G656" s="83"/>
      <c r="H656" s="83"/>
    </row>
    <row r="657" spans="1:8">
      <c r="A657" s="83"/>
      <c r="B657" s="82"/>
      <c r="C657" s="82"/>
      <c r="D657" s="82"/>
      <c r="E657" s="82"/>
      <c r="F657" s="83"/>
      <c r="G657" s="83"/>
      <c r="H657" s="83"/>
    </row>
    <row r="658" spans="1:8">
      <c r="A658" s="83"/>
      <c r="B658" s="82"/>
      <c r="C658" s="82"/>
      <c r="D658" s="82"/>
      <c r="E658" s="82"/>
      <c r="F658" s="83"/>
      <c r="G658" s="83"/>
      <c r="H658" s="83"/>
    </row>
    <row r="659" spans="1:8">
      <c r="A659" s="83"/>
      <c r="B659" s="82"/>
      <c r="C659" s="82"/>
      <c r="D659" s="82"/>
      <c r="E659" s="82"/>
      <c r="F659" s="83"/>
      <c r="G659" s="83"/>
      <c r="H659" s="83"/>
    </row>
    <row r="660" spans="1:8">
      <c r="A660" s="83"/>
      <c r="B660" s="82"/>
      <c r="C660" s="82"/>
      <c r="D660" s="82"/>
      <c r="E660" s="82"/>
      <c r="F660" s="83"/>
      <c r="G660" s="83"/>
      <c r="H660" s="83"/>
    </row>
    <row r="661" spans="1:8">
      <c r="A661" s="83"/>
      <c r="B661" s="82"/>
      <c r="C661" s="82"/>
      <c r="D661" s="82"/>
      <c r="E661" s="82"/>
      <c r="F661" s="83"/>
      <c r="G661" s="83"/>
      <c r="H661" s="83"/>
    </row>
    <row r="662" spans="1:8">
      <c r="A662" s="83"/>
      <c r="B662" s="82"/>
      <c r="C662" s="82"/>
      <c r="D662" s="82"/>
      <c r="E662" s="82"/>
      <c r="F662" s="83"/>
      <c r="G662" s="83"/>
      <c r="H662" s="83"/>
    </row>
    <row r="663" spans="1:8">
      <c r="A663" s="83"/>
      <c r="B663" s="82"/>
      <c r="C663" s="82"/>
      <c r="D663" s="82"/>
      <c r="E663" s="82"/>
      <c r="F663" s="83"/>
      <c r="G663" s="83"/>
      <c r="H663" s="83"/>
    </row>
    <row r="664" spans="1:8">
      <c r="A664" s="83"/>
      <c r="B664" s="82"/>
      <c r="C664" s="82"/>
      <c r="D664" s="82"/>
      <c r="E664" s="82"/>
      <c r="F664" s="83"/>
      <c r="G664" s="83"/>
      <c r="H664" s="83"/>
    </row>
    <row r="665" spans="1:8">
      <c r="A665" s="83"/>
      <c r="B665" s="82"/>
      <c r="C665" s="82"/>
      <c r="D665" s="82"/>
      <c r="E665" s="82"/>
      <c r="F665" s="83"/>
      <c r="G665" s="83"/>
      <c r="H665" s="83"/>
    </row>
    <row r="666" spans="1:8">
      <c r="A666" s="83"/>
      <c r="B666" s="82"/>
      <c r="C666" s="82"/>
      <c r="D666" s="82"/>
      <c r="E666" s="82"/>
      <c r="F666" s="83"/>
      <c r="G666" s="83"/>
      <c r="H666" s="83"/>
    </row>
    <row r="667" spans="1:8">
      <c r="A667" s="83"/>
      <c r="B667" s="82"/>
      <c r="C667" s="82"/>
      <c r="D667" s="82"/>
      <c r="E667" s="82"/>
      <c r="F667" s="83"/>
      <c r="G667" s="83"/>
      <c r="H667" s="83"/>
    </row>
    <row r="668" spans="1:8">
      <c r="A668" s="83"/>
      <c r="B668" s="82"/>
      <c r="C668" s="82"/>
      <c r="D668" s="82"/>
      <c r="E668" s="82"/>
      <c r="F668" s="83"/>
      <c r="G668" s="83"/>
      <c r="H668" s="83"/>
    </row>
    <row r="669" spans="1:8">
      <c r="A669" s="83"/>
      <c r="B669" s="82"/>
      <c r="C669" s="82"/>
      <c r="D669" s="82"/>
      <c r="E669" s="82"/>
      <c r="F669" s="83"/>
      <c r="G669" s="83"/>
      <c r="H669" s="83"/>
    </row>
    <row r="670" spans="1:8">
      <c r="A670" s="83"/>
      <c r="B670" s="82"/>
      <c r="C670" s="82"/>
      <c r="D670" s="82"/>
      <c r="E670" s="82"/>
      <c r="F670" s="83"/>
      <c r="G670" s="83"/>
      <c r="H670" s="83"/>
    </row>
    <row r="671" spans="1:8">
      <c r="A671" s="83"/>
      <c r="B671" s="82"/>
      <c r="C671" s="82"/>
      <c r="D671" s="82"/>
      <c r="E671" s="82"/>
      <c r="F671" s="83"/>
      <c r="G671" s="83"/>
      <c r="H671" s="83"/>
    </row>
    <row r="672" spans="1:8">
      <c r="A672" s="83"/>
      <c r="B672" s="82"/>
      <c r="C672" s="82"/>
      <c r="D672" s="82"/>
      <c r="E672" s="82"/>
      <c r="F672" s="83"/>
      <c r="G672" s="83"/>
      <c r="H672" s="83"/>
    </row>
    <row r="673" spans="1:8">
      <c r="A673" s="83"/>
      <c r="B673" s="82"/>
      <c r="C673" s="82"/>
      <c r="D673" s="82"/>
      <c r="E673" s="82"/>
      <c r="F673" s="83"/>
      <c r="G673" s="83"/>
      <c r="H673" s="83"/>
    </row>
    <row r="674" spans="1:8">
      <c r="A674" s="83"/>
      <c r="B674" s="82"/>
      <c r="C674" s="82"/>
      <c r="D674" s="82"/>
      <c r="E674" s="82"/>
      <c r="F674" s="83"/>
      <c r="G674" s="83"/>
      <c r="H674" s="83"/>
    </row>
    <row r="675" spans="1:8">
      <c r="A675" s="83"/>
      <c r="B675" s="82"/>
      <c r="C675" s="82"/>
      <c r="D675" s="82"/>
      <c r="E675" s="82"/>
      <c r="F675" s="83"/>
      <c r="G675" s="83"/>
      <c r="H675" s="83"/>
    </row>
    <row r="676" spans="1:8">
      <c r="A676" s="83"/>
      <c r="B676" s="82"/>
      <c r="C676" s="82"/>
      <c r="D676" s="82"/>
      <c r="E676" s="82"/>
      <c r="F676" s="83"/>
      <c r="G676" s="83"/>
      <c r="H676" s="83"/>
    </row>
    <row r="677" spans="1:8">
      <c r="A677" s="83"/>
      <c r="B677" s="82"/>
      <c r="C677" s="82"/>
      <c r="D677" s="82"/>
      <c r="E677" s="82"/>
      <c r="F677" s="83"/>
      <c r="G677" s="83"/>
      <c r="H677" s="83"/>
    </row>
    <row r="678" spans="1:8">
      <c r="A678" s="83"/>
      <c r="B678" s="82"/>
      <c r="C678" s="82"/>
      <c r="D678" s="82"/>
      <c r="E678" s="82"/>
      <c r="F678" s="83"/>
      <c r="G678" s="83"/>
      <c r="H678" s="83"/>
    </row>
    <row r="679" spans="1:8">
      <c r="A679" s="83"/>
      <c r="B679" s="82"/>
      <c r="C679" s="82"/>
      <c r="D679" s="82"/>
      <c r="E679" s="82"/>
      <c r="F679" s="83"/>
      <c r="G679" s="83"/>
      <c r="H679" s="83"/>
    </row>
    <row r="680" spans="1:8">
      <c r="A680" s="83"/>
      <c r="B680" s="82"/>
      <c r="C680" s="82"/>
      <c r="D680" s="82"/>
      <c r="E680" s="82"/>
      <c r="F680" s="83"/>
      <c r="G680" s="83"/>
      <c r="H680" s="83"/>
    </row>
    <row r="681" spans="1:8">
      <c r="A681" s="83"/>
      <c r="B681" s="82"/>
      <c r="C681" s="82"/>
      <c r="D681" s="82"/>
      <c r="E681" s="82"/>
      <c r="F681" s="83"/>
      <c r="G681" s="83"/>
      <c r="H681" s="83"/>
    </row>
    <row r="682" spans="1:8">
      <c r="A682" s="83"/>
      <c r="B682" s="82"/>
      <c r="C682" s="82"/>
      <c r="D682" s="82"/>
      <c r="E682" s="82"/>
      <c r="F682" s="83"/>
      <c r="G682" s="83"/>
      <c r="H682" s="83"/>
    </row>
    <row r="683" spans="1:8">
      <c r="A683" s="83"/>
      <c r="B683" s="82"/>
      <c r="C683" s="82"/>
      <c r="D683" s="82"/>
      <c r="E683" s="82"/>
      <c r="F683" s="83"/>
      <c r="G683" s="83"/>
      <c r="H683" s="83"/>
    </row>
    <row r="684" spans="1:8">
      <c r="A684" s="83"/>
      <c r="B684" s="82"/>
      <c r="C684" s="82"/>
      <c r="D684" s="82"/>
      <c r="E684" s="82"/>
      <c r="F684" s="83"/>
      <c r="G684" s="83"/>
      <c r="H684" s="83"/>
    </row>
    <row r="685" spans="1:8">
      <c r="A685" s="83"/>
      <c r="B685" s="82"/>
      <c r="C685" s="82"/>
      <c r="D685" s="82"/>
      <c r="E685" s="82"/>
      <c r="F685" s="83"/>
      <c r="G685" s="83"/>
      <c r="H685" s="83"/>
    </row>
    <row r="686" spans="1:8">
      <c r="A686" s="83"/>
      <c r="B686" s="82"/>
      <c r="C686" s="82"/>
      <c r="D686" s="82"/>
      <c r="E686" s="82"/>
      <c r="F686" s="83"/>
      <c r="G686" s="83"/>
      <c r="H686" s="83"/>
    </row>
    <row r="687" spans="1:8">
      <c r="A687" s="83"/>
      <c r="B687" s="82"/>
      <c r="C687" s="82"/>
      <c r="D687" s="82"/>
      <c r="E687" s="82"/>
      <c r="F687" s="83"/>
      <c r="G687" s="83"/>
      <c r="H687" s="83"/>
    </row>
    <row r="688" spans="1:8">
      <c r="A688" s="83"/>
      <c r="B688" s="82"/>
      <c r="C688" s="82"/>
      <c r="D688" s="82"/>
      <c r="E688" s="82"/>
      <c r="F688" s="83"/>
      <c r="G688" s="83"/>
      <c r="H688" s="83"/>
    </row>
    <row r="689" spans="1:8">
      <c r="A689" s="83"/>
      <c r="B689" s="82"/>
      <c r="C689" s="82"/>
      <c r="D689" s="82"/>
      <c r="E689" s="82"/>
      <c r="F689" s="83"/>
      <c r="G689" s="83"/>
      <c r="H689" s="83"/>
    </row>
    <row r="690" spans="1:8">
      <c r="A690" s="83"/>
      <c r="B690" s="82"/>
      <c r="C690" s="82"/>
      <c r="D690" s="82"/>
      <c r="E690" s="82"/>
      <c r="F690" s="83"/>
      <c r="G690" s="83"/>
      <c r="H690" s="83"/>
    </row>
    <row r="691" spans="1:8">
      <c r="A691" s="83"/>
      <c r="B691" s="82"/>
      <c r="C691" s="82"/>
      <c r="D691" s="82"/>
      <c r="E691" s="82"/>
      <c r="F691" s="83"/>
      <c r="G691" s="83"/>
      <c r="H691" s="83"/>
    </row>
    <row r="692" spans="1:8">
      <c r="A692" s="83"/>
      <c r="B692" s="82"/>
      <c r="C692" s="82"/>
      <c r="D692" s="82"/>
      <c r="E692" s="82"/>
      <c r="F692" s="83"/>
      <c r="G692" s="83"/>
      <c r="H692" s="83"/>
    </row>
    <row r="693" spans="1:8">
      <c r="A693" s="83"/>
      <c r="B693" s="82"/>
      <c r="C693" s="82"/>
      <c r="D693" s="82"/>
      <c r="E693" s="82"/>
      <c r="F693" s="83"/>
      <c r="G693" s="83"/>
      <c r="H693" s="83"/>
    </row>
    <row r="694" spans="1:8">
      <c r="A694" s="83"/>
      <c r="B694" s="82"/>
      <c r="C694" s="82"/>
      <c r="D694" s="82"/>
      <c r="E694" s="82"/>
      <c r="F694" s="83"/>
      <c r="G694" s="83"/>
      <c r="H694" s="83"/>
    </row>
    <row r="695" spans="1:8">
      <c r="A695" s="83"/>
      <c r="B695" s="82"/>
      <c r="C695" s="82"/>
      <c r="D695" s="82"/>
      <c r="E695" s="82"/>
      <c r="F695" s="83"/>
      <c r="G695" s="83"/>
      <c r="H695" s="83"/>
    </row>
    <row r="696" spans="1:8">
      <c r="A696" s="83"/>
      <c r="B696" s="82"/>
      <c r="C696" s="82"/>
      <c r="D696" s="82"/>
      <c r="E696" s="82"/>
      <c r="F696" s="83"/>
      <c r="G696" s="83"/>
      <c r="H696" s="83"/>
    </row>
    <row r="697" spans="1:8">
      <c r="A697" s="83"/>
      <c r="B697" s="82"/>
      <c r="C697" s="82"/>
      <c r="D697" s="82"/>
      <c r="E697" s="82"/>
      <c r="F697" s="83"/>
      <c r="G697" s="83"/>
      <c r="H697" s="83"/>
    </row>
    <row r="698" spans="1:8">
      <c r="A698" s="83"/>
      <c r="B698" s="82"/>
      <c r="C698" s="82"/>
      <c r="D698" s="82"/>
      <c r="E698" s="82"/>
      <c r="F698" s="83"/>
      <c r="G698" s="83"/>
      <c r="H698" s="83"/>
    </row>
    <row r="699" spans="1:8">
      <c r="A699" s="83"/>
      <c r="B699" s="82"/>
      <c r="C699" s="82"/>
      <c r="D699" s="82"/>
      <c r="E699" s="82"/>
      <c r="F699" s="83"/>
      <c r="G699" s="83"/>
      <c r="H699" s="83"/>
    </row>
    <row r="700" spans="1:8">
      <c r="A700" s="83"/>
      <c r="B700" s="82"/>
      <c r="C700" s="82"/>
      <c r="D700" s="82"/>
      <c r="E700" s="82"/>
      <c r="F700" s="83"/>
      <c r="G700" s="83"/>
      <c r="H700" s="83"/>
    </row>
    <row r="701" spans="1:8">
      <c r="A701" s="83"/>
      <c r="B701" s="82"/>
      <c r="C701" s="82"/>
      <c r="D701" s="82"/>
      <c r="E701" s="82"/>
      <c r="F701" s="83"/>
      <c r="G701" s="83"/>
      <c r="H701" s="83"/>
    </row>
    <row r="702" spans="1:8">
      <c r="A702" s="83"/>
      <c r="B702" s="82"/>
      <c r="C702" s="82"/>
      <c r="D702" s="82"/>
      <c r="E702" s="82"/>
      <c r="F702" s="83"/>
      <c r="G702" s="83"/>
      <c r="H702" s="83"/>
    </row>
    <row r="703" spans="1:8">
      <c r="A703" s="83"/>
      <c r="B703" s="82"/>
      <c r="C703" s="82"/>
      <c r="D703" s="82"/>
      <c r="E703" s="82"/>
      <c r="F703" s="83"/>
      <c r="G703" s="83"/>
      <c r="H703" s="83"/>
    </row>
    <row r="704" spans="1:8">
      <c r="A704" s="83"/>
      <c r="B704" s="82"/>
      <c r="C704" s="82"/>
      <c r="D704" s="82"/>
      <c r="E704" s="82"/>
      <c r="F704" s="83"/>
      <c r="G704" s="83"/>
      <c r="H704" s="83"/>
    </row>
    <row r="705" spans="1:8">
      <c r="A705" s="83"/>
      <c r="B705" s="82"/>
      <c r="C705" s="82"/>
      <c r="D705" s="82"/>
      <c r="E705" s="82"/>
      <c r="F705" s="83"/>
      <c r="G705" s="83"/>
      <c r="H705" s="83"/>
    </row>
    <row r="706" spans="1:8">
      <c r="A706" s="83"/>
      <c r="B706" s="82"/>
      <c r="C706" s="82"/>
      <c r="D706" s="82"/>
      <c r="E706" s="82"/>
      <c r="F706" s="83"/>
      <c r="G706" s="83"/>
      <c r="H706" s="83"/>
    </row>
    <row r="707" spans="1:8">
      <c r="A707" s="83"/>
      <c r="B707" s="82"/>
      <c r="C707" s="82"/>
      <c r="D707" s="82"/>
      <c r="E707" s="82"/>
      <c r="F707" s="83"/>
      <c r="G707" s="83"/>
      <c r="H707" s="83"/>
    </row>
    <row r="708" spans="1:8">
      <c r="A708" s="83"/>
      <c r="B708" s="82"/>
      <c r="C708" s="82"/>
      <c r="D708" s="82"/>
      <c r="E708" s="82"/>
      <c r="F708" s="83"/>
      <c r="G708" s="83"/>
      <c r="H708" s="83"/>
    </row>
    <row r="709" spans="1:8">
      <c r="A709" s="83"/>
      <c r="B709" s="82"/>
      <c r="C709" s="82"/>
      <c r="D709" s="82"/>
      <c r="E709" s="82"/>
      <c r="F709" s="83"/>
      <c r="G709" s="83"/>
      <c r="H709" s="83"/>
    </row>
    <row r="710" spans="1:8">
      <c r="A710" s="83"/>
      <c r="B710" s="82"/>
      <c r="C710" s="82"/>
      <c r="D710" s="82"/>
      <c r="E710" s="82"/>
      <c r="F710" s="83"/>
      <c r="G710" s="83"/>
      <c r="H710" s="83"/>
    </row>
    <row r="711" spans="1:8">
      <c r="A711" s="83"/>
      <c r="B711" s="82"/>
      <c r="C711" s="82"/>
      <c r="D711" s="82"/>
      <c r="E711" s="82"/>
      <c r="F711" s="83"/>
      <c r="G711" s="83"/>
      <c r="H711" s="83"/>
    </row>
    <row r="712" spans="1:8">
      <c r="A712" s="83"/>
      <c r="B712" s="82"/>
      <c r="C712" s="82"/>
      <c r="D712" s="82"/>
      <c r="E712" s="82"/>
      <c r="F712" s="83"/>
      <c r="G712" s="83"/>
      <c r="H712" s="83"/>
    </row>
    <row r="713" spans="1:8">
      <c r="A713" s="83"/>
      <c r="B713" s="82"/>
      <c r="C713" s="82"/>
      <c r="D713" s="82"/>
      <c r="E713" s="82"/>
      <c r="F713" s="83"/>
      <c r="G713" s="83"/>
      <c r="H713" s="83"/>
    </row>
    <row r="714" spans="1:8">
      <c r="A714" s="83"/>
      <c r="B714" s="82"/>
      <c r="C714" s="82"/>
      <c r="D714" s="82"/>
      <c r="E714" s="82"/>
      <c r="F714" s="83"/>
      <c r="G714" s="83"/>
      <c r="H714" s="83"/>
    </row>
    <row r="715" spans="1:8">
      <c r="A715" s="83"/>
      <c r="B715" s="82"/>
      <c r="C715" s="82"/>
      <c r="D715" s="82"/>
      <c r="E715" s="82"/>
      <c r="F715" s="83"/>
      <c r="G715" s="83"/>
      <c r="H715" s="83"/>
    </row>
    <row r="716" spans="1:8">
      <c r="A716" s="83"/>
      <c r="B716" s="82"/>
      <c r="C716" s="82"/>
      <c r="D716" s="82"/>
      <c r="E716" s="82"/>
      <c r="F716" s="83"/>
      <c r="G716" s="83"/>
      <c r="H716" s="83"/>
    </row>
    <row r="717" spans="1:8">
      <c r="A717" s="83"/>
      <c r="B717" s="82"/>
      <c r="C717" s="82"/>
      <c r="D717" s="82"/>
      <c r="E717" s="82"/>
      <c r="F717" s="83"/>
      <c r="G717" s="83"/>
      <c r="H717" s="83"/>
    </row>
    <row r="718" spans="1:8">
      <c r="A718" s="83"/>
      <c r="B718" s="82"/>
      <c r="C718" s="82"/>
      <c r="D718" s="82"/>
      <c r="E718" s="82"/>
      <c r="F718" s="83"/>
      <c r="G718" s="83"/>
      <c r="H718" s="83"/>
    </row>
    <row r="719" spans="1:8">
      <c r="A719" s="83"/>
      <c r="B719" s="82"/>
      <c r="C719" s="82"/>
      <c r="D719" s="82"/>
      <c r="E719" s="82"/>
      <c r="F719" s="83"/>
      <c r="G719" s="83"/>
      <c r="H719" s="83"/>
    </row>
    <row r="720" spans="1:8">
      <c r="A720" s="83"/>
      <c r="B720" s="82"/>
      <c r="C720" s="82"/>
      <c r="D720" s="82"/>
      <c r="E720" s="82"/>
      <c r="F720" s="83"/>
      <c r="G720" s="83"/>
      <c r="H720" s="83"/>
    </row>
    <row r="721" spans="1:8">
      <c r="A721" s="83"/>
      <c r="B721" s="82"/>
      <c r="C721" s="82"/>
      <c r="D721" s="82"/>
      <c r="E721" s="82"/>
      <c r="F721" s="83"/>
      <c r="G721" s="83"/>
      <c r="H721" s="83"/>
    </row>
    <row r="722" spans="1:8">
      <c r="A722" s="83"/>
      <c r="B722" s="82"/>
      <c r="C722" s="82"/>
      <c r="D722" s="82"/>
      <c r="E722" s="82"/>
      <c r="F722" s="83"/>
      <c r="G722" s="83"/>
      <c r="H722" s="83"/>
    </row>
    <row r="723" spans="1:8">
      <c r="A723" s="83"/>
      <c r="B723" s="82"/>
      <c r="C723" s="82"/>
      <c r="D723" s="82"/>
      <c r="E723" s="82"/>
      <c r="F723" s="83"/>
      <c r="G723" s="83"/>
      <c r="H723" s="83"/>
    </row>
    <row r="724" spans="1:8">
      <c r="A724" s="83"/>
      <c r="B724" s="82"/>
      <c r="C724" s="82"/>
      <c r="D724" s="82"/>
      <c r="E724" s="82"/>
      <c r="F724" s="83"/>
      <c r="G724" s="83"/>
      <c r="H724" s="83"/>
    </row>
    <row r="725" spans="1:8">
      <c r="A725" s="83"/>
      <c r="B725" s="82"/>
      <c r="C725" s="82"/>
      <c r="D725" s="82"/>
      <c r="E725" s="82"/>
      <c r="F725" s="83"/>
      <c r="G725" s="83"/>
      <c r="H725" s="83"/>
    </row>
    <row r="726" spans="1:8">
      <c r="A726" s="83"/>
      <c r="B726" s="82"/>
      <c r="C726" s="82"/>
      <c r="D726" s="82"/>
      <c r="E726" s="82"/>
      <c r="F726" s="83"/>
      <c r="G726" s="83"/>
      <c r="H726" s="83"/>
    </row>
    <row r="727" spans="1:8">
      <c r="A727" s="83"/>
      <c r="B727" s="82"/>
      <c r="C727" s="82"/>
      <c r="D727" s="82"/>
      <c r="E727" s="82"/>
      <c r="F727" s="83"/>
      <c r="G727" s="83"/>
      <c r="H727" s="83"/>
    </row>
    <row r="728" spans="1:8">
      <c r="A728" s="83"/>
      <c r="B728" s="82"/>
      <c r="C728" s="82"/>
      <c r="D728" s="82"/>
      <c r="E728" s="82"/>
      <c r="F728" s="83"/>
      <c r="G728" s="83"/>
      <c r="H728" s="83"/>
    </row>
    <row r="729" spans="1:8">
      <c r="A729" s="83"/>
      <c r="B729" s="82"/>
      <c r="C729" s="82"/>
      <c r="D729" s="82"/>
      <c r="E729" s="82"/>
      <c r="F729" s="83"/>
      <c r="G729" s="83"/>
      <c r="H729" s="83"/>
    </row>
    <row r="730" spans="1:8">
      <c r="A730" s="83"/>
      <c r="B730" s="82"/>
      <c r="C730" s="82"/>
      <c r="D730" s="82"/>
      <c r="E730" s="82"/>
      <c r="F730" s="83"/>
      <c r="G730" s="83"/>
      <c r="H730" s="83"/>
    </row>
    <row r="731" spans="1:8">
      <c r="A731" s="83"/>
      <c r="B731" s="82"/>
      <c r="C731" s="82"/>
      <c r="D731" s="82"/>
      <c r="E731" s="82"/>
      <c r="F731" s="83"/>
      <c r="G731" s="83"/>
      <c r="H731" s="83"/>
    </row>
    <row r="732" spans="1:8">
      <c r="A732" s="83"/>
      <c r="B732" s="82"/>
      <c r="C732" s="82"/>
      <c r="D732" s="82"/>
      <c r="E732" s="82"/>
      <c r="F732" s="83"/>
      <c r="G732" s="83"/>
      <c r="H732" s="83"/>
    </row>
    <row r="733" spans="1:8">
      <c r="A733" s="83"/>
      <c r="B733" s="82"/>
      <c r="C733" s="82"/>
      <c r="D733" s="82"/>
      <c r="E733" s="82"/>
      <c r="F733" s="83"/>
      <c r="G733" s="83"/>
      <c r="H733" s="83"/>
    </row>
    <row r="734" spans="1:8">
      <c r="A734" s="83"/>
      <c r="B734" s="82"/>
      <c r="C734" s="82"/>
      <c r="D734" s="82"/>
      <c r="E734" s="82"/>
      <c r="F734" s="83"/>
      <c r="G734" s="83"/>
      <c r="H734" s="83"/>
    </row>
    <row r="735" spans="1:8">
      <c r="A735" s="83"/>
      <c r="B735" s="82"/>
      <c r="C735" s="82"/>
      <c r="D735" s="82"/>
      <c r="E735" s="82"/>
      <c r="F735" s="83"/>
      <c r="G735" s="83"/>
      <c r="H735" s="83"/>
    </row>
    <row r="736" spans="1:8">
      <c r="A736" s="83"/>
      <c r="B736" s="82"/>
      <c r="C736" s="82"/>
      <c r="D736" s="82"/>
      <c r="E736" s="82"/>
      <c r="F736" s="83"/>
      <c r="G736" s="83"/>
      <c r="H736" s="83"/>
    </row>
    <row r="737" spans="1:8">
      <c r="A737" s="83"/>
      <c r="B737" s="82"/>
      <c r="C737" s="82"/>
      <c r="D737" s="82"/>
      <c r="E737" s="82"/>
      <c r="F737" s="83"/>
      <c r="G737" s="83"/>
      <c r="H737" s="83"/>
    </row>
    <row r="738" spans="1:8">
      <c r="A738" s="83"/>
      <c r="B738" s="82"/>
      <c r="C738" s="82"/>
      <c r="D738" s="82"/>
      <c r="E738" s="82"/>
      <c r="F738" s="83"/>
      <c r="G738" s="83"/>
      <c r="H738" s="83"/>
    </row>
    <row r="739" spans="1:8">
      <c r="A739" s="83"/>
      <c r="B739" s="82"/>
      <c r="C739" s="82"/>
      <c r="D739" s="82"/>
      <c r="E739" s="82"/>
      <c r="F739" s="83"/>
      <c r="G739" s="83"/>
      <c r="H739" s="83"/>
    </row>
    <row r="740" spans="1:8">
      <c r="A740" s="83"/>
      <c r="B740" s="82"/>
      <c r="C740" s="82"/>
      <c r="D740" s="82"/>
      <c r="E740" s="82"/>
      <c r="F740" s="83"/>
      <c r="G740" s="83"/>
      <c r="H740" s="83"/>
    </row>
    <row r="741" spans="1:8">
      <c r="A741" s="83"/>
      <c r="B741" s="82"/>
      <c r="C741" s="82"/>
      <c r="D741" s="82"/>
      <c r="E741" s="82"/>
      <c r="F741" s="83"/>
      <c r="G741" s="83"/>
      <c r="H741" s="83"/>
    </row>
    <row r="742" spans="1:8">
      <c r="A742" s="83"/>
      <c r="B742" s="82"/>
      <c r="C742" s="82"/>
      <c r="D742" s="82"/>
      <c r="E742" s="82"/>
      <c r="F742" s="83"/>
      <c r="G742" s="83"/>
      <c r="H742" s="83"/>
    </row>
    <row r="743" spans="1:8">
      <c r="A743" s="83"/>
      <c r="B743" s="82"/>
      <c r="C743" s="82"/>
      <c r="D743" s="82"/>
      <c r="E743" s="82"/>
      <c r="F743" s="83"/>
      <c r="G743" s="83"/>
      <c r="H743" s="83"/>
    </row>
    <row r="744" spans="1:8">
      <c r="A744" s="83"/>
      <c r="B744" s="82"/>
      <c r="C744" s="82"/>
      <c r="D744" s="82"/>
      <c r="E744" s="82"/>
      <c r="F744" s="83"/>
      <c r="G744" s="83"/>
      <c r="H744" s="83"/>
    </row>
    <row r="745" spans="1:8">
      <c r="A745" s="83"/>
      <c r="B745" s="82"/>
      <c r="C745" s="82"/>
      <c r="D745" s="82"/>
      <c r="E745" s="82"/>
      <c r="F745" s="83"/>
      <c r="G745" s="83"/>
      <c r="H745" s="83"/>
    </row>
    <row r="746" spans="1:8">
      <c r="A746" s="83"/>
      <c r="B746" s="82"/>
      <c r="C746" s="82"/>
      <c r="D746" s="82"/>
      <c r="E746" s="82"/>
      <c r="F746" s="83"/>
      <c r="G746" s="83"/>
      <c r="H746" s="83"/>
    </row>
    <row r="747" spans="1:8">
      <c r="A747" s="83"/>
      <c r="B747" s="82"/>
      <c r="C747" s="82"/>
      <c r="D747" s="82"/>
      <c r="E747" s="82"/>
      <c r="F747" s="83"/>
      <c r="G747" s="83"/>
      <c r="H747" s="83"/>
    </row>
    <row r="748" spans="1:8">
      <c r="A748" s="83"/>
      <c r="B748" s="82"/>
      <c r="C748" s="82"/>
      <c r="D748" s="82"/>
      <c r="E748" s="82"/>
      <c r="F748" s="83"/>
      <c r="G748" s="83"/>
      <c r="H748" s="83"/>
    </row>
    <row r="749" spans="1:8">
      <c r="A749" s="83"/>
      <c r="B749" s="82"/>
      <c r="C749" s="82"/>
      <c r="D749" s="82"/>
      <c r="E749" s="82"/>
      <c r="F749" s="83"/>
      <c r="G749" s="83"/>
      <c r="H749" s="83"/>
    </row>
    <row r="750" spans="1:8">
      <c r="A750" s="83"/>
      <c r="B750" s="82"/>
      <c r="C750" s="82"/>
      <c r="D750" s="82"/>
      <c r="E750" s="82"/>
      <c r="F750" s="83"/>
      <c r="G750" s="83"/>
      <c r="H750" s="83"/>
    </row>
    <row r="751" spans="1:8">
      <c r="A751" s="83"/>
      <c r="B751" s="82"/>
      <c r="C751" s="82"/>
      <c r="D751" s="82"/>
      <c r="E751" s="82"/>
      <c r="F751" s="83"/>
      <c r="G751" s="83"/>
      <c r="H751" s="83"/>
    </row>
    <row r="752" spans="1:8">
      <c r="A752" s="83"/>
      <c r="B752" s="82"/>
      <c r="C752" s="82"/>
      <c r="D752" s="82"/>
      <c r="E752" s="82"/>
      <c r="F752" s="83"/>
      <c r="G752" s="83"/>
      <c r="H752" s="83"/>
    </row>
    <row r="753" spans="1:8">
      <c r="A753" s="83"/>
      <c r="B753" s="82"/>
      <c r="C753" s="82"/>
      <c r="D753" s="82"/>
      <c r="E753" s="82"/>
      <c r="F753" s="83"/>
      <c r="G753" s="83"/>
      <c r="H753" s="83"/>
    </row>
    <row r="754" spans="1:8">
      <c r="A754" s="83"/>
      <c r="B754" s="82"/>
      <c r="C754" s="82"/>
      <c r="D754" s="82"/>
      <c r="E754" s="82"/>
      <c r="F754" s="83"/>
      <c r="G754" s="83"/>
      <c r="H754" s="83"/>
    </row>
    <row r="755" spans="1:8">
      <c r="A755" s="83"/>
      <c r="B755" s="82"/>
      <c r="C755" s="82"/>
      <c r="D755" s="82"/>
      <c r="E755" s="82"/>
      <c r="F755" s="83"/>
      <c r="G755" s="83"/>
      <c r="H755" s="83"/>
    </row>
    <row r="756" spans="1:8">
      <c r="A756" s="83"/>
      <c r="B756" s="82"/>
      <c r="C756" s="82"/>
      <c r="D756" s="82"/>
      <c r="E756" s="82"/>
      <c r="F756" s="83"/>
      <c r="G756" s="83"/>
      <c r="H756" s="83"/>
    </row>
    <row r="757" spans="1:8">
      <c r="A757" s="83"/>
      <c r="B757" s="82"/>
      <c r="C757" s="82"/>
      <c r="D757" s="82"/>
      <c r="E757" s="82"/>
      <c r="F757" s="83"/>
      <c r="G757" s="83"/>
      <c r="H757" s="83"/>
    </row>
    <row r="758" spans="1:8">
      <c r="A758" s="83"/>
      <c r="B758" s="82"/>
      <c r="C758" s="82"/>
      <c r="D758" s="82"/>
      <c r="E758" s="82"/>
      <c r="F758" s="83"/>
      <c r="G758" s="83"/>
      <c r="H758" s="83"/>
    </row>
    <row r="759" spans="1:8">
      <c r="A759" s="83"/>
      <c r="B759" s="82"/>
      <c r="C759" s="82"/>
      <c r="D759" s="82"/>
      <c r="E759" s="82"/>
      <c r="F759" s="83"/>
      <c r="G759" s="83"/>
      <c r="H759" s="83"/>
    </row>
    <row r="760" spans="1:8">
      <c r="A760" s="83"/>
      <c r="B760" s="82"/>
      <c r="C760" s="82"/>
      <c r="D760" s="82"/>
      <c r="E760" s="82"/>
      <c r="F760" s="83"/>
      <c r="G760" s="83"/>
      <c r="H760" s="83"/>
    </row>
    <row r="761" spans="1:8">
      <c r="A761" s="83"/>
      <c r="B761" s="82"/>
      <c r="C761" s="82"/>
      <c r="D761" s="82"/>
      <c r="E761" s="82"/>
      <c r="F761" s="83"/>
      <c r="G761" s="83"/>
      <c r="H761" s="83"/>
    </row>
    <row r="762" spans="1:8">
      <c r="A762" s="83"/>
      <c r="B762" s="82"/>
      <c r="C762" s="82"/>
      <c r="D762" s="82"/>
      <c r="E762" s="82"/>
      <c r="F762" s="83"/>
      <c r="G762" s="83"/>
      <c r="H762" s="83"/>
    </row>
    <row r="763" spans="1:8">
      <c r="A763" s="83"/>
      <c r="B763" s="82"/>
      <c r="C763" s="82"/>
      <c r="D763" s="82"/>
      <c r="E763" s="82"/>
      <c r="F763" s="83"/>
      <c r="G763" s="83"/>
      <c r="H763" s="83"/>
    </row>
    <row r="764" spans="1:8">
      <c r="A764" s="83"/>
      <c r="B764" s="82"/>
      <c r="C764" s="82"/>
      <c r="D764" s="82"/>
      <c r="E764" s="82"/>
      <c r="F764" s="83"/>
      <c r="G764" s="83"/>
      <c r="H764" s="83"/>
    </row>
    <row r="765" spans="1:8">
      <c r="A765" s="83"/>
      <c r="B765" s="82"/>
      <c r="C765" s="82"/>
      <c r="D765" s="82"/>
      <c r="E765" s="82"/>
      <c r="F765" s="83"/>
      <c r="G765" s="83"/>
      <c r="H765" s="83"/>
    </row>
    <row r="766" spans="1:8">
      <c r="A766" s="83"/>
      <c r="B766" s="82"/>
      <c r="C766" s="82"/>
      <c r="D766" s="82"/>
      <c r="E766" s="82"/>
      <c r="F766" s="83"/>
      <c r="G766" s="83"/>
      <c r="H766" s="83"/>
    </row>
    <row r="767" spans="1:8">
      <c r="A767" s="83"/>
      <c r="B767" s="82"/>
      <c r="C767" s="82"/>
      <c r="D767" s="82"/>
      <c r="E767" s="82"/>
      <c r="F767" s="83"/>
      <c r="G767" s="83"/>
      <c r="H767" s="83"/>
    </row>
    <row r="768" spans="1:8">
      <c r="A768" s="83"/>
      <c r="B768" s="82"/>
      <c r="C768" s="82"/>
      <c r="D768" s="82"/>
      <c r="E768" s="82"/>
      <c r="F768" s="83"/>
      <c r="G768" s="83"/>
      <c r="H768" s="83"/>
    </row>
    <row r="769" spans="1:8">
      <c r="A769" s="83"/>
      <c r="B769" s="82"/>
      <c r="C769" s="82"/>
      <c r="D769" s="82"/>
      <c r="E769" s="82"/>
      <c r="F769" s="83"/>
      <c r="G769" s="83"/>
      <c r="H769" s="83"/>
    </row>
    <row r="770" spans="1:8">
      <c r="A770" s="83"/>
      <c r="B770" s="82"/>
      <c r="C770" s="82"/>
      <c r="D770" s="82"/>
      <c r="E770" s="82"/>
      <c r="F770" s="83"/>
      <c r="G770" s="83"/>
      <c r="H770" s="83"/>
    </row>
    <row r="771" spans="1:8">
      <c r="A771" s="83"/>
      <c r="B771" s="82"/>
      <c r="C771" s="82"/>
      <c r="D771" s="82"/>
      <c r="E771" s="82"/>
      <c r="F771" s="83"/>
      <c r="G771" s="83"/>
      <c r="H771" s="83"/>
    </row>
    <row r="772" spans="1:8">
      <c r="A772" s="83"/>
      <c r="B772" s="82"/>
      <c r="C772" s="82"/>
      <c r="D772" s="82"/>
      <c r="E772" s="82"/>
      <c r="F772" s="83"/>
      <c r="G772" s="83"/>
      <c r="H772" s="83"/>
    </row>
    <row r="773" spans="1:8">
      <c r="A773" s="83"/>
      <c r="B773" s="82"/>
      <c r="C773" s="82"/>
      <c r="D773" s="82"/>
      <c r="E773" s="82"/>
      <c r="F773" s="83"/>
      <c r="G773" s="83"/>
      <c r="H773" s="83"/>
    </row>
    <row r="774" spans="1:8">
      <c r="A774" s="83"/>
      <c r="B774" s="82"/>
      <c r="C774" s="82"/>
      <c r="D774" s="82"/>
      <c r="E774" s="82"/>
      <c r="F774" s="83"/>
      <c r="G774" s="83"/>
      <c r="H774" s="83"/>
    </row>
    <row r="775" spans="1:8">
      <c r="A775" s="83"/>
      <c r="B775" s="82"/>
      <c r="C775" s="82"/>
      <c r="D775" s="82"/>
      <c r="E775" s="82"/>
      <c r="F775" s="83"/>
      <c r="G775" s="83"/>
      <c r="H775" s="83"/>
    </row>
    <row r="776" spans="1:8">
      <c r="A776" s="83"/>
      <c r="B776" s="82"/>
      <c r="C776" s="82"/>
      <c r="D776" s="82"/>
      <c r="E776" s="82"/>
      <c r="F776" s="83"/>
      <c r="G776" s="83"/>
      <c r="H776" s="83"/>
    </row>
    <row r="777" spans="1:8">
      <c r="A777" s="83"/>
      <c r="B777" s="82"/>
      <c r="C777" s="82"/>
      <c r="D777" s="82"/>
      <c r="E777" s="82"/>
      <c r="F777" s="83"/>
      <c r="G777" s="83"/>
      <c r="H777" s="83"/>
    </row>
    <row r="778" spans="1:8">
      <c r="A778" s="83"/>
      <c r="B778" s="82"/>
      <c r="C778" s="82"/>
      <c r="D778" s="82"/>
      <c r="E778" s="82"/>
      <c r="F778" s="83"/>
      <c r="G778" s="83"/>
      <c r="H778" s="83"/>
    </row>
    <row r="779" spans="1:8">
      <c r="A779" s="83"/>
      <c r="B779" s="82"/>
      <c r="C779" s="82"/>
      <c r="D779" s="82"/>
      <c r="E779" s="82"/>
      <c r="F779" s="83"/>
      <c r="G779" s="83"/>
      <c r="H779" s="83"/>
    </row>
    <row r="780" spans="1:8">
      <c r="A780" s="83"/>
      <c r="B780" s="82"/>
      <c r="C780" s="82"/>
      <c r="D780" s="82"/>
      <c r="E780" s="82"/>
      <c r="F780" s="83"/>
      <c r="G780" s="83"/>
      <c r="H780" s="83"/>
    </row>
    <row r="781" spans="1:8">
      <c r="A781" s="83"/>
      <c r="B781" s="82"/>
      <c r="C781" s="82"/>
      <c r="D781" s="82"/>
      <c r="E781" s="82"/>
      <c r="F781" s="83"/>
      <c r="G781" s="83"/>
      <c r="H781" s="83"/>
    </row>
    <row r="782" spans="1:8">
      <c r="A782" s="83"/>
      <c r="B782" s="82"/>
      <c r="C782" s="82"/>
      <c r="D782" s="82"/>
      <c r="E782" s="82"/>
      <c r="F782" s="83"/>
      <c r="G782" s="83"/>
      <c r="H782" s="83"/>
    </row>
    <row r="783" spans="1:8">
      <c r="A783" s="83"/>
      <c r="B783" s="82"/>
      <c r="C783" s="82"/>
      <c r="D783" s="82"/>
      <c r="E783" s="82"/>
      <c r="F783" s="83"/>
      <c r="G783" s="83"/>
      <c r="H783" s="83"/>
    </row>
    <row r="784" spans="1:8">
      <c r="A784" s="83"/>
      <c r="B784" s="82"/>
      <c r="C784" s="82"/>
      <c r="D784" s="82"/>
      <c r="E784" s="82"/>
      <c r="F784" s="83"/>
      <c r="G784" s="83"/>
      <c r="H784" s="83"/>
    </row>
    <row r="785" spans="1:8">
      <c r="A785" s="83"/>
      <c r="B785" s="82"/>
      <c r="C785" s="82"/>
      <c r="D785" s="82"/>
      <c r="E785" s="82"/>
      <c r="F785" s="83"/>
      <c r="G785" s="83"/>
      <c r="H785" s="83"/>
    </row>
    <row r="786" spans="1:8">
      <c r="A786" s="83"/>
      <c r="B786" s="82"/>
      <c r="C786" s="82"/>
      <c r="D786" s="82"/>
      <c r="E786" s="82"/>
      <c r="F786" s="83"/>
      <c r="G786" s="83"/>
      <c r="H786" s="83"/>
    </row>
    <row r="787" spans="1:8">
      <c r="A787" s="83"/>
      <c r="B787" s="82"/>
      <c r="C787" s="82"/>
      <c r="D787" s="82"/>
      <c r="E787" s="82"/>
      <c r="F787" s="83"/>
      <c r="G787" s="83"/>
      <c r="H787" s="83"/>
    </row>
    <row r="788" spans="1:8">
      <c r="A788" s="83"/>
      <c r="B788" s="82"/>
      <c r="C788" s="82"/>
      <c r="D788" s="82"/>
      <c r="E788" s="82"/>
      <c r="F788" s="83"/>
      <c r="G788" s="83"/>
      <c r="H788" s="83"/>
    </row>
    <row r="789" spans="1:8">
      <c r="A789" s="83"/>
      <c r="B789" s="82"/>
      <c r="C789" s="82"/>
      <c r="D789" s="82"/>
      <c r="E789" s="82"/>
      <c r="F789" s="83"/>
      <c r="G789" s="83"/>
      <c r="H789" s="83"/>
    </row>
    <row r="790" spans="1:8">
      <c r="A790" s="83"/>
      <c r="B790" s="82"/>
      <c r="C790" s="82"/>
      <c r="D790" s="82"/>
      <c r="E790" s="82"/>
      <c r="F790" s="83"/>
      <c r="G790" s="83"/>
      <c r="H790" s="83"/>
    </row>
    <row r="791" spans="1:8">
      <c r="A791" s="83"/>
      <c r="B791" s="82"/>
      <c r="C791" s="82"/>
      <c r="D791" s="82"/>
      <c r="E791" s="82"/>
      <c r="F791" s="83"/>
      <c r="G791" s="83"/>
      <c r="H791" s="83"/>
    </row>
    <row r="792" spans="1:8">
      <c r="A792" s="83"/>
      <c r="B792" s="82"/>
      <c r="C792" s="82"/>
      <c r="D792" s="82"/>
      <c r="E792" s="82"/>
      <c r="F792" s="83"/>
      <c r="G792" s="83"/>
      <c r="H792" s="83"/>
    </row>
    <row r="793" spans="1:8">
      <c r="A793" s="83"/>
      <c r="B793" s="82"/>
      <c r="C793" s="82"/>
      <c r="D793" s="82"/>
      <c r="E793" s="82"/>
      <c r="F793" s="83"/>
      <c r="G793" s="83"/>
      <c r="H793" s="83"/>
    </row>
    <row r="794" spans="1:8">
      <c r="A794" s="83"/>
      <c r="B794" s="82"/>
      <c r="C794" s="82"/>
      <c r="D794" s="82"/>
      <c r="E794" s="82"/>
      <c r="F794" s="83"/>
      <c r="G794" s="83"/>
      <c r="H794" s="83"/>
    </row>
    <row r="795" spans="1:8">
      <c r="A795" s="83"/>
      <c r="B795" s="82"/>
      <c r="C795" s="82"/>
      <c r="D795" s="82"/>
      <c r="E795" s="82"/>
      <c r="F795" s="83"/>
      <c r="G795" s="83"/>
      <c r="H795" s="83"/>
    </row>
    <row r="796" spans="1:8">
      <c r="A796" s="83"/>
      <c r="B796" s="82"/>
      <c r="C796" s="82"/>
      <c r="D796" s="82"/>
      <c r="E796" s="82"/>
      <c r="F796" s="83"/>
      <c r="G796" s="83"/>
      <c r="H796" s="83"/>
    </row>
    <row r="797" spans="1:8">
      <c r="A797" s="83"/>
      <c r="B797" s="82"/>
      <c r="C797" s="82"/>
      <c r="D797" s="82"/>
      <c r="E797" s="82"/>
      <c r="F797" s="83"/>
      <c r="G797" s="83"/>
      <c r="H797" s="83"/>
    </row>
    <row r="798" spans="1:8">
      <c r="A798" s="83"/>
      <c r="B798" s="82"/>
      <c r="C798" s="82"/>
      <c r="D798" s="82"/>
      <c r="E798" s="82"/>
      <c r="F798" s="83"/>
      <c r="G798" s="83"/>
      <c r="H798" s="83"/>
    </row>
    <row r="799" spans="1:8">
      <c r="A799" s="83"/>
      <c r="B799" s="82"/>
      <c r="C799" s="82"/>
      <c r="D799" s="82"/>
      <c r="E799" s="82"/>
      <c r="F799" s="83"/>
      <c r="G799" s="83"/>
      <c r="H799" s="83"/>
    </row>
    <row r="800" spans="1:8">
      <c r="A800" s="83"/>
      <c r="B800" s="82"/>
      <c r="C800" s="82"/>
      <c r="D800" s="82"/>
      <c r="E800" s="82"/>
      <c r="F800" s="83"/>
      <c r="G800" s="83"/>
      <c r="H800" s="83"/>
    </row>
    <row r="801" spans="1:8">
      <c r="A801" s="83"/>
      <c r="B801" s="82"/>
      <c r="C801" s="82"/>
      <c r="D801" s="82"/>
      <c r="E801" s="82"/>
      <c r="F801" s="83"/>
      <c r="G801" s="83"/>
      <c r="H801" s="83"/>
    </row>
    <row r="802" spans="1:8">
      <c r="A802" s="83"/>
      <c r="B802" s="82"/>
      <c r="C802" s="82"/>
      <c r="D802" s="82"/>
      <c r="E802" s="82"/>
      <c r="F802" s="83"/>
      <c r="G802" s="83"/>
      <c r="H802" s="83"/>
    </row>
    <row r="803" spans="1:8">
      <c r="A803" s="83"/>
      <c r="B803" s="82"/>
      <c r="C803" s="82"/>
      <c r="D803" s="82"/>
      <c r="E803" s="82"/>
      <c r="F803" s="83"/>
      <c r="G803" s="83"/>
      <c r="H803" s="83"/>
    </row>
    <row r="804" spans="1:8">
      <c r="A804" s="83"/>
      <c r="B804" s="82"/>
      <c r="C804" s="82"/>
      <c r="D804" s="82"/>
      <c r="E804" s="82"/>
      <c r="F804" s="83"/>
      <c r="G804" s="83"/>
      <c r="H804" s="83"/>
    </row>
    <row r="805" spans="1:8">
      <c r="A805" s="83"/>
      <c r="B805" s="82"/>
      <c r="C805" s="82"/>
      <c r="D805" s="82"/>
      <c r="E805" s="82"/>
      <c r="F805" s="83"/>
      <c r="G805" s="83"/>
      <c r="H805" s="83"/>
    </row>
    <row r="806" spans="1:8">
      <c r="A806" s="83"/>
      <c r="B806" s="82"/>
      <c r="C806" s="82"/>
      <c r="D806" s="82"/>
      <c r="E806" s="82"/>
      <c r="F806" s="83"/>
      <c r="G806" s="83"/>
      <c r="H806" s="83"/>
    </row>
    <row r="807" spans="1:8">
      <c r="A807" s="83"/>
      <c r="B807" s="82"/>
      <c r="C807" s="82"/>
      <c r="D807" s="82"/>
      <c r="E807" s="82"/>
      <c r="F807" s="83"/>
      <c r="G807" s="83"/>
      <c r="H807" s="83"/>
    </row>
    <row r="808" spans="1:8">
      <c r="A808" s="83"/>
      <c r="B808" s="82"/>
      <c r="C808" s="82"/>
      <c r="D808" s="82"/>
      <c r="E808" s="82"/>
      <c r="F808" s="83"/>
      <c r="G808" s="83"/>
      <c r="H808" s="83"/>
    </row>
    <row r="809" spans="1:8">
      <c r="A809" s="83"/>
      <c r="B809" s="82"/>
      <c r="C809" s="82"/>
      <c r="D809" s="82"/>
      <c r="E809" s="82"/>
      <c r="F809" s="83"/>
      <c r="G809" s="83"/>
      <c r="H809" s="83"/>
    </row>
    <row r="810" spans="1:8">
      <c r="A810" s="83"/>
      <c r="B810" s="82"/>
      <c r="C810" s="82"/>
      <c r="D810" s="82"/>
      <c r="E810" s="82"/>
      <c r="F810" s="83"/>
      <c r="G810" s="83"/>
      <c r="H810" s="83"/>
    </row>
    <row r="811" spans="1:8">
      <c r="A811" s="83"/>
      <c r="B811" s="82"/>
      <c r="C811" s="82"/>
      <c r="D811" s="82"/>
      <c r="E811" s="82"/>
      <c r="F811" s="83"/>
      <c r="G811" s="83"/>
      <c r="H811" s="83"/>
    </row>
    <row r="812" spans="1:8">
      <c r="A812" s="83"/>
      <c r="B812" s="82"/>
      <c r="C812" s="82"/>
      <c r="D812" s="82"/>
      <c r="E812" s="82"/>
      <c r="F812" s="83"/>
      <c r="G812" s="83"/>
      <c r="H812" s="83"/>
    </row>
    <row r="813" spans="1:8">
      <c r="A813" s="83"/>
      <c r="B813" s="82"/>
      <c r="C813" s="82"/>
      <c r="D813" s="82"/>
      <c r="E813" s="82"/>
      <c r="F813" s="83"/>
      <c r="G813" s="83"/>
      <c r="H813" s="83"/>
    </row>
    <row r="814" spans="1:8">
      <c r="A814" s="83"/>
      <c r="B814" s="82"/>
      <c r="C814" s="82"/>
      <c r="D814" s="82"/>
      <c r="E814" s="82"/>
      <c r="F814" s="83"/>
      <c r="G814" s="83"/>
      <c r="H814" s="83"/>
    </row>
    <row r="815" spans="1:8">
      <c r="A815" s="83"/>
      <c r="B815" s="82"/>
      <c r="C815" s="82"/>
      <c r="D815" s="82"/>
      <c r="E815" s="82"/>
      <c r="F815" s="83"/>
      <c r="G815" s="83"/>
      <c r="H815" s="83"/>
    </row>
    <row r="816" spans="1:8">
      <c r="A816" s="83"/>
      <c r="B816" s="82"/>
      <c r="C816" s="82"/>
      <c r="D816" s="82"/>
      <c r="E816" s="82"/>
      <c r="F816" s="83"/>
      <c r="G816" s="83"/>
      <c r="H816" s="83"/>
    </row>
    <row r="817" spans="1:8">
      <c r="A817" s="83"/>
      <c r="B817" s="82"/>
      <c r="C817" s="82"/>
      <c r="D817" s="82"/>
      <c r="E817" s="82"/>
      <c r="F817" s="83"/>
      <c r="G817" s="83"/>
      <c r="H817" s="83"/>
    </row>
    <row r="818" spans="1:8">
      <c r="A818" s="83"/>
      <c r="B818" s="82"/>
      <c r="C818" s="82"/>
      <c r="D818" s="82"/>
      <c r="E818" s="82"/>
      <c r="F818" s="83"/>
      <c r="G818" s="83"/>
      <c r="H818" s="83"/>
    </row>
    <row r="819" spans="1:8">
      <c r="A819" s="83"/>
      <c r="B819" s="82"/>
      <c r="C819" s="82"/>
      <c r="D819" s="82"/>
      <c r="E819" s="82"/>
      <c r="F819" s="83"/>
      <c r="G819" s="83"/>
      <c r="H819" s="83"/>
    </row>
    <row r="820" spans="1:8">
      <c r="A820" s="83"/>
      <c r="B820" s="82"/>
      <c r="C820" s="82"/>
      <c r="D820" s="82"/>
      <c r="E820" s="82"/>
      <c r="F820" s="83"/>
      <c r="G820" s="83"/>
      <c r="H820" s="83"/>
    </row>
    <row r="821" spans="1:8">
      <c r="A821" s="83"/>
      <c r="B821" s="82"/>
      <c r="C821" s="82"/>
      <c r="D821" s="82"/>
      <c r="E821" s="82"/>
      <c r="F821" s="83"/>
      <c r="G821" s="83"/>
      <c r="H821" s="83"/>
    </row>
    <row r="822" spans="1:8">
      <c r="A822" s="83"/>
      <c r="B822" s="82"/>
      <c r="C822" s="82"/>
      <c r="D822" s="82"/>
      <c r="E822" s="82"/>
      <c r="F822" s="83"/>
      <c r="G822" s="83"/>
      <c r="H822" s="83"/>
    </row>
    <row r="823" spans="1:8">
      <c r="A823" s="83"/>
      <c r="B823" s="82"/>
      <c r="C823" s="82"/>
      <c r="D823" s="82"/>
      <c r="E823" s="82"/>
      <c r="F823" s="83"/>
      <c r="G823" s="83"/>
      <c r="H823" s="83"/>
    </row>
    <row r="824" spans="1:8">
      <c r="A824" s="83"/>
      <c r="B824" s="82"/>
      <c r="C824" s="82"/>
      <c r="D824" s="82"/>
      <c r="E824" s="82"/>
      <c r="F824" s="83"/>
      <c r="G824" s="83"/>
      <c r="H824" s="83"/>
    </row>
    <row r="825" spans="1:8">
      <c r="A825" s="83"/>
      <c r="B825" s="82"/>
      <c r="C825" s="82"/>
      <c r="D825" s="82"/>
      <c r="E825" s="82"/>
      <c r="F825" s="83"/>
      <c r="G825" s="83"/>
      <c r="H825" s="83"/>
    </row>
    <row r="826" spans="1:8">
      <c r="A826" s="83"/>
      <c r="B826" s="82"/>
      <c r="C826" s="82"/>
      <c r="D826" s="82"/>
      <c r="E826" s="82"/>
      <c r="F826" s="83"/>
      <c r="G826" s="83"/>
      <c r="H826" s="83"/>
    </row>
    <row r="827" spans="1:8">
      <c r="A827" s="83"/>
      <c r="B827" s="82"/>
      <c r="C827" s="82"/>
      <c r="D827" s="82"/>
      <c r="E827" s="82"/>
      <c r="F827" s="83"/>
      <c r="G827" s="83"/>
      <c r="H827" s="83"/>
    </row>
    <row r="828" spans="1:8">
      <c r="A828" s="83"/>
      <c r="B828" s="82"/>
      <c r="C828" s="82"/>
      <c r="D828" s="82"/>
      <c r="E828" s="82"/>
      <c r="F828" s="83"/>
      <c r="G828" s="83"/>
      <c r="H828" s="83"/>
    </row>
    <row r="829" spans="1:8">
      <c r="A829" s="83"/>
      <c r="B829" s="82"/>
      <c r="C829" s="82"/>
      <c r="D829" s="82"/>
      <c r="E829" s="82"/>
      <c r="F829" s="83"/>
      <c r="G829" s="83"/>
      <c r="H829" s="83"/>
    </row>
    <row r="830" spans="1:8">
      <c r="A830" s="83"/>
      <c r="B830" s="82"/>
      <c r="C830" s="82"/>
      <c r="D830" s="82"/>
      <c r="E830" s="82"/>
      <c r="F830" s="83"/>
      <c r="G830" s="83"/>
      <c r="H830" s="83"/>
    </row>
    <row r="831" spans="1:8">
      <c r="A831" s="83"/>
      <c r="B831" s="82"/>
      <c r="C831" s="82"/>
      <c r="D831" s="82"/>
      <c r="E831" s="82"/>
      <c r="F831" s="83"/>
      <c r="G831" s="83"/>
      <c r="H831" s="83"/>
    </row>
    <row r="832" spans="1:8">
      <c r="A832" s="83"/>
      <c r="B832" s="82"/>
      <c r="C832" s="82"/>
      <c r="D832" s="82"/>
      <c r="E832" s="82"/>
      <c r="F832" s="83"/>
      <c r="G832" s="83"/>
      <c r="H832" s="83"/>
    </row>
    <row r="833" spans="1:8">
      <c r="A833" s="83"/>
      <c r="B833" s="82"/>
      <c r="C833" s="82"/>
      <c r="D833" s="82"/>
      <c r="E833" s="82"/>
      <c r="F833" s="83"/>
      <c r="G833" s="83"/>
      <c r="H833" s="83"/>
    </row>
    <row r="834" spans="1:8">
      <c r="A834" s="83"/>
      <c r="B834" s="82"/>
      <c r="C834" s="82"/>
      <c r="D834" s="82"/>
      <c r="E834" s="82"/>
      <c r="F834" s="83"/>
      <c r="G834" s="83"/>
      <c r="H834" s="83"/>
    </row>
    <row r="835" spans="1:8">
      <c r="A835" s="83"/>
      <c r="B835" s="82"/>
      <c r="C835" s="82"/>
      <c r="D835" s="82"/>
      <c r="E835" s="82"/>
      <c r="F835" s="83"/>
      <c r="G835" s="83"/>
      <c r="H835" s="83"/>
    </row>
    <row r="836" spans="1:8">
      <c r="A836" s="83"/>
      <c r="B836" s="82"/>
      <c r="C836" s="82"/>
      <c r="D836" s="82"/>
      <c r="E836" s="82"/>
      <c r="F836" s="83"/>
      <c r="G836" s="83"/>
      <c r="H836" s="83"/>
    </row>
    <row r="837" spans="1:8">
      <c r="A837" s="83"/>
      <c r="B837" s="82"/>
      <c r="C837" s="82"/>
      <c r="D837" s="82"/>
      <c r="E837" s="82"/>
      <c r="F837" s="83"/>
      <c r="G837" s="83"/>
      <c r="H837" s="83"/>
    </row>
    <row r="838" spans="1:8">
      <c r="A838" s="83"/>
      <c r="B838" s="82"/>
      <c r="C838" s="82"/>
      <c r="D838" s="82"/>
      <c r="E838" s="82"/>
      <c r="F838" s="83"/>
      <c r="G838" s="83"/>
      <c r="H838" s="83"/>
    </row>
    <row r="839" spans="1:8">
      <c r="A839" s="83"/>
      <c r="B839" s="82"/>
      <c r="C839" s="82"/>
      <c r="D839" s="82"/>
      <c r="E839" s="82"/>
      <c r="F839" s="83"/>
      <c r="G839" s="83"/>
      <c r="H839" s="83"/>
    </row>
    <row r="840" spans="1:8">
      <c r="A840" s="83"/>
      <c r="B840" s="82"/>
      <c r="C840" s="82"/>
      <c r="D840" s="82"/>
      <c r="E840" s="82"/>
      <c r="F840" s="83"/>
      <c r="G840" s="83"/>
      <c r="H840" s="83"/>
    </row>
    <row r="841" spans="1:8">
      <c r="A841" s="83"/>
      <c r="B841" s="82"/>
      <c r="C841" s="82"/>
      <c r="D841" s="82"/>
      <c r="E841" s="82"/>
      <c r="F841" s="83"/>
      <c r="G841" s="83"/>
      <c r="H841" s="83"/>
    </row>
    <row r="842" spans="1:8">
      <c r="A842" s="83"/>
      <c r="B842" s="82"/>
      <c r="C842" s="82"/>
      <c r="D842" s="82"/>
      <c r="E842" s="82"/>
      <c r="F842" s="83"/>
      <c r="G842" s="83"/>
      <c r="H842" s="83"/>
    </row>
    <row r="843" spans="1:8">
      <c r="A843" s="83"/>
      <c r="B843" s="82"/>
      <c r="C843" s="82"/>
      <c r="D843" s="82"/>
      <c r="E843" s="82"/>
      <c r="F843" s="83"/>
      <c r="G843" s="83"/>
      <c r="H843" s="83"/>
    </row>
    <row r="844" spans="1:8">
      <c r="A844" s="83"/>
      <c r="B844" s="82"/>
      <c r="C844" s="82"/>
      <c r="D844" s="82"/>
      <c r="E844" s="82"/>
      <c r="F844" s="83"/>
      <c r="G844" s="83"/>
      <c r="H844" s="83"/>
    </row>
    <row r="845" spans="1:8">
      <c r="A845" s="83"/>
      <c r="B845" s="82"/>
      <c r="C845" s="82"/>
      <c r="D845" s="82"/>
      <c r="E845" s="82"/>
      <c r="F845" s="83"/>
      <c r="G845" s="83"/>
      <c r="H845" s="83"/>
    </row>
    <row r="846" spans="1:8">
      <c r="A846" s="83"/>
      <c r="B846" s="82"/>
      <c r="C846" s="82"/>
      <c r="D846" s="82"/>
      <c r="E846" s="82"/>
      <c r="F846" s="83"/>
      <c r="G846" s="83"/>
      <c r="H846" s="83"/>
    </row>
    <row r="847" spans="1:8">
      <c r="A847" s="83"/>
      <c r="B847" s="82"/>
      <c r="C847" s="82"/>
      <c r="D847" s="82"/>
      <c r="E847" s="82"/>
      <c r="F847" s="83"/>
      <c r="G847" s="83"/>
      <c r="H847" s="83"/>
    </row>
    <row r="848" spans="1:8">
      <c r="A848" s="83"/>
      <c r="B848" s="82"/>
      <c r="C848" s="82"/>
      <c r="D848" s="82"/>
      <c r="E848" s="82"/>
      <c r="F848" s="83"/>
      <c r="G848" s="83"/>
      <c r="H848" s="83"/>
    </row>
    <row r="849" spans="1:8">
      <c r="A849" s="83"/>
      <c r="B849" s="82"/>
      <c r="C849" s="82"/>
      <c r="D849" s="82"/>
      <c r="E849" s="82"/>
      <c r="F849" s="83"/>
      <c r="G849" s="83"/>
      <c r="H849" s="83"/>
    </row>
    <row r="850" spans="1:8">
      <c r="A850" s="83"/>
      <c r="B850" s="82"/>
      <c r="C850" s="82"/>
      <c r="D850" s="82"/>
      <c r="E850" s="82"/>
      <c r="F850" s="83"/>
      <c r="G850" s="83"/>
      <c r="H850" s="83"/>
    </row>
    <row r="851" spans="1:8">
      <c r="A851" s="83"/>
      <c r="B851" s="82"/>
      <c r="C851" s="82"/>
      <c r="D851" s="82"/>
      <c r="E851" s="82"/>
      <c r="F851" s="83"/>
      <c r="G851" s="83"/>
      <c r="H851" s="83"/>
    </row>
    <row r="852" spans="1:8">
      <c r="A852" s="83"/>
      <c r="B852" s="82"/>
      <c r="C852" s="82"/>
      <c r="D852" s="82"/>
      <c r="E852" s="82"/>
      <c r="F852" s="83"/>
      <c r="G852" s="83"/>
      <c r="H852" s="83"/>
    </row>
    <row r="853" spans="1:8">
      <c r="A853" s="83"/>
      <c r="B853" s="82"/>
      <c r="C853" s="82"/>
      <c r="D853" s="82"/>
      <c r="E853" s="82"/>
      <c r="F853" s="83"/>
      <c r="G853" s="83"/>
      <c r="H853" s="83"/>
    </row>
    <row r="854" spans="1:8">
      <c r="A854" s="83"/>
      <c r="B854" s="82"/>
      <c r="C854" s="82"/>
      <c r="D854" s="82"/>
      <c r="E854" s="82"/>
      <c r="F854" s="83"/>
      <c r="G854" s="83"/>
      <c r="H854" s="83"/>
    </row>
    <row r="855" spans="1:8">
      <c r="A855" s="83"/>
      <c r="B855" s="82"/>
      <c r="C855" s="82"/>
      <c r="D855" s="82"/>
      <c r="E855" s="82"/>
      <c r="F855" s="83"/>
      <c r="G855" s="83"/>
      <c r="H855" s="83"/>
    </row>
    <row r="856" spans="1:8">
      <c r="A856" s="83"/>
      <c r="B856" s="82"/>
      <c r="C856" s="82"/>
      <c r="D856" s="82"/>
      <c r="E856" s="82"/>
      <c r="F856" s="83"/>
      <c r="G856" s="83"/>
      <c r="H856" s="83"/>
    </row>
    <row r="857" spans="1:8">
      <c r="A857" s="83"/>
      <c r="B857" s="82"/>
      <c r="C857" s="82"/>
      <c r="D857" s="82"/>
      <c r="E857" s="82"/>
      <c r="F857" s="83"/>
      <c r="G857" s="83"/>
      <c r="H857" s="83"/>
    </row>
    <row r="858" spans="1:8">
      <c r="A858" s="83"/>
      <c r="B858" s="82"/>
      <c r="C858" s="82"/>
      <c r="D858" s="82"/>
      <c r="E858" s="82"/>
      <c r="F858" s="83"/>
      <c r="G858" s="83"/>
      <c r="H858" s="83"/>
    </row>
    <row r="859" spans="1:8">
      <c r="A859" s="83"/>
      <c r="B859" s="82"/>
      <c r="C859" s="82"/>
      <c r="D859" s="82"/>
      <c r="E859" s="82"/>
      <c r="F859" s="83"/>
      <c r="G859" s="83"/>
      <c r="H859" s="83"/>
    </row>
    <row r="860" spans="1:8">
      <c r="A860" s="83"/>
      <c r="B860" s="82"/>
      <c r="C860" s="82"/>
      <c r="D860" s="82"/>
      <c r="E860" s="82"/>
      <c r="F860" s="83"/>
      <c r="G860" s="83"/>
      <c r="H860" s="83"/>
    </row>
    <row r="861" spans="1:8">
      <c r="A861" s="83"/>
      <c r="B861" s="82"/>
      <c r="C861" s="82"/>
      <c r="D861" s="82"/>
      <c r="E861" s="82"/>
      <c r="F861" s="83"/>
      <c r="G861" s="83"/>
      <c r="H861" s="83"/>
    </row>
    <row r="862" spans="1:8">
      <c r="A862" s="83"/>
      <c r="B862" s="82"/>
      <c r="C862" s="82"/>
      <c r="D862" s="82"/>
      <c r="E862" s="82"/>
      <c r="F862" s="83"/>
      <c r="G862" s="83"/>
      <c r="H862" s="83"/>
    </row>
    <row r="863" spans="1:8">
      <c r="A863" s="83"/>
      <c r="B863" s="82"/>
      <c r="C863" s="82"/>
      <c r="D863" s="82"/>
      <c r="E863" s="82"/>
      <c r="F863" s="83"/>
      <c r="G863" s="83"/>
      <c r="H863" s="83"/>
    </row>
    <row r="864" spans="1:8">
      <c r="A864" s="83"/>
      <c r="B864" s="82"/>
      <c r="C864" s="82"/>
      <c r="D864" s="82"/>
      <c r="E864" s="82"/>
      <c r="F864" s="83"/>
      <c r="G864" s="83"/>
      <c r="H864" s="83"/>
    </row>
    <row r="865" spans="1:8">
      <c r="A865" s="83"/>
      <c r="B865" s="82"/>
      <c r="C865" s="82"/>
      <c r="D865" s="82"/>
      <c r="E865" s="82"/>
      <c r="F865" s="83"/>
      <c r="G865" s="83"/>
      <c r="H865" s="83"/>
    </row>
    <row r="866" spans="1:8">
      <c r="A866" s="83"/>
      <c r="B866" s="82"/>
      <c r="C866" s="82"/>
      <c r="D866" s="82"/>
      <c r="E866" s="82"/>
      <c r="F866" s="83"/>
      <c r="G866" s="83"/>
      <c r="H866" s="83"/>
    </row>
    <row r="867" spans="1:8">
      <c r="A867" s="83"/>
      <c r="B867" s="82"/>
      <c r="C867" s="82"/>
      <c r="D867" s="82"/>
      <c r="E867" s="82"/>
      <c r="F867" s="83"/>
      <c r="G867" s="83"/>
      <c r="H867" s="83"/>
    </row>
    <row r="868" spans="1:8">
      <c r="A868" s="83"/>
      <c r="B868" s="82"/>
      <c r="C868" s="82"/>
      <c r="D868" s="82"/>
      <c r="E868" s="82"/>
      <c r="F868" s="83"/>
      <c r="G868" s="83"/>
      <c r="H868" s="83"/>
    </row>
    <row r="869" spans="1:8">
      <c r="A869" s="83"/>
      <c r="B869" s="82"/>
      <c r="C869" s="82"/>
      <c r="D869" s="82"/>
      <c r="E869" s="82"/>
      <c r="F869" s="83"/>
      <c r="G869" s="83"/>
      <c r="H869" s="83"/>
    </row>
    <row r="870" spans="1:8">
      <c r="A870" s="83"/>
      <c r="B870" s="82"/>
      <c r="C870" s="82"/>
      <c r="D870" s="82"/>
      <c r="E870" s="82"/>
      <c r="F870" s="83"/>
      <c r="G870" s="83"/>
      <c r="H870" s="83"/>
    </row>
    <row r="871" spans="1:8">
      <c r="A871" s="83"/>
      <c r="B871" s="82"/>
      <c r="C871" s="82"/>
      <c r="D871" s="82"/>
      <c r="E871" s="82"/>
      <c r="F871" s="83"/>
      <c r="G871" s="83"/>
      <c r="H871" s="83"/>
    </row>
    <row r="872" spans="1:8">
      <c r="A872" s="83"/>
      <c r="B872" s="82"/>
      <c r="C872" s="82"/>
      <c r="D872" s="82"/>
      <c r="E872" s="82"/>
      <c r="F872" s="83"/>
      <c r="G872" s="83"/>
      <c r="H872" s="83"/>
    </row>
    <row r="873" spans="1:8">
      <c r="A873" s="83"/>
      <c r="B873" s="82"/>
      <c r="C873" s="82"/>
      <c r="D873" s="82"/>
      <c r="E873" s="82"/>
      <c r="F873" s="83"/>
      <c r="G873" s="83"/>
      <c r="H873" s="83"/>
    </row>
    <row r="874" spans="1:8">
      <c r="A874" s="83"/>
      <c r="B874" s="82"/>
      <c r="C874" s="82"/>
      <c r="D874" s="82"/>
      <c r="E874" s="82"/>
      <c r="F874" s="83"/>
      <c r="G874" s="83"/>
      <c r="H874" s="83"/>
    </row>
    <row r="875" spans="1:8">
      <c r="A875" s="83"/>
      <c r="B875" s="82"/>
      <c r="C875" s="82"/>
      <c r="D875" s="82"/>
      <c r="E875" s="82"/>
      <c r="F875" s="83"/>
      <c r="G875" s="83"/>
      <c r="H875" s="83"/>
    </row>
    <row r="876" spans="1:8">
      <c r="A876" s="83"/>
      <c r="B876" s="82"/>
      <c r="C876" s="82"/>
      <c r="D876" s="82"/>
      <c r="E876" s="82"/>
      <c r="F876" s="83"/>
      <c r="G876" s="83"/>
      <c r="H876" s="83"/>
    </row>
    <row r="877" spans="1:8">
      <c r="A877" s="83"/>
      <c r="B877" s="82"/>
      <c r="C877" s="82"/>
      <c r="D877" s="82"/>
      <c r="E877" s="82"/>
      <c r="F877" s="83"/>
      <c r="G877" s="83"/>
      <c r="H877" s="83"/>
    </row>
    <row r="878" spans="1:8">
      <c r="A878" s="83"/>
      <c r="B878" s="82"/>
      <c r="C878" s="82"/>
      <c r="D878" s="82"/>
      <c r="E878" s="82"/>
      <c r="F878" s="83"/>
      <c r="G878" s="83"/>
      <c r="H878" s="83"/>
    </row>
    <row r="879" spans="1:8">
      <c r="A879" s="83"/>
      <c r="B879" s="82"/>
      <c r="C879" s="82"/>
      <c r="D879" s="82"/>
      <c r="E879" s="82"/>
      <c r="F879" s="83"/>
      <c r="G879" s="83"/>
      <c r="H879" s="83"/>
    </row>
    <row r="880" spans="1:8">
      <c r="A880" s="83"/>
      <c r="B880" s="82"/>
      <c r="C880" s="82"/>
      <c r="D880" s="82"/>
      <c r="E880" s="82"/>
      <c r="F880" s="83"/>
      <c r="G880" s="83"/>
      <c r="H880" s="83"/>
    </row>
    <row r="881" spans="1:8">
      <c r="A881" s="83"/>
      <c r="B881" s="82"/>
      <c r="C881" s="82"/>
      <c r="D881" s="82"/>
      <c r="E881" s="82"/>
      <c r="F881" s="83"/>
      <c r="G881" s="83"/>
      <c r="H881" s="83"/>
    </row>
    <row r="882" spans="1:8">
      <c r="A882" s="83"/>
      <c r="B882" s="82"/>
      <c r="C882" s="82"/>
      <c r="D882" s="82"/>
      <c r="E882" s="82"/>
      <c r="F882" s="83"/>
      <c r="G882" s="83"/>
      <c r="H882" s="83"/>
    </row>
    <row r="883" spans="1:8">
      <c r="A883" s="83"/>
      <c r="B883" s="82"/>
      <c r="C883" s="82"/>
      <c r="D883" s="82"/>
      <c r="E883" s="82"/>
      <c r="F883" s="83"/>
      <c r="G883" s="83"/>
      <c r="H883" s="83"/>
    </row>
    <row r="884" spans="1:8">
      <c r="A884" s="83"/>
      <c r="B884" s="82"/>
      <c r="C884" s="82"/>
      <c r="D884" s="82"/>
      <c r="E884" s="82"/>
      <c r="F884" s="83"/>
      <c r="G884" s="83"/>
      <c r="H884" s="83"/>
    </row>
    <row r="885" spans="1:8">
      <c r="A885" s="83"/>
      <c r="B885" s="82"/>
      <c r="C885" s="82"/>
      <c r="D885" s="82"/>
      <c r="E885" s="82"/>
      <c r="F885" s="83"/>
      <c r="G885" s="83"/>
      <c r="H885" s="83"/>
    </row>
    <row r="886" spans="1:8">
      <c r="A886" s="83"/>
      <c r="B886" s="82"/>
      <c r="C886" s="82"/>
      <c r="D886" s="82"/>
      <c r="E886" s="82"/>
      <c r="F886" s="83"/>
      <c r="G886" s="83"/>
      <c r="H886" s="83"/>
    </row>
    <row r="887" spans="1:8">
      <c r="A887" s="83"/>
      <c r="B887" s="82"/>
      <c r="C887" s="82"/>
      <c r="D887" s="82"/>
      <c r="E887" s="82"/>
      <c r="F887" s="83"/>
      <c r="G887" s="83"/>
      <c r="H887" s="83"/>
    </row>
    <row r="888" spans="1:8">
      <c r="A888" s="83"/>
      <c r="B888" s="82"/>
      <c r="C888" s="82"/>
      <c r="D888" s="82"/>
      <c r="E888" s="82"/>
      <c r="F888" s="83"/>
      <c r="G888" s="83"/>
      <c r="H888" s="83"/>
    </row>
    <row r="889" spans="1:8">
      <c r="A889" s="83"/>
      <c r="B889" s="82"/>
      <c r="C889" s="82"/>
      <c r="D889" s="82"/>
      <c r="E889" s="82"/>
      <c r="F889" s="83"/>
      <c r="G889" s="83"/>
      <c r="H889" s="83"/>
    </row>
    <row r="890" spans="1:8">
      <c r="A890" s="83"/>
      <c r="B890" s="82"/>
      <c r="C890" s="82"/>
      <c r="D890" s="82"/>
      <c r="E890" s="82"/>
      <c r="F890" s="83"/>
      <c r="G890" s="83"/>
      <c r="H890" s="83"/>
    </row>
    <row r="891" spans="1:8">
      <c r="A891" s="83"/>
      <c r="B891" s="82"/>
      <c r="C891" s="82"/>
      <c r="D891" s="82"/>
      <c r="E891" s="82"/>
      <c r="F891" s="83"/>
      <c r="G891" s="83"/>
      <c r="H891" s="83"/>
    </row>
    <row r="892" spans="1:8">
      <c r="A892" s="83"/>
      <c r="B892" s="82"/>
      <c r="C892" s="82"/>
      <c r="D892" s="82"/>
      <c r="E892" s="82"/>
      <c r="F892" s="83"/>
      <c r="G892" s="83"/>
      <c r="H892" s="83"/>
    </row>
    <row r="893" spans="1:8">
      <c r="A893" s="83"/>
      <c r="B893" s="82"/>
      <c r="C893" s="82"/>
      <c r="D893" s="82"/>
      <c r="E893" s="82"/>
      <c r="F893" s="83"/>
      <c r="G893" s="83"/>
      <c r="H893" s="83"/>
    </row>
  </sheetData>
  <mergeCells count="7">
    <mergeCell ref="G1:G2"/>
    <mergeCell ref="H1:H2"/>
    <mergeCell ref="B1:B2"/>
    <mergeCell ref="C1:C2"/>
    <mergeCell ref="D1:D2"/>
    <mergeCell ref="E1:E2"/>
    <mergeCell ref="F1:F2"/>
  </mergeCells>
  <conditionalFormatting sqref="C3:H30">
    <cfRule type="containsText" dxfId="16" priority="2" operator="containsText" text="Null">
      <formula>NOT(ISERROR(SEARCH(("Null"),(C3))))</formula>
    </cfRule>
    <cfRule type="containsText" dxfId="15" priority="3" operator="containsText" text="NA">
      <formula>NOT(ISERROR(SEARCH(("NA"),(C3))))</formula>
    </cfRule>
  </conditionalFormatting>
  <conditionalFormatting sqref="D3:D30">
    <cfRule type="colorScale" priority="4">
      <colorScale>
        <cfvo type="formula" val="1"/>
        <cfvo type="formula" val="3"/>
        <cfvo type="formula" val="5"/>
        <color rgb="FFE67C73"/>
        <color rgb="FFFFFFFF"/>
        <color rgb="FF57BB8A"/>
      </colorScale>
    </cfRule>
  </conditionalFormatting>
  <conditionalFormatting sqref="E3:E30">
    <cfRule type="colorScale" priority="6">
      <colorScale>
        <cfvo type="formula" val="1"/>
        <cfvo type="formula" val="3"/>
        <cfvo type="formula" val="5"/>
        <color rgb="FF57BB8A"/>
        <color rgb="FFFFFFFF"/>
        <color rgb="FFE67C73"/>
      </colorScale>
    </cfRule>
  </conditionalFormatting>
  <conditionalFormatting sqref="F3:F30">
    <cfRule type="colorScale" priority="7">
      <colorScale>
        <cfvo type="formula" val="1"/>
        <cfvo type="formula" val="3"/>
        <cfvo type="formula" val="5"/>
        <color rgb="FFE67C73"/>
        <color rgb="FFFFFFFF"/>
        <color rgb="FF57BB8A"/>
      </colorScale>
    </cfRule>
  </conditionalFormatting>
  <conditionalFormatting sqref="G3:G30">
    <cfRule type="colorScale" priority="5">
      <colorScale>
        <cfvo type="percentile" val="0"/>
        <cfvo type="percentile" val="50"/>
        <cfvo type="percentile" val="100"/>
        <color rgb="FF57BB8A"/>
        <color rgb="FFFFFFFF"/>
        <color rgb="FFE67C73"/>
      </colorScale>
    </cfRule>
  </conditionalFormatting>
  <conditionalFormatting sqref="H3:H30">
    <cfRule type="colorScale" priority="1">
      <colorScale>
        <cfvo type="percentile" val="0"/>
        <cfvo type="percentile" val="50"/>
        <cfvo type="percentile" val="100"/>
        <color rgb="FF6AA84F"/>
        <color rgb="FFFFFFFF"/>
        <color rgb="FFA61C00"/>
      </colorScale>
    </cfRule>
  </conditionalFormatting>
  <hyperlinks>
    <hyperlink ref="A1" r:id="rId1" xr:uid="{00000000-0004-0000-0700-000000000000}"/>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9FC5E8"/>
    <outlinePr summaryBelow="0" summaryRight="0"/>
  </sheetPr>
  <dimension ref="A1:AA1000"/>
  <sheetViews>
    <sheetView topLeftCell="G2" workbookViewId="0">
      <selection activeCell="H16" sqref="H16"/>
    </sheetView>
  </sheetViews>
  <sheetFormatPr baseColWidth="10" defaultColWidth="14.5" defaultRowHeight="15" customHeight="1"/>
  <cols>
    <col min="1" max="2" width="37.33203125" hidden="1" customWidth="1"/>
    <col min="3" max="3" width="49" hidden="1" customWidth="1"/>
    <col min="4" max="6" width="14.5" hidden="1"/>
    <col min="7" max="7" width="36.83203125" customWidth="1"/>
    <col min="8" max="8" width="157.6640625" customWidth="1"/>
    <col min="9" max="10" width="14.5" hidden="1"/>
  </cols>
  <sheetData>
    <row r="1" spans="1:27" ht="23.25" customHeight="1">
      <c r="A1" s="166" t="s">
        <v>271</v>
      </c>
      <c r="B1" s="166" t="s">
        <v>271</v>
      </c>
      <c r="C1" s="167" t="s">
        <v>272</v>
      </c>
      <c r="D1" s="168" t="s">
        <v>273</v>
      </c>
      <c r="E1" s="168" t="s">
        <v>273</v>
      </c>
      <c r="G1" s="169" t="str">
        <f ca="1">IFERROR(__xludf.DUMMYFUNCTION("QUERY(B:E, ""SELECT * ORDER BY D DESC, E ASC"", 1)"),"Course Name")</f>
        <v>Course Name</v>
      </c>
      <c r="H1" s="169" t="str">
        <f ca="1">IFERROR(__xludf.DUMMYFUNCTION("""COMPUTED_VALUE"""),"Feedback on the Course")</f>
        <v>Feedback on the Course</v>
      </c>
      <c r="I1" s="168" t="str">
        <f ca="1">IFERROR(__xludf.DUMMYFUNCTION("""COMPUTED_VALUE"""),"Filters")</f>
        <v>Filters</v>
      </c>
      <c r="J1" s="168" t="str">
        <f ca="1">IFERROR(__xludf.DUMMYFUNCTION("""COMPUTED_VALUE"""),"Filters")</f>
        <v>Filters</v>
      </c>
    </row>
    <row r="2" spans="1:27" ht="34">
      <c r="A2" s="170" t="str">
        <f t="shared" ref="A2:A189" ca="1" si="0">IFERROR(RIGHT(B2, LEN(B2) - FIND(" - ", B2) - 2),"")</f>
        <v/>
      </c>
      <c r="B2" s="171" t="str">
        <f t="shared" ref="B2:B256" ca="1" si="1">IFERROR(_xludf.IFS(
  NOT(ISBLANK(INDIRECT("'Outside Review Form Responses'!C" &amp; ROW()))), INDIRECT("'Outside Review Form Responses'!C" &amp; ROW())
),"")</f>
        <v/>
      </c>
      <c r="C2" s="171" t="str">
        <f t="shared" ref="C2:C256" ca="1" si="2">IF(ISBLANK(INDIRECT("'Outside Review Form Responses'!C" &amp; ROW())), "", INDIRECT("'Outside Review Form Responses'!J" &amp; ROW()))</f>
        <v/>
      </c>
      <c r="D2" s="172">
        <f t="shared" ref="D2:D229" ca="1" si="3">IF(TRIM(C2)="", 0, 1)</f>
        <v>0</v>
      </c>
      <c r="E2" s="172" t="s">
        <v>281</v>
      </c>
      <c r="F2" s="172"/>
      <c r="G2" s="173" t="str">
        <f ca="1">IFERROR(__xludf.DUMMYFUNCTION("""COMPUTED_VALUE"""),"DTSA 5001 - Probability Theory: Applications for Data Science")</f>
        <v>DTSA 5001 - Probability Theory: Applications for Data Science</v>
      </c>
      <c r="H2" s="174" t="str">
        <f ca="1">IFERROR(__xludf.DUMMYFUNCTION("""COMPUTED_VALUE"""),"The course is structured well. Probability theory is hard but the course doesn't make it any harder than it needs to be.")</f>
        <v>The course is structured well. Probability theory is hard but the course doesn't make it any harder than it needs to be.</v>
      </c>
      <c r="I2" s="172">
        <f ca="1">IFERROR(__xludf.DUMMYFUNCTION("""COMPUTED_VALUE"""),1)</f>
        <v>1</v>
      </c>
      <c r="J2" s="172">
        <f ca="1">IFERROR(__xludf.DUMMYFUNCTION("""COMPUTED_VALUE"""),3)</f>
        <v>3</v>
      </c>
      <c r="K2" s="172"/>
      <c r="L2" s="172"/>
      <c r="M2" s="172"/>
      <c r="N2" s="172"/>
      <c r="O2" s="172"/>
      <c r="P2" s="172"/>
      <c r="Q2" s="172"/>
      <c r="R2" s="172"/>
      <c r="S2" s="172"/>
      <c r="T2" s="172"/>
      <c r="U2" s="172"/>
      <c r="V2" s="172"/>
      <c r="W2" s="172"/>
      <c r="X2" s="172"/>
      <c r="Y2" s="172"/>
      <c r="Z2" s="172"/>
      <c r="AA2" s="172"/>
    </row>
    <row r="3" spans="1:27" ht="34">
      <c r="A3" s="170" t="str">
        <f t="shared" ca="1" si="0"/>
        <v/>
      </c>
      <c r="B3" s="171" t="str">
        <f t="shared" ca="1" si="1"/>
        <v/>
      </c>
      <c r="C3" s="171" t="str">
        <f t="shared" ca="1" si="2"/>
        <v/>
      </c>
      <c r="D3" s="172">
        <f t="shared" ca="1" si="3"/>
        <v>0</v>
      </c>
      <c r="E3" s="172" t="s">
        <v>281</v>
      </c>
      <c r="F3" s="172"/>
      <c r="G3" s="174" t="str">
        <f ca="1">IFERROR(__xludf.DUMMYFUNCTION("""COMPUTED_VALUE"""),"DTSA 5001 - Probability Theory: Applications for Data Science")</f>
        <v>DTSA 5001 - Probability Theory: Applications for Data Science</v>
      </c>
      <c r="H3" s="174" t="str">
        <f ca="1">IFERROR(__xludf.DUMMYFUNCTION("""COMPUTED_VALUE"""),"1. Some calculus and set theory 2. Some memorization required for exam but allowed to use formula sheet")</f>
        <v>1. Some calculus and set theory 2. Some memorization required for exam but allowed to use formula sheet</v>
      </c>
      <c r="I3" s="172">
        <f ca="1">IFERROR(__xludf.DUMMYFUNCTION("""COMPUTED_VALUE"""),1)</f>
        <v>1</v>
      </c>
      <c r="J3" s="172">
        <f ca="1">IFERROR(__xludf.DUMMYFUNCTION("""COMPUTED_VALUE"""),3)</f>
        <v>3</v>
      </c>
      <c r="K3" s="172"/>
      <c r="L3" s="172"/>
      <c r="M3" s="172"/>
      <c r="N3" s="172"/>
      <c r="O3" s="172"/>
      <c r="P3" s="172"/>
      <c r="Q3" s="172"/>
      <c r="R3" s="172"/>
      <c r="S3" s="172"/>
      <c r="T3" s="172"/>
      <c r="U3" s="172"/>
      <c r="V3" s="172"/>
      <c r="W3" s="172"/>
      <c r="X3" s="172"/>
      <c r="Y3" s="172"/>
      <c r="Z3" s="172"/>
      <c r="AA3" s="172"/>
    </row>
    <row r="4" spans="1:27" ht="34">
      <c r="A4" s="170" t="str">
        <f t="shared" ca="1" si="0"/>
        <v/>
      </c>
      <c r="B4" s="171" t="str">
        <f t="shared" ca="1" si="1"/>
        <v/>
      </c>
      <c r="C4" s="171" t="str">
        <f t="shared" ca="1" si="2"/>
        <v/>
      </c>
      <c r="D4" s="172">
        <f t="shared" ca="1" si="3"/>
        <v>0</v>
      </c>
      <c r="E4" s="172" t="s">
        <v>281</v>
      </c>
      <c r="F4" s="172"/>
      <c r="G4" s="174" t="str">
        <f ca="1">IFERROR(__xludf.DUMMYFUNCTION("""COMPUTED_VALUE"""),"DTSA 5001 - Probability Theory: Applications for Data Science")</f>
        <v>DTSA 5001 - Probability Theory: Applications for Data Science</v>
      </c>
      <c r="H4" s="174" t="str">
        <f ca="1">IFERROR(__xludf.DUMMYFUNCTION("""COMPUTED_VALUE"""),"Agree with another review: This is difficult, but not more than it needs to be. You should be extremely comfortable with calc before attempting this course: Brush up at least on derivatives, integrals, and series summation.")</f>
        <v>Agree with another review: This is difficult, but not more than it needs to be. You should be extremely comfortable with calc before attempting this course: Brush up at least on derivatives, integrals, and series summation.</v>
      </c>
      <c r="I4" s="172">
        <f ca="1">IFERROR(__xludf.DUMMYFUNCTION("""COMPUTED_VALUE"""),1)</f>
        <v>1</v>
      </c>
      <c r="J4" s="172">
        <f ca="1">IFERROR(__xludf.DUMMYFUNCTION("""COMPUTED_VALUE"""),3)</f>
        <v>3</v>
      </c>
      <c r="K4" s="172"/>
      <c r="L4" s="172"/>
      <c r="M4" s="172"/>
      <c r="N4" s="172"/>
      <c r="O4" s="172"/>
      <c r="P4" s="172"/>
      <c r="Q4" s="172"/>
      <c r="R4" s="172"/>
      <c r="S4" s="172"/>
      <c r="T4" s="172"/>
      <c r="U4" s="172"/>
      <c r="V4" s="172"/>
      <c r="W4" s="172"/>
      <c r="X4" s="172"/>
      <c r="Y4" s="172"/>
      <c r="Z4" s="172"/>
      <c r="AA4" s="172"/>
    </row>
    <row r="5" spans="1:27" ht="34">
      <c r="A5" s="170" t="str">
        <f t="shared" ca="1" si="0"/>
        <v/>
      </c>
      <c r="B5" s="171" t="str">
        <f t="shared" ca="1" si="1"/>
        <v/>
      </c>
      <c r="C5" s="171" t="str">
        <f t="shared" ca="1" si="2"/>
        <v/>
      </c>
      <c r="D5" s="172">
        <f t="shared" ca="1" si="3"/>
        <v>0</v>
      </c>
      <c r="E5" s="172" t="s">
        <v>281</v>
      </c>
      <c r="F5" s="172"/>
      <c r="G5" s="174" t="str">
        <f ca="1">IFERROR(__xludf.DUMMYFUNCTION("""COMPUTED_VALUE"""),"DTSA 5001 - Probability Theory: Applications for Data Science")</f>
        <v>DTSA 5001 - Probability Theory: Applications for Data Science</v>
      </c>
      <c r="H5" s="174" t="str">
        <f ca="1">IFERROR(__xludf.DUMMYFUNCTION("""COMPUTED_VALUE"""),"Algebra, Calculus, R. Some of the reading did not fit well with the lectures. The first couple of weeks are difficult and unclear until reading into week 3. Not enough examples to help. ")</f>
        <v xml:space="preserve">Algebra, Calculus, R. Some of the reading did not fit well with the lectures. The first couple of weeks are difficult and unclear until reading into week 3. Not enough examples to help. </v>
      </c>
      <c r="I5" s="172">
        <f ca="1">IFERROR(__xludf.DUMMYFUNCTION("""COMPUTED_VALUE"""),1)</f>
        <v>1</v>
      </c>
      <c r="J5" s="172">
        <f ca="1">IFERROR(__xludf.DUMMYFUNCTION("""COMPUTED_VALUE"""),3)</f>
        <v>3</v>
      </c>
      <c r="K5" s="172"/>
      <c r="L5" s="172"/>
      <c r="M5" s="172"/>
      <c r="N5" s="172"/>
      <c r="O5" s="172"/>
      <c r="P5" s="172"/>
      <c r="Q5" s="172"/>
      <c r="R5" s="172"/>
      <c r="S5" s="172"/>
      <c r="T5" s="172"/>
      <c r="U5" s="172"/>
      <c r="V5" s="172"/>
      <c r="W5" s="172"/>
      <c r="X5" s="172"/>
      <c r="Y5" s="172"/>
      <c r="Z5" s="172"/>
      <c r="AA5" s="172"/>
    </row>
    <row r="6" spans="1:27" ht="34">
      <c r="A6" s="170" t="str">
        <f t="shared" ca="1" si="0"/>
        <v/>
      </c>
      <c r="B6" s="171" t="str">
        <f t="shared" ca="1" si="1"/>
        <v/>
      </c>
      <c r="C6" s="171" t="str">
        <f t="shared" ca="1" si="2"/>
        <v/>
      </c>
      <c r="D6" s="172">
        <f t="shared" ca="1" si="3"/>
        <v>0</v>
      </c>
      <c r="E6" s="172" t="s">
        <v>281</v>
      </c>
      <c r="F6" s="172"/>
      <c r="G6" s="174" t="str">
        <f ca="1">IFERROR(__xludf.DUMMYFUNCTION("""COMPUTED_VALUE"""),"DTSA 5001 - Probability Theory: Applications for Data Science")</f>
        <v>DTSA 5001 - Probability Theory: Applications for Data Science</v>
      </c>
      <c r="H6" s="174" t="str">
        <f ca="1">IFERROR(__xludf.DUMMYFUNCTION("""COMPUTED_VALUE"""),"I didn't love the ""cadence"" set between lectures, quizzes, and assignments. R, Calculus, Algebra, and additional resources were needed to complete the course.")</f>
        <v>I didn't love the "cadence" set between lectures, quizzes, and assignments. R, Calculus, Algebra, and additional resources were needed to complete the course.</v>
      </c>
      <c r="I6" s="172">
        <f ca="1">IFERROR(__xludf.DUMMYFUNCTION("""COMPUTED_VALUE"""),1)</f>
        <v>1</v>
      </c>
      <c r="J6" s="172">
        <f ca="1">IFERROR(__xludf.DUMMYFUNCTION("""COMPUTED_VALUE"""),3)</f>
        <v>3</v>
      </c>
      <c r="K6" s="172"/>
      <c r="L6" s="172"/>
      <c r="M6" s="172"/>
      <c r="N6" s="172"/>
      <c r="O6" s="172"/>
      <c r="P6" s="172"/>
      <c r="Q6" s="172"/>
      <c r="R6" s="172"/>
      <c r="S6" s="172"/>
      <c r="T6" s="172"/>
      <c r="U6" s="172"/>
      <c r="V6" s="172"/>
      <c r="W6" s="172"/>
      <c r="X6" s="172"/>
      <c r="Y6" s="172"/>
      <c r="Z6" s="172"/>
      <c r="AA6" s="172"/>
    </row>
    <row r="7" spans="1:27" ht="34">
      <c r="A7" s="170" t="str">
        <f t="shared" ca="1" si="0"/>
        <v/>
      </c>
      <c r="B7" s="171" t="str">
        <f t="shared" ca="1" si="1"/>
        <v/>
      </c>
      <c r="C7" s="171" t="str">
        <f t="shared" ca="1" si="2"/>
        <v/>
      </c>
      <c r="D7" s="172">
        <f t="shared" ca="1" si="3"/>
        <v>0</v>
      </c>
      <c r="E7" s="172" t="s">
        <v>281</v>
      </c>
      <c r="F7" s="172"/>
      <c r="G7" s="174" t="str">
        <f ca="1">IFERROR(__xludf.DUMMYFUNCTION("""COMPUTED_VALUE"""),"DTSA 5001 - Probability Theory: Applications for Data Science")</f>
        <v>DTSA 5001 - Probability Theory: Applications for Data Science</v>
      </c>
      <c r="H7" s="174" t="str">
        <f ca="1">IFERROR(__xludf.DUMMYFUNCTION("""COMPUTED_VALUE"""),"I had taken some statistics courses during my undergraduate studies, which provided a solid foundation for this course. The assignments are relatively easy if you grasp the lecture material. I also found the supplementary book to be quite helpful. If you "&amp;"master the homework assignments, you’ll find the exam to be very manageable.")</f>
        <v>I had taken some statistics courses during my undergraduate studies, which provided a solid foundation for this course. The assignments are relatively easy if you grasp the lecture material. I also found the supplementary book to be quite helpful. If you master the homework assignments, you’ll find the exam to be very manageable.</v>
      </c>
      <c r="I7" s="172">
        <f ca="1">IFERROR(__xludf.DUMMYFUNCTION("""COMPUTED_VALUE"""),1)</f>
        <v>1</v>
      </c>
      <c r="J7" s="172">
        <f ca="1">IFERROR(__xludf.DUMMYFUNCTION("""COMPUTED_VALUE"""),3)</f>
        <v>3</v>
      </c>
      <c r="K7" s="172"/>
      <c r="L7" s="172"/>
      <c r="M7" s="172"/>
      <c r="N7" s="172"/>
      <c r="O7" s="172"/>
      <c r="P7" s="172"/>
      <c r="Q7" s="172"/>
      <c r="R7" s="172"/>
      <c r="S7" s="172"/>
      <c r="T7" s="172"/>
      <c r="U7" s="172"/>
      <c r="V7" s="172"/>
      <c r="W7" s="172"/>
      <c r="X7" s="172"/>
      <c r="Y7" s="172"/>
      <c r="Z7" s="172"/>
      <c r="AA7" s="172"/>
    </row>
    <row r="8" spans="1:27" ht="34">
      <c r="A8" s="170" t="str">
        <f t="shared" ca="1" si="0"/>
        <v/>
      </c>
      <c r="B8" s="171" t="str">
        <f t="shared" ca="1" si="1"/>
        <v/>
      </c>
      <c r="C8" s="171" t="str">
        <f t="shared" ca="1" si="2"/>
        <v/>
      </c>
      <c r="D8" s="172">
        <f t="shared" ca="1" si="3"/>
        <v>0</v>
      </c>
      <c r="E8" s="172" t="s">
        <v>281</v>
      </c>
      <c r="F8" s="172"/>
      <c r="G8" s="174" t="str">
        <f ca="1">IFERROR(__xludf.DUMMYFUNCTION("""COMPUTED_VALUE"""),"DTSA 5002 - Statistical Inference for Estimation in Data Science")</f>
        <v>DTSA 5002 - Statistical Inference for Estimation in Data Science</v>
      </c>
      <c r="H8" s="174" t="str">
        <f ca="1">IFERROR(__xludf.DUMMYFUNCTION("""COMPUTED_VALUE"""),"This course is really without any experience in mathematical statistics. The professor does not fill in the blanks for a lot of the math, leaving you in the dark. The best advice for this class is to just practice practice practice.")</f>
        <v>This course is really without any experience in mathematical statistics. The professor does not fill in the blanks for a lot of the math, leaving you in the dark. The best advice for this class is to just practice practice practice.</v>
      </c>
      <c r="I8" s="172">
        <f ca="1">IFERROR(__xludf.DUMMYFUNCTION("""COMPUTED_VALUE"""),1)</f>
        <v>1</v>
      </c>
      <c r="J8" s="172">
        <f ca="1">IFERROR(__xludf.DUMMYFUNCTION("""COMPUTED_VALUE"""),4)</f>
        <v>4</v>
      </c>
      <c r="K8" s="172"/>
      <c r="L8" s="172"/>
      <c r="M8" s="172"/>
      <c r="N8" s="172"/>
      <c r="O8" s="172"/>
      <c r="P8" s="172"/>
      <c r="Q8" s="172"/>
      <c r="R8" s="172"/>
      <c r="S8" s="172"/>
      <c r="T8" s="172"/>
      <c r="U8" s="172"/>
      <c r="V8" s="172"/>
      <c r="W8" s="172"/>
      <c r="X8" s="172"/>
      <c r="Y8" s="172"/>
      <c r="Z8" s="172"/>
      <c r="AA8" s="172"/>
    </row>
    <row r="9" spans="1:27" ht="34">
      <c r="A9" s="170" t="str">
        <f t="shared" ca="1" si="0"/>
        <v/>
      </c>
      <c r="B9" s="171" t="str">
        <f t="shared" ca="1" si="1"/>
        <v/>
      </c>
      <c r="C9" s="171" t="str">
        <f t="shared" ca="1" si="2"/>
        <v/>
      </c>
      <c r="D9" s="172">
        <f t="shared" ca="1" si="3"/>
        <v>0</v>
      </c>
      <c r="E9" s="172" t="s">
        <v>281</v>
      </c>
      <c r="F9" s="172"/>
      <c r="G9" s="174" t="str">
        <f ca="1">IFERROR(__xludf.DUMMYFUNCTION("""COMPUTED_VALUE"""),"DTSA 5002 - Statistical Inference for Estimation in Data Science")</f>
        <v>DTSA 5002 - Statistical Inference for Estimation in Data Science</v>
      </c>
      <c r="H9" s="174" t="str">
        <f ca="1">IFERROR(__xludf.DUMMYFUNCTION("""COMPUTED_VALUE"""),"Compared with other courses, this and next statistics course is proctored &amp; one-time exam. You need to be prepared if you want higher grade.")</f>
        <v>Compared with other courses, this and next statistics course is proctored &amp; one-time exam. You need to be prepared if you want higher grade.</v>
      </c>
      <c r="I9" s="172">
        <f ca="1">IFERROR(__xludf.DUMMYFUNCTION("""COMPUTED_VALUE"""),1)</f>
        <v>1</v>
      </c>
      <c r="J9" s="172">
        <f ca="1">IFERROR(__xludf.DUMMYFUNCTION("""COMPUTED_VALUE"""),4)</f>
        <v>4</v>
      </c>
      <c r="K9" s="172"/>
      <c r="L9" s="172"/>
      <c r="M9" s="172"/>
      <c r="N9" s="172"/>
      <c r="O9" s="172"/>
      <c r="P9" s="172"/>
      <c r="Q9" s="172"/>
      <c r="R9" s="172"/>
      <c r="S9" s="172"/>
      <c r="T9" s="172"/>
      <c r="U9" s="172"/>
      <c r="V9" s="172"/>
      <c r="W9" s="172"/>
      <c r="X9" s="172"/>
      <c r="Y9" s="172"/>
      <c r="Z9" s="172"/>
      <c r="AA9" s="172"/>
    </row>
    <row r="10" spans="1:27" ht="34">
      <c r="A10" s="170" t="str">
        <f t="shared" ca="1" si="0"/>
        <v/>
      </c>
      <c r="B10" s="171" t="str">
        <f t="shared" ca="1" si="1"/>
        <v/>
      </c>
      <c r="C10" s="171" t="str">
        <f t="shared" ca="1" si="2"/>
        <v/>
      </c>
      <c r="D10" s="172">
        <f t="shared" ca="1" si="3"/>
        <v>0</v>
      </c>
      <c r="E10" s="172" t="s">
        <v>281</v>
      </c>
      <c r="F10" s="172"/>
      <c r="G10" s="174" t="str">
        <f ca="1">IFERROR(__xludf.DUMMYFUNCTION("""COMPUTED_VALUE"""),"DTSA 5002 - Statistical Inference for Estimation in Data Science")</f>
        <v>DTSA 5002 - Statistical Inference for Estimation in Data Science</v>
      </c>
      <c r="H10" s="174" t="str">
        <f ca="1">IFERROR(__xludf.DUMMYFUNCTION("""COMPUTED_VALUE"""),"1. The first probability course in the pathway 2. Final exam is tough, requires memorizing formulas not on the formula sheet")</f>
        <v>1. The first probability course in the pathway 2. Final exam is tough, requires memorizing formulas not on the formula sheet</v>
      </c>
      <c r="I10" s="172">
        <f ca="1">IFERROR(__xludf.DUMMYFUNCTION("""COMPUTED_VALUE"""),1)</f>
        <v>1</v>
      </c>
      <c r="J10" s="172">
        <f ca="1">IFERROR(__xludf.DUMMYFUNCTION("""COMPUTED_VALUE"""),4)</f>
        <v>4</v>
      </c>
      <c r="K10" s="172"/>
      <c r="L10" s="172"/>
      <c r="M10" s="172"/>
      <c r="N10" s="172"/>
      <c r="O10" s="172"/>
      <c r="P10" s="172"/>
      <c r="Q10" s="172"/>
      <c r="R10" s="172"/>
      <c r="S10" s="172"/>
      <c r="T10" s="172"/>
      <c r="U10" s="172"/>
      <c r="V10" s="172"/>
      <c r="W10" s="172"/>
      <c r="X10" s="172"/>
      <c r="Y10" s="172"/>
      <c r="Z10" s="172"/>
      <c r="AA10" s="172"/>
    </row>
    <row r="11" spans="1:27" ht="51">
      <c r="A11" s="170" t="str">
        <f t="shared" ca="1" si="0"/>
        <v/>
      </c>
      <c r="B11" s="171" t="str">
        <f t="shared" ca="1" si="1"/>
        <v/>
      </c>
      <c r="C11" s="171" t="str">
        <f t="shared" ca="1" si="2"/>
        <v/>
      </c>
      <c r="D11" s="172">
        <f t="shared" ca="1" si="3"/>
        <v>0</v>
      </c>
      <c r="E11" s="172" t="s">
        <v>281</v>
      </c>
      <c r="F11" s="172"/>
      <c r="G11" s="174" t="str">
        <f ca="1">IFERROR(__xludf.DUMMYFUNCTION("""COMPUTED_VALUE"""),"DTSA 5002 - Statistical Inference for Estimation in Data Science")</f>
        <v>DTSA 5002 - Statistical Inference for Estimation in Data Science</v>
      </c>
      <c r="H11" s="174" t="str">
        <f ca="1">IFERROR(__xludf.DUMMYFUNCTION("""COMPUTED_VALUE"""),"This is probably the hardest class I've ever taken, but the good news is that you probably only need to earn a C if you're taking it as an outside elective. The professor is pretty good, but she will not walk you through every step most of the time, so yo"&amp;"u should be extremely comfortable with calculus before attempting. There's a lot of derivatives and integrals, as well as some unintuitive series manipulations.")</f>
        <v>This is probably the hardest class I've ever taken, but the good news is that you probably only need to earn a C if you're taking it as an outside elective. The professor is pretty good, but she will not walk you through every step most of the time, so you should be extremely comfortable with calculus before attempting. There's a lot of derivatives and integrals, as well as some unintuitive series manipulations.</v>
      </c>
      <c r="I11" s="172">
        <f ca="1">IFERROR(__xludf.DUMMYFUNCTION("""COMPUTED_VALUE"""),1)</f>
        <v>1</v>
      </c>
      <c r="J11" s="172">
        <f ca="1">IFERROR(__xludf.DUMMYFUNCTION("""COMPUTED_VALUE"""),4)</f>
        <v>4</v>
      </c>
      <c r="K11" s="172"/>
      <c r="L11" s="172"/>
      <c r="M11" s="172"/>
      <c r="N11" s="172"/>
      <c r="O11" s="172"/>
      <c r="P11" s="172"/>
      <c r="Q11" s="172"/>
      <c r="R11" s="172"/>
      <c r="S11" s="172"/>
      <c r="T11" s="172"/>
      <c r="U11" s="172"/>
      <c r="V11" s="172"/>
      <c r="W11" s="172"/>
      <c r="X11" s="172"/>
      <c r="Y11" s="172"/>
      <c r="Z11" s="172"/>
      <c r="AA11" s="172"/>
    </row>
    <row r="12" spans="1:27" ht="51">
      <c r="A12" s="170" t="str">
        <f t="shared" ca="1" si="0"/>
        <v/>
      </c>
      <c r="B12" s="171" t="str">
        <f t="shared" ca="1" si="1"/>
        <v/>
      </c>
      <c r="C12" s="171" t="str">
        <f t="shared" ca="1" si="2"/>
        <v/>
      </c>
      <c r="D12" s="172">
        <f t="shared" ca="1" si="3"/>
        <v>0</v>
      </c>
      <c r="E12" s="172" t="s">
        <v>281</v>
      </c>
      <c r="F12" s="172"/>
      <c r="G12" s="174" t="str">
        <f ca="1">IFERROR(__xludf.DUMMYFUNCTION("""COMPUTED_VALUE"""),"DTSA 5003 - Statistical Inference &amp; Hypothesis Testing in Data Science Applications")</f>
        <v>DTSA 5003 - Statistical Inference &amp; Hypothesis Testing in Data Science Applications</v>
      </c>
      <c r="H12" s="174" t="str">
        <f ca="1">IFERROR(__xludf.DUMMYFUNCTION("""COMPUTED_VALUE"""),"This course isn't too bad if you already took DTSA 5002 as it goes over that content and then builds on top of it. I feel as though the course could have focused on more important aspects of hypothesis testing rather than so much on MLE's. Hypothesis test"&amp;"ing is the backbone of modern day statistics and this course won't leave you with much confidence to go out and do your own hypothesis testing.")</f>
        <v>This course isn't too bad if you already took DTSA 5002 as it goes over that content and then builds on top of it. I feel as though the course could have focused on more important aspects of hypothesis testing rather than so much on MLE's. Hypothesis testing is the backbone of modern day statistics and this course won't leave you with much confidence to go out and do your own hypothesis testing.</v>
      </c>
      <c r="I12" s="172">
        <f ca="1">IFERROR(__xludf.DUMMYFUNCTION("""COMPUTED_VALUE"""),1)</f>
        <v>1</v>
      </c>
      <c r="J12" s="172">
        <f ca="1">IFERROR(__xludf.DUMMYFUNCTION("""COMPUTED_VALUE"""),5)</f>
        <v>5</v>
      </c>
      <c r="K12" s="172"/>
      <c r="L12" s="172"/>
      <c r="M12" s="172"/>
      <c r="N12" s="172"/>
      <c r="O12" s="172"/>
      <c r="P12" s="172"/>
      <c r="Q12" s="172"/>
      <c r="R12" s="172"/>
      <c r="S12" s="172"/>
      <c r="T12" s="172"/>
      <c r="U12" s="172"/>
      <c r="V12" s="172"/>
      <c r="W12" s="172"/>
      <c r="X12" s="172"/>
      <c r="Y12" s="172"/>
      <c r="Z12" s="172"/>
      <c r="AA12" s="172"/>
    </row>
    <row r="13" spans="1:27" ht="68">
      <c r="A13" s="170" t="str">
        <f t="shared" ca="1" si="0"/>
        <v/>
      </c>
      <c r="B13" s="171" t="str">
        <f t="shared" ca="1" si="1"/>
        <v/>
      </c>
      <c r="C13" s="171" t="str">
        <f t="shared" ca="1" si="2"/>
        <v>None</v>
      </c>
      <c r="D13" s="172">
        <f t="shared" ca="1" si="3"/>
        <v>1</v>
      </c>
      <c r="E13" s="172">
        <v>9</v>
      </c>
      <c r="F13" s="172"/>
      <c r="G13" s="174" t="str">
        <f ca="1">IFERROR(__xludf.DUMMYFUNCTION("""COMPUTED_VALUE"""),"DTSA 5003 - Statistical Inference &amp; Hypothesis Testing in Data Science Applications")</f>
        <v>DTSA 5003 - Statistical Inference &amp; Hypothesis Testing in Data Science Applications</v>
      </c>
      <c r="H13" s="174" t="str">
        <f ca="1">IFERROR(__xludf.DUMMYFUNCTION("""COMPUTED_VALUE"""),"5003 builds on 5002, so a lot of the material is review, and showing you what else you can do with that knowledge. This is probably the easiest of the 3 stats courses -- or at least, it will be by the time you get to it. It's still reasonably challenging,"&amp;" and there are a lot of formulas you'll have to memorize, but there's much less need to derive formulas for yourself like you had in 5002. I actually recommend doing both 5002 and 5003 non-credit before attempting the final on 5002, because you will get a"&amp;" lot of extra practice with the concepts from that course in 5003.")</f>
        <v>5003 builds on 5002, so a lot of the material is review, and showing you what else you can do with that knowledge. This is probably the easiest of the 3 stats courses -- or at least, it will be by the time you get to it. It's still reasonably challenging, and there are a lot of formulas you'll have to memorize, but there's much less need to derive formulas for yourself like you had in 5002. I actually recommend doing both 5002 and 5003 non-credit before attempting the final on 5002, because you will get a lot of extra practice with the concepts from that course in 5003.</v>
      </c>
      <c r="I13" s="172">
        <f ca="1">IFERROR(__xludf.DUMMYFUNCTION("""COMPUTED_VALUE"""),1)</f>
        <v>1</v>
      </c>
      <c r="J13" s="172">
        <f ca="1">IFERROR(__xludf.DUMMYFUNCTION("""COMPUTED_VALUE"""),5)</f>
        <v>5</v>
      </c>
      <c r="K13" s="172"/>
      <c r="L13" s="172"/>
      <c r="M13" s="172"/>
      <c r="N13" s="172"/>
      <c r="O13" s="172"/>
      <c r="P13" s="172"/>
      <c r="Q13" s="172"/>
      <c r="R13" s="172"/>
      <c r="S13" s="172"/>
      <c r="T13" s="172"/>
      <c r="U13" s="172"/>
      <c r="V13" s="172"/>
      <c r="W13" s="172"/>
      <c r="X13" s="172"/>
      <c r="Y13" s="172"/>
      <c r="Z13" s="172"/>
      <c r="AA13" s="172"/>
    </row>
    <row r="14" spans="1:27" ht="17">
      <c r="A14" s="170" t="str">
        <f t="shared" ca="1" si="0"/>
        <v/>
      </c>
      <c r="B14" s="171" t="str">
        <f t="shared" ca="1" si="1"/>
        <v/>
      </c>
      <c r="C14" s="171" t="str">
        <f t="shared" ca="1" si="2"/>
        <v>Quite Good</v>
      </c>
      <c r="D14" s="172">
        <f t="shared" ca="1" si="3"/>
        <v>1</v>
      </c>
      <c r="E14" s="172">
        <v>23</v>
      </c>
      <c r="F14" s="172"/>
      <c r="G14" s="174" t="str">
        <f ca="1">IFERROR(__xludf.DUMMYFUNCTION("""COMPUTED_VALUE"""),"DTSA 5301 - Data Science as a Field")</f>
        <v>DTSA 5301 - Data Science as a Field</v>
      </c>
      <c r="H14" s="174" t="str">
        <f ca="1">IFERROR(__xludf.DUMMYFUNCTION("""COMPUTED_VALUE"""),"None")</f>
        <v>None</v>
      </c>
      <c r="I14" s="172">
        <f ca="1">IFERROR(__xludf.DUMMYFUNCTION("""COMPUTED_VALUE"""),1)</f>
        <v>1</v>
      </c>
      <c r="J14" s="172">
        <f ca="1">IFERROR(__xludf.DUMMYFUNCTION("""COMPUTED_VALUE"""),9)</f>
        <v>9</v>
      </c>
      <c r="K14" s="172"/>
      <c r="L14" s="172"/>
      <c r="M14" s="172"/>
      <c r="N14" s="172"/>
      <c r="O14" s="172"/>
      <c r="P14" s="172"/>
      <c r="Q14" s="172"/>
      <c r="R14" s="172"/>
      <c r="S14" s="172"/>
      <c r="T14" s="172"/>
      <c r="U14" s="172"/>
      <c r="V14" s="172"/>
      <c r="W14" s="172"/>
      <c r="X14" s="172"/>
      <c r="Y14" s="172"/>
      <c r="Z14" s="172"/>
      <c r="AA14" s="172"/>
    </row>
    <row r="15" spans="1:27" ht="34">
      <c r="A15" s="170" t="str">
        <f t="shared" ca="1" si="0"/>
        <v/>
      </c>
      <c r="B15" s="171" t="str">
        <f t="shared" ca="1" si="1"/>
        <v/>
      </c>
      <c r="C15" s="171" t="str">
        <f t="shared" ca="1" si="2"/>
        <v/>
      </c>
      <c r="D15" s="172">
        <f t="shared" ca="1" si="3"/>
        <v>0</v>
      </c>
      <c r="E15" s="172" t="s">
        <v>281</v>
      </c>
      <c r="F15" s="172"/>
      <c r="G15" s="174" t="str">
        <f ca="1">IFERROR(__xludf.DUMMYFUNCTION("""COMPUTED_VALUE"""),"DTSA 5301 - Data Science as a Field")</f>
        <v>DTSA 5301 - Data Science as a Field</v>
      </c>
      <c r="H15" s="174" t="str">
        <f ca="1">IFERROR(__xludf.DUMMYFUNCTION("""COMPUTED_VALUE"""),"This course does not meet the expectations of a master’s level curriculum. The content could have been effectively covered in just 30 minutes as part of another course. I invested a significant amount of time on the project, but it doesn’t seem like it re"&amp;"ceived a thorough review.")</f>
        <v>This course does not meet the expectations of a master’s level curriculum. The content could have been effectively covered in just 30 minutes as part of another course. I invested a significant amount of time on the project, but it doesn’t seem like it received a thorough review.</v>
      </c>
      <c r="I15" s="172">
        <f ca="1">IFERROR(__xludf.DUMMYFUNCTION("""COMPUTED_VALUE"""),1)</f>
        <v>1</v>
      </c>
      <c r="J15" s="172">
        <f ca="1">IFERROR(__xludf.DUMMYFUNCTION("""COMPUTED_VALUE"""),9)</f>
        <v>9</v>
      </c>
      <c r="K15" s="172"/>
      <c r="L15" s="172"/>
      <c r="M15" s="172"/>
      <c r="N15" s="172"/>
      <c r="O15" s="172"/>
      <c r="P15" s="172"/>
      <c r="Q15" s="172"/>
      <c r="R15" s="172"/>
      <c r="S15" s="172"/>
      <c r="T15" s="172"/>
      <c r="U15" s="172"/>
      <c r="V15" s="172"/>
      <c r="W15" s="172"/>
      <c r="X15" s="172"/>
      <c r="Y15" s="172"/>
      <c r="Z15" s="172"/>
      <c r="AA15" s="172"/>
    </row>
    <row r="16" spans="1:27" ht="34">
      <c r="A16" s="170" t="str">
        <f t="shared" ca="1" si="0"/>
        <v/>
      </c>
      <c r="B16" s="171" t="str">
        <f t="shared" ca="1" si="1"/>
        <v/>
      </c>
      <c r="C16" s="171" t="str">
        <f t="shared" ca="1" si="2"/>
        <v/>
      </c>
      <c r="D16" s="172">
        <f t="shared" ca="1" si="3"/>
        <v>0</v>
      </c>
      <c r="E16" s="172" t="s">
        <v>281</v>
      </c>
      <c r="F16" s="172"/>
      <c r="G16" s="174" t="str">
        <f ca="1">IFERROR(__xludf.DUMMYFUNCTION("""COMPUTED_VALUE"""),"DTSA 5011 - Modern Regression Analysis in R")</f>
        <v>DTSA 5011 - Modern Regression Analysis in R</v>
      </c>
      <c r="H16" s="174" t="str">
        <f ca="1">IFERROR(__xludf.DUMMYFUNCTION("""COMPUTED_VALUE"""),"This course does a really good job at going over the basics of regression. The projects and lectures are very relevant not just to the course but also for applying the knowledge outside of the class. One should be able to fully grasp the course's concepts"&amp;" with the course content alone.")</f>
        <v>This course does a really good job at going over the basics of regression. The projects and lectures are very relevant not just to the course but also for applying the knowledge outside of the class. One should be able to fully grasp the course's concepts with the course content alone.</v>
      </c>
      <c r="I16" s="172">
        <f ca="1">IFERROR(__xludf.DUMMYFUNCTION("""COMPUTED_VALUE"""),1)</f>
        <v>1</v>
      </c>
      <c r="J16" s="172">
        <f ca="1">IFERROR(__xludf.DUMMYFUNCTION("""COMPUTED_VALUE"""),13)</f>
        <v>13</v>
      </c>
      <c r="K16" s="172"/>
      <c r="L16" s="172"/>
      <c r="M16" s="172"/>
      <c r="N16" s="172"/>
      <c r="O16" s="172"/>
      <c r="P16" s="172"/>
      <c r="Q16" s="172"/>
      <c r="R16" s="172"/>
      <c r="S16" s="172"/>
      <c r="T16" s="172"/>
      <c r="U16" s="172"/>
      <c r="V16" s="172"/>
      <c r="W16" s="172"/>
      <c r="X16" s="172"/>
      <c r="Y16" s="172"/>
      <c r="Z16" s="172"/>
      <c r="AA16" s="172"/>
    </row>
    <row r="17" spans="1:27" ht="34">
      <c r="A17" s="170" t="str">
        <f t="shared" ca="1" si="0"/>
        <v/>
      </c>
      <c r="B17" s="171" t="str">
        <f t="shared" ca="1" si="1"/>
        <v/>
      </c>
      <c r="C17" s="171" t="str">
        <f t="shared" ca="1" si="2"/>
        <v/>
      </c>
      <c r="D17" s="172">
        <f t="shared" ca="1" si="3"/>
        <v>0</v>
      </c>
      <c r="E17" s="172" t="s">
        <v>281</v>
      </c>
      <c r="F17" s="172"/>
      <c r="G17" s="174" t="str">
        <f ca="1">IFERROR(__xludf.DUMMYFUNCTION("""COMPUTED_VALUE"""),"DTSA 5733 - Relational Database Design")</f>
        <v>DTSA 5733 - Relational Database Design</v>
      </c>
      <c r="H17" s="174" t="str">
        <f ca="1">IFERROR(__xludf.DUMMYFUNCTION("""COMPUTED_VALUE"""),"Relatively chill content. And the prof teaches well.")</f>
        <v>Relatively chill content. And the prof teaches well.</v>
      </c>
      <c r="I17" s="172">
        <f ca="1">IFERROR(__xludf.DUMMYFUNCTION("""COMPUTED_VALUE"""),1)</f>
        <v>1</v>
      </c>
      <c r="J17" s="172">
        <f ca="1">IFERROR(__xludf.DUMMYFUNCTION("""COMPUTED_VALUE"""),22)</f>
        <v>22</v>
      </c>
      <c r="K17" s="172"/>
      <c r="L17" s="172"/>
      <c r="M17" s="172"/>
      <c r="N17" s="172"/>
      <c r="O17" s="172"/>
      <c r="P17" s="172"/>
      <c r="Q17" s="172"/>
      <c r="R17" s="172"/>
      <c r="S17" s="172"/>
      <c r="T17" s="172"/>
      <c r="U17" s="172"/>
      <c r="V17" s="172"/>
      <c r="W17" s="172"/>
      <c r="X17" s="172"/>
      <c r="Y17" s="172"/>
      <c r="Z17" s="172"/>
      <c r="AA17" s="172"/>
    </row>
    <row r="18" spans="1:27" ht="34">
      <c r="A18" s="170" t="str">
        <f t="shared" ca="1" si="0"/>
        <v/>
      </c>
      <c r="B18" s="171" t="str">
        <f t="shared" ca="1" si="1"/>
        <v/>
      </c>
      <c r="C18" s="171" t="str">
        <f t="shared" ca="1" si="2"/>
        <v/>
      </c>
      <c r="D18" s="172">
        <f t="shared" ca="1" si="3"/>
        <v>0</v>
      </c>
      <c r="E18" s="172" t="s">
        <v>281</v>
      </c>
      <c r="F18" s="172"/>
      <c r="G18" s="174" t="str">
        <f ca="1">IFERROR(__xludf.DUMMYFUNCTION("""COMPUTED_VALUE"""),"DTSA 5734 - The Structured Query Language (SQL)")</f>
        <v>DTSA 5734 - The Structured Query Language (SQL)</v>
      </c>
      <c r="H18" s="174" t="str">
        <f ca="1">IFERROR(__xludf.DUMMYFUNCTION("""COMPUTED_VALUE"""),"Quite Good")</f>
        <v>Quite Good</v>
      </c>
      <c r="I18" s="172">
        <f ca="1">IFERROR(__xludf.DUMMYFUNCTION("""COMPUTED_VALUE"""),1)</f>
        <v>1</v>
      </c>
      <c r="J18" s="172">
        <f ca="1">IFERROR(__xludf.DUMMYFUNCTION("""COMPUTED_VALUE"""),23)</f>
        <v>23</v>
      </c>
      <c r="K18" s="172"/>
      <c r="L18" s="172"/>
      <c r="M18" s="172"/>
      <c r="N18" s="172"/>
      <c r="O18" s="172"/>
      <c r="P18" s="172"/>
      <c r="Q18" s="172"/>
      <c r="R18" s="172"/>
      <c r="S18" s="172"/>
      <c r="T18" s="172"/>
      <c r="U18" s="172"/>
      <c r="V18" s="172"/>
      <c r="W18" s="172"/>
      <c r="X18" s="172"/>
      <c r="Y18" s="172"/>
      <c r="Z18" s="172"/>
      <c r="AA18" s="172"/>
    </row>
    <row r="19" spans="1:27" ht="34">
      <c r="A19" s="170" t="str">
        <f t="shared" ca="1" si="0"/>
        <v/>
      </c>
      <c r="B19" s="171" t="str">
        <f t="shared" ca="1" si="1"/>
        <v/>
      </c>
      <c r="C19" s="171" t="str">
        <f t="shared" ca="1" si="2"/>
        <v/>
      </c>
      <c r="D19" s="172">
        <f t="shared" ca="1" si="3"/>
        <v>0</v>
      </c>
      <c r="E19" s="172" t="s">
        <v>281</v>
      </c>
      <c r="F19" s="172"/>
      <c r="G19" s="174" t="str">
        <f ca="1">IFERROR(__xludf.DUMMYFUNCTION("""COMPUTED_VALUE"""),"DTSA 5734 - The Structured Query Language (SQL)")</f>
        <v>DTSA 5734 - The Structured Query Language (SQL)</v>
      </c>
      <c r="H19" s="174" t="str">
        <f ca="1">IFERROR(__xludf.DUMMYFUNCTION("""COMPUTED_VALUE"""),"The content are relatively straightforward and assignments and exams are easy too.")</f>
        <v>The content are relatively straightforward and assignments and exams are easy too.</v>
      </c>
      <c r="I19" s="172">
        <f ca="1">IFERROR(__xludf.DUMMYFUNCTION("""COMPUTED_VALUE"""),1)</f>
        <v>1</v>
      </c>
      <c r="J19" s="172">
        <f ca="1">IFERROR(__xludf.DUMMYFUNCTION("""COMPUTED_VALUE"""),23)</f>
        <v>23</v>
      </c>
      <c r="K19" s="172"/>
      <c r="L19" s="172"/>
      <c r="M19" s="172"/>
      <c r="N19" s="172"/>
      <c r="O19" s="172"/>
      <c r="P19" s="172"/>
      <c r="Q19" s="172"/>
      <c r="R19" s="172"/>
      <c r="S19" s="172"/>
      <c r="T19" s="172"/>
      <c r="U19" s="172"/>
      <c r="V19" s="172"/>
      <c r="W19" s="172"/>
      <c r="X19" s="172"/>
      <c r="Y19" s="172"/>
      <c r="Z19" s="172"/>
      <c r="AA19" s="172"/>
    </row>
    <row r="20" spans="1:27" ht="68">
      <c r="A20" s="170" t="str">
        <f t="shared" ca="1" si="0"/>
        <v/>
      </c>
      <c r="B20" s="171" t="str">
        <f t="shared" ca="1" si="1"/>
        <v/>
      </c>
      <c r="C20" s="171" t="str">
        <f t="shared" ca="1" si="2"/>
        <v/>
      </c>
      <c r="D20" s="172">
        <f t="shared" ca="1" si="3"/>
        <v>0</v>
      </c>
      <c r="E20" s="172" t="s">
        <v>281</v>
      </c>
      <c r="F20" s="172"/>
      <c r="G20" s="174" t="str">
        <f ca="1">IFERROR(__xludf.DUMMYFUNCTION("""COMPUTED_VALUE"""),"DTSA 5734 - The Structured Query Language (SQL)")</f>
        <v>DTSA 5734 - The Structured Query Language (SQL)</v>
      </c>
      <c r="H20" s="174" t="str">
        <f ca="1">IFERROR(__xludf.DUMMYFUNCTION("""COMPUTED_VALUE"""),"This is about the same as an undergraduate SQL course with some maybe slightly more complicated queries.  If you have good SQL experience, you can speed run this with no video/reading content, but unfortunately you have to certify that you attempted the l"&amp;"abs and those take about half the course time.  Also the VM is terrible so I recommend installing postgres and finding a copy of the databases from the course.  This probably would have saved me a few hours of pain.  Without the VM I could have probably d"&amp;"one it in 6-8 hours.  If labs weren't required 3-5.")</f>
        <v>This is about the same as an undergraduate SQL course with some maybe slightly more complicated queries.  If you have good SQL experience, you can speed run this with no video/reading content, but unfortunately you have to certify that you attempted the labs and those take about half the course time.  Also the VM is terrible so I recommend installing postgres and finding a copy of the databases from the course.  This probably would have saved me a few hours of pain.  Without the VM I could have probably done it in 6-8 hours.  If labs weren't required 3-5.</v>
      </c>
      <c r="I20" s="172">
        <f ca="1">IFERROR(__xludf.DUMMYFUNCTION("""COMPUTED_VALUE"""),1)</f>
        <v>1</v>
      </c>
      <c r="J20" s="172">
        <f ca="1">IFERROR(__xludf.DUMMYFUNCTION("""COMPUTED_VALUE"""),23)</f>
        <v>23</v>
      </c>
      <c r="K20" s="172"/>
      <c r="L20" s="172"/>
      <c r="M20" s="172"/>
      <c r="N20" s="172"/>
      <c r="O20" s="172"/>
      <c r="P20" s="172"/>
      <c r="Q20" s="172"/>
      <c r="R20" s="172"/>
      <c r="S20" s="172"/>
      <c r="T20" s="172"/>
      <c r="U20" s="172"/>
      <c r="V20" s="172"/>
      <c r="W20" s="172"/>
      <c r="X20" s="172"/>
      <c r="Y20" s="172"/>
      <c r="Z20" s="172"/>
      <c r="AA20" s="172"/>
    </row>
    <row r="21" spans="1:27" ht="51">
      <c r="A21" s="170" t="str">
        <f t="shared" ca="1" si="0"/>
        <v/>
      </c>
      <c r="B21" s="171" t="str">
        <f t="shared" ca="1" si="1"/>
        <v/>
      </c>
      <c r="C21" s="171" t="str">
        <f t="shared" ca="1" si="2"/>
        <v/>
      </c>
      <c r="D21" s="172">
        <f t="shared" ca="1" si="3"/>
        <v>0</v>
      </c>
      <c r="E21" s="172" t="s">
        <v>281</v>
      </c>
      <c r="F21" s="172"/>
      <c r="G21" s="174" t="str">
        <f ca="1">IFERROR(__xludf.DUMMYFUNCTION("""COMPUTED_VALUE"""),"DTSA 5735 - Advanced Topics and Future Trends in Database Technologies")</f>
        <v>DTSA 5735 - Advanced Topics and Future Trends in Database Technologies</v>
      </c>
      <c r="H21" s="174" t="str">
        <f ca="1">IFERROR(__xludf.DUMMYFUNCTION("""COMPUTED_VALUE"""),"Honestly dont feel that this is required. Mostly concepts about the databases etc but no technical learning.")</f>
        <v>Honestly dont feel that this is required. Mostly concepts about the databases etc but no technical learning.</v>
      </c>
      <c r="I21" s="172">
        <f ca="1">IFERROR(__xludf.DUMMYFUNCTION("""COMPUTED_VALUE"""),1)</f>
        <v>1</v>
      </c>
      <c r="J21" s="172">
        <f ca="1">IFERROR(__xludf.DUMMYFUNCTION("""COMPUTED_VALUE"""),24)</f>
        <v>24</v>
      </c>
      <c r="K21" s="172"/>
      <c r="L21" s="172"/>
      <c r="M21" s="172"/>
      <c r="N21" s="172"/>
      <c r="O21" s="172"/>
      <c r="P21" s="172"/>
      <c r="Q21" s="172"/>
      <c r="R21" s="172"/>
      <c r="S21" s="172"/>
      <c r="T21" s="172"/>
      <c r="U21" s="172"/>
      <c r="V21" s="172"/>
      <c r="W21" s="172"/>
      <c r="X21" s="172"/>
      <c r="Y21" s="172"/>
      <c r="Z21" s="172"/>
      <c r="AA21" s="172"/>
    </row>
    <row r="22" spans="1:27" ht="16">
      <c r="A22" s="170" t="str">
        <f t="shared" ca="1" si="0"/>
        <v/>
      </c>
      <c r="B22" s="171" t="str">
        <f t="shared" ca="1" si="1"/>
        <v/>
      </c>
      <c r="C22" s="171" t="str">
        <f t="shared" ca="1" si="2"/>
        <v/>
      </c>
      <c r="D22" s="172">
        <f t="shared" ca="1" si="3"/>
        <v>0</v>
      </c>
      <c r="E22" s="172" t="s">
        <v>281</v>
      </c>
      <c r="F22" s="172"/>
      <c r="G22" s="174"/>
      <c r="H22" s="174"/>
      <c r="I22" s="172">
        <f ca="1">IFERROR(__xludf.DUMMYFUNCTION("""COMPUTED_VALUE"""),0)</f>
        <v>0</v>
      </c>
      <c r="J22" s="172"/>
      <c r="K22" s="172"/>
      <c r="L22" s="172"/>
      <c r="M22" s="172"/>
      <c r="N22" s="172"/>
      <c r="O22" s="172"/>
      <c r="P22" s="172"/>
      <c r="Q22" s="172"/>
      <c r="R22" s="172"/>
      <c r="S22" s="172"/>
      <c r="T22" s="172"/>
      <c r="U22" s="172"/>
      <c r="V22" s="172"/>
      <c r="W22" s="172"/>
      <c r="X22" s="172"/>
      <c r="Y22" s="172"/>
      <c r="Z22" s="172"/>
      <c r="AA22" s="172"/>
    </row>
    <row r="23" spans="1:27" ht="16">
      <c r="A23" s="170" t="str">
        <f t="shared" ca="1" si="0"/>
        <v/>
      </c>
      <c r="B23" s="171" t="str">
        <f t="shared" ca="1" si="1"/>
        <v/>
      </c>
      <c r="C23" s="171" t="str">
        <f t="shared" ca="1" si="2"/>
        <v/>
      </c>
      <c r="D23" s="172">
        <f t="shared" ca="1" si="3"/>
        <v>0</v>
      </c>
      <c r="E23" s="172" t="s">
        <v>281</v>
      </c>
      <c r="F23" s="172"/>
      <c r="G23" s="174"/>
      <c r="H23" s="174"/>
      <c r="I23" s="172">
        <f ca="1">IFERROR(__xludf.DUMMYFUNCTION("""COMPUTED_VALUE"""),0)</f>
        <v>0</v>
      </c>
      <c r="J23" s="172"/>
      <c r="K23" s="172"/>
      <c r="L23" s="172"/>
      <c r="M23" s="172"/>
      <c r="N23" s="172"/>
      <c r="O23" s="172"/>
      <c r="P23" s="172"/>
      <c r="Q23" s="172"/>
      <c r="R23" s="172"/>
      <c r="S23" s="172"/>
      <c r="T23" s="172"/>
      <c r="U23" s="172"/>
      <c r="V23" s="172"/>
      <c r="W23" s="172"/>
      <c r="X23" s="172"/>
      <c r="Y23" s="172"/>
      <c r="Z23" s="172"/>
      <c r="AA23" s="172"/>
    </row>
    <row r="24" spans="1:27" ht="16">
      <c r="A24" s="170" t="str">
        <f t="shared" ca="1" si="0"/>
        <v/>
      </c>
      <c r="B24" s="171" t="str">
        <f t="shared" ca="1" si="1"/>
        <v/>
      </c>
      <c r="C24" s="171" t="str">
        <f t="shared" ca="1" si="2"/>
        <v/>
      </c>
      <c r="D24" s="172">
        <f t="shared" ca="1" si="3"/>
        <v>0</v>
      </c>
      <c r="E24" s="172" t="s">
        <v>281</v>
      </c>
      <c r="F24" s="172"/>
      <c r="G24" s="174"/>
      <c r="H24" s="174"/>
      <c r="I24" s="172">
        <f ca="1">IFERROR(__xludf.DUMMYFUNCTION("""COMPUTED_VALUE"""),0)</f>
        <v>0</v>
      </c>
      <c r="J24" s="172"/>
      <c r="K24" s="172"/>
      <c r="L24" s="172"/>
      <c r="M24" s="172"/>
      <c r="N24" s="172"/>
      <c r="O24" s="172"/>
      <c r="P24" s="172"/>
      <c r="Q24" s="172"/>
      <c r="R24" s="172"/>
      <c r="S24" s="172"/>
      <c r="T24" s="172"/>
      <c r="U24" s="172"/>
      <c r="V24" s="172"/>
      <c r="W24" s="172"/>
      <c r="X24" s="172"/>
      <c r="Y24" s="172"/>
      <c r="Z24" s="172"/>
      <c r="AA24" s="172"/>
    </row>
    <row r="25" spans="1:27" ht="16">
      <c r="A25" s="170" t="str">
        <f t="shared" ca="1" si="0"/>
        <v/>
      </c>
      <c r="B25" s="171" t="str">
        <f t="shared" ca="1" si="1"/>
        <v/>
      </c>
      <c r="C25" s="171" t="str">
        <f t="shared" ca="1" si="2"/>
        <v/>
      </c>
      <c r="D25" s="172">
        <f t="shared" ca="1" si="3"/>
        <v>0</v>
      </c>
      <c r="E25" s="172" t="s">
        <v>281</v>
      </c>
      <c r="F25" s="172"/>
      <c r="G25" s="174"/>
      <c r="H25" s="174"/>
      <c r="I25" s="172">
        <f ca="1">IFERROR(__xludf.DUMMYFUNCTION("""COMPUTED_VALUE"""),0)</f>
        <v>0</v>
      </c>
      <c r="J25" s="172"/>
      <c r="K25" s="172"/>
      <c r="L25" s="172"/>
      <c r="M25" s="172"/>
      <c r="N25" s="172"/>
      <c r="O25" s="172"/>
      <c r="P25" s="172"/>
      <c r="Q25" s="172"/>
      <c r="R25" s="172"/>
      <c r="S25" s="172"/>
      <c r="T25" s="172"/>
      <c r="U25" s="172"/>
      <c r="V25" s="172"/>
      <c r="W25" s="172"/>
      <c r="X25" s="172"/>
      <c r="Y25" s="172"/>
      <c r="Z25" s="172"/>
      <c r="AA25" s="172"/>
    </row>
    <row r="26" spans="1:27" ht="16">
      <c r="A26" s="170" t="str">
        <f t="shared" ca="1" si="0"/>
        <v/>
      </c>
      <c r="B26" s="171" t="str">
        <f t="shared" ca="1" si="1"/>
        <v/>
      </c>
      <c r="C26" s="171">
        <f t="shared" ca="1" si="2"/>
        <v>0</v>
      </c>
      <c r="D26" s="172">
        <f t="shared" ca="1" si="3"/>
        <v>1</v>
      </c>
      <c r="E26" s="172">
        <v>3</v>
      </c>
      <c r="F26" s="172"/>
      <c r="G26" s="174"/>
      <c r="H26" s="174"/>
      <c r="I26" s="172">
        <f ca="1">IFERROR(__xludf.DUMMYFUNCTION("""COMPUTED_VALUE"""),0)</f>
        <v>0</v>
      </c>
      <c r="J26" s="172"/>
      <c r="K26" s="172"/>
      <c r="L26" s="172"/>
      <c r="M26" s="172"/>
      <c r="N26" s="172"/>
      <c r="O26" s="172"/>
      <c r="P26" s="172"/>
      <c r="Q26" s="172"/>
      <c r="R26" s="172"/>
      <c r="S26" s="172"/>
      <c r="T26" s="172"/>
      <c r="U26" s="172"/>
      <c r="V26" s="172"/>
      <c r="W26" s="172"/>
      <c r="X26" s="172"/>
      <c r="Y26" s="172"/>
      <c r="Z26" s="172"/>
      <c r="AA26" s="172"/>
    </row>
    <row r="27" spans="1:27" ht="16">
      <c r="A27" s="170" t="str">
        <f t="shared" ca="1" si="0"/>
        <v/>
      </c>
      <c r="B27" s="171" t="str">
        <f t="shared" ca="1" si="1"/>
        <v/>
      </c>
      <c r="C27" s="171" t="str">
        <f t="shared" ca="1" si="2"/>
        <v>Relatively chill content. And the prof teaches well.</v>
      </c>
      <c r="D27" s="172">
        <f t="shared" ca="1" si="3"/>
        <v>1</v>
      </c>
      <c r="E27" s="172">
        <v>22</v>
      </c>
      <c r="F27" s="172"/>
      <c r="G27" s="174"/>
      <c r="H27" s="174"/>
      <c r="I27" s="172">
        <f ca="1">IFERROR(__xludf.DUMMYFUNCTION("""COMPUTED_VALUE"""),0)</f>
        <v>0</v>
      </c>
      <c r="J27" s="172"/>
      <c r="K27" s="172"/>
      <c r="L27" s="172"/>
      <c r="M27" s="172"/>
      <c r="N27" s="172"/>
      <c r="O27" s="172"/>
      <c r="P27" s="172"/>
      <c r="Q27" s="172"/>
      <c r="R27" s="172"/>
      <c r="S27" s="172"/>
      <c r="T27" s="172"/>
      <c r="U27" s="172"/>
      <c r="V27" s="172"/>
      <c r="W27" s="172"/>
      <c r="X27" s="172"/>
      <c r="Y27" s="172"/>
      <c r="Z27" s="172"/>
      <c r="AA27" s="172"/>
    </row>
    <row r="28" spans="1:27" ht="16">
      <c r="A28" s="170" t="str">
        <f t="shared" ca="1" si="0"/>
        <v/>
      </c>
      <c r="B28" s="171" t="str">
        <f t="shared" ca="1" si="1"/>
        <v/>
      </c>
      <c r="C28" s="171" t="str">
        <f t="shared" ca="1" si="2"/>
        <v>The content are relatively straightforward and assignments and exams are easy too.</v>
      </c>
      <c r="D28" s="172">
        <f t="shared" ca="1" si="3"/>
        <v>1</v>
      </c>
      <c r="E28" s="172">
        <v>23</v>
      </c>
      <c r="F28" s="172"/>
      <c r="G28" s="174"/>
      <c r="H28" s="174"/>
      <c r="I28" s="172">
        <f ca="1">IFERROR(__xludf.DUMMYFUNCTION("""COMPUTED_VALUE"""),0)</f>
        <v>0</v>
      </c>
      <c r="J28" s="172"/>
      <c r="K28" s="172"/>
      <c r="L28" s="172"/>
      <c r="M28" s="172"/>
      <c r="N28" s="172"/>
      <c r="O28" s="172"/>
      <c r="P28" s="172"/>
      <c r="Q28" s="172"/>
      <c r="R28" s="172"/>
      <c r="S28" s="172"/>
      <c r="T28" s="172"/>
      <c r="U28" s="172"/>
      <c r="V28" s="172"/>
      <c r="W28" s="172"/>
      <c r="X28" s="172"/>
      <c r="Y28" s="172"/>
      <c r="Z28" s="172"/>
      <c r="AA28" s="172"/>
    </row>
    <row r="29" spans="1:27" ht="16">
      <c r="A29" s="170" t="str">
        <f t="shared" ca="1" si="0"/>
        <v/>
      </c>
      <c r="B29" s="171" t="str">
        <f t="shared" ca="1" si="1"/>
        <v/>
      </c>
      <c r="C29" s="171" t="str">
        <f t="shared" ca="1" si="2"/>
        <v>Honestly dont feel that this is required. Mostly concepts about the databases etc but no technical learning.</v>
      </c>
      <c r="D29" s="172">
        <f t="shared" ca="1" si="3"/>
        <v>1</v>
      </c>
      <c r="E29" s="172">
        <v>24</v>
      </c>
      <c r="F29" s="172"/>
      <c r="G29" s="174"/>
      <c r="H29" s="174"/>
      <c r="I29" s="172">
        <f ca="1">IFERROR(__xludf.DUMMYFUNCTION("""COMPUTED_VALUE"""),0)</f>
        <v>0</v>
      </c>
      <c r="J29" s="172"/>
      <c r="K29" s="172"/>
      <c r="L29" s="172"/>
      <c r="M29" s="172"/>
      <c r="N29" s="172"/>
      <c r="O29" s="172"/>
      <c r="P29" s="172"/>
      <c r="Q29" s="172"/>
      <c r="R29" s="172"/>
      <c r="S29" s="172"/>
      <c r="T29" s="172"/>
      <c r="U29" s="172"/>
      <c r="V29" s="172"/>
      <c r="W29" s="172"/>
      <c r="X29" s="172"/>
      <c r="Y29" s="172"/>
      <c r="Z29" s="172"/>
      <c r="AA29" s="172"/>
    </row>
    <row r="30" spans="1:27" ht="16">
      <c r="A30" s="170" t="str">
        <f t="shared" ca="1" si="0"/>
        <v/>
      </c>
      <c r="B30" s="171" t="str">
        <f t="shared" ca="1" si="1"/>
        <v/>
      </c>
      <c r="C30" s="171" t="str">
        <f t="shared" ca="1" si="2"/>
        <v/>
      </c>
      <c r="D30" s="172">
        <f t="shared" ca="1" si="3"/>
        <v>0</v>
      </c>
      <c r="E30" s="172" t="s">
        <v>281</v>
      </c>
      <c r="F30" s="172"/>
      <c r="G30" s="174"/>
      <c r="H30" s="174"/>
      <c r="I30" s="172">
        <f ca="1">IFERROR(__xludf.DUMMYFUNCTION("""COMPUTED_VALUE"""),0)</f>
        <v>0</v>
      </c>
      <c r="J30" s="172"/>
      <c r="K30" s="172"/>
      <c r="L30" s="172"/>
      <c r="M30" s="172"/>
      <c r="N30" s="172"/>
      <c r="O30" s="172"/>
      <c r="P30" s="172"/>
      <c r="Q30" s="172"/>
      <c r="R30" s="172"/>
      <c r="S30" s="172"/>
      <c r="T30" s="172"/>
      <c r="U30" s="172"/>
      <c r="V30" s="172"/>
      <c r="W30" s="172"/>
      <c r="X30" s="172"/>
      <c r="Y30" s="172"/>
      <c r="Z30" s="172"/>
      <c r="AA30" s="172"/>
    </row>
    <row r="31" spans="1:27" ht="16">
      <c r="A31" s="170" t="str">
        <f t="shared" ca="1" si="0"/>
        <v/>
      </c>
      <c r="B31" s="171" t="str">
        <f t="shared" ca="1" si="1"/>
        <v/>
      </c>
      <c r="C31" s="171" t="str">
        <f t="shared" ca="1" si="2"/>
        <v/>
      </c>
      <c r="D31" s="172">
        <f t="shared" ca="1" si="3"/>
        <v>0</v>
      </c>
      <c r="E31" s="172" t="s">
        <v>281</v>
      </c>
      <c r="F31" s="172"/>
      <c r="G31" s="174"/>
      <c r="H31" s="174"/>
      <c r="I31" s="172">
        <f ca="1">IFERROR(__xludf.DUMMYFUNCTION("""COMPUTED_VALUE"""),0)</f>
        <v>0</v>
      </c>
      <c r="J31" s="172"/>
      <c r="K31" s="172"/>
      <c r="L31" s="172"/>
      <c r="M31" s="172"/>
      <c r="N31" s="172"/>
      <c r="O31" s="172"/>
      <c r="P31" s="172"/>
      <c r="Q31" s="172"/>
      <c r="R31" s="172"/>
      <c r="S31" s="172"/>
      <c r="T31" s="172"/>
      <c r="U31" s="172"/>
      <c r="V31" s="172"/>
      <c r="W31" s="172"/>
      <c r="X31" s="172"/>
      <c r="Y31" s="172"/>
      <c r="Z31" s="172"/>
      <c r="AA31" s="172"/>
    </row>
    <row r="32" spans="1:27" ht="16">
      <c r="A32" s="170" t="str">
        <f t="shared" ca="1" si="0"/>
        <v/>
      </c>
      <c r="B32" s="171" t="str">
        <f t="shared" ca="1" si="1"/>
        <v/>
      </c>
      <c r="C32" s="171" t="str">
        <f t="shared" ca="1" si="2"/>
        <v/>
      </c>
      <c r="D32" s="172">
        <f t="shared" ca="1" si="3"/>
        <v>0</v>
      </c>
      <c r="E32" s="172" t="s">
        <v>281</v>
      </c>
      <c r="F32" s="172"/>
      <c r="G32" s="174"/>
      <c r="H32" s="174"/>
      <c r="I32" s="172">
        <f ca="1">IFERROR(__xludf.DUMMYFUNCTION("""COMPUTED_VALUE"""),0)</f>
        <v>0</v>
      </c>
      <c r="J32" s="172"/>
      <c r="K32" s="172"/>
      <c r="L32" s="172"/>
      <c r="M32" s="172"/>
      <c r="N32" s="172"/>
      <c r="O32" s="172"/>
      <c r="P32" s="172"/>
      <c r="Q32" s="172"/>
      <c r="R32" s="172"/>
      <c r="S32" s="172"/>
      <c r="T32" s="172"/>
      <c r="U32" s="172"/>
      <c r="V32" s="172"/>
      <c r="W32" s="172"/>
      <c r="X32" s="172"/>
      <c r="Y32" s="172"/>
      <c r="Z32" s="172"/>
      <c r="AA32" s="172"/>
    </row>
    <row r="33" spans="1:27" ht="16">
      <c r="A33" s="170" t="str">
        <f t="shared" ca="1" si="0"/>
        <v/>
      </c>
      <c r="B33" s="171" t="str">
        <f t="shared" ca="1" si="1"/>
        <v/>
      </c>
      <c r="C33" s="171">
        <f t="shared" ca="1" si="2"/>
        <v>0</v>
      </c>
      <c r="D33" s="172">
        <f t="shared" ca="1" si="3"/>
        <v>1</v>
      </c>
      <c r="E33" s="172">
        <v>13</v>
      </c>
      <c r="F33" s="172"/>
      <c r="G33" s="174"/>
      <c r="H33" s="174"/>
      <c r="I33" s="172">
        <f ca="1">IFERROR(__xludf.DUMMYFUNCTION("""COMPUTED_VALUE"""),0)</f>
        <v>0</v>
      </c>
      <c r="J33" s="172"/>
      <c r="K33" s="172"/>
      <c r="L33" s="172"/>
      <c r="M33" s="172"/>
      <c r="N33" s="172"/>
      <c r="O33" s="172"/>
      <c r="P33" s="172"/>
      <c r="Q33" s="172"/>
      <c r="R33" s="172"/>
      <c r="S33" s="172"/>
      <c r="T33" s="172"/>
      <c r="U33" s="172"/>
      <c r="V33" s="172"/>
      <c r="W33" s="172"/>
      <c r="X33" s="172"/>
      <c r="Y33" s="172"/>
      <c r="Z33" s="172"/>
      <c r="AA33" s="172"/>
    </row>
    <row r="34" spans="1:27" ht="16">
      <c r="A34" s="170" t="str">
        <f t="shared" ca="1" si="0"/>
        <v/>
      </c>
      <c r="B34" s="171" t="str">
        <f t="shared" ca="1" si="1"/>
        <v/>
      </c>
      <c r="C34" s="171" t="str">
        <f t="shared" ca="1" si="2"/>
        <v/>
      </c>
      <c r="D34" s="172">
        <f t="shared" ca="1" si="3"/>
        <v>0</v>
      </c>
      <c r="E34" s="172" t="s">
        <v>281</v>
      </c>
      <c r="F34" s="172"/>
      <c r="G34" s="174"/>
      <c r="H34" s="174"/>
      <c r="I34" s="172">
        <f ca="1">IFERROR(__xludf.DUMMYFUNCTION("""COMPUTED_VALUE"""),0)</f>
        <v>0</v>
      </c>
      <c r="J34" s="172"/>
      <c r="K34" s="172"/>
      <c r="L34" s="172"/>
      <c r="M34" s="172"/>
      <c r="N34" s="172"/>
      <c r="O34" s="172"/>
      <c r="P34" s="172"/>
      <c r="Q34" s="172"/>
      <c r="R34" s="172"/>
      <c r="S34" s="172"/>
      <c r="T34" s="172"/>
      <c r="U34" s="172"/>
      <c r="V34" s="172"/>
      <c r="W34" s="172"/>
      <c r="X34" s="172"/>
      <c r="Y34" s="172"/>
      <c r="Z34" s="172"/>
      <c r="AA34" s="172"/>
    </row>
    <row r="35" spans="1:27" ht="16">
      <c r="A35" s="170" t="str">
        <f t="shared" ca="1" si="0"/>
        <v/>
      </c>
      <c r="B35" s="171" t="str">
        <f t="shared" ca="1" si="1"/>
        <v/>
      </c>
      <c r="C35" s="171" t="str">
        <f t="shared" ca="1" si="2"/>
        <v>The course is structured well. Probability theory is hard but the course doesn't make it any harder than it needs to be.</v>
      </c>
      <c r="D35" s="172">
        <f t="shared" ca="1" si="3"/>
        <v>1</v>
      </c>
      <c r="E35" s="172">
        <v>3</v>
      </c>
      <c r="F35" s="172"/>
      <c r="G35" s="174"/>
      <c r="H35" s="174"/>
      <c r="I35" s="172">
        <f ca="1">IFERROR(__xludf.DUMMYFUNCTION("""COMPUTED_VALUE"""),0)</f>
        <v>0</v>
      </c>
      <c r="J35" s="172"/>
      <c r="K35" s="172"/>
      <c r="L35" s="172"/>
      <c r="M35" s="172"/>
      <c r="N35" s="172"/>
      <c r="O35" s="172"/>
      <c r="P35" s="172"/>
      <c r="Q35" s="172"/>
      <c r="R35" s="172"/>
      <c r="S35" s="172"/>
      <c r="T35" s="172"/>
      <c r="U35" s="172"/>
      <c r="V35" s="172"/>
      <c r="W35" s="172"/>
      <c r="X35" s="172"/>
      <c r="Y35" s="172"/>
      <c r="Z35" s="172"/>
      <c r="AA35" s="172"/>
    </row>
    <row r="36" spans="1:27" ht="16">
      <c r="A36" s="170" t="str">
        <f t="shared" ca="1" si="0"/>
        <v/>
      </c>
      <c r="B36" s="171" t="str">
        <f t="shared" ca="1" si="1"/>
        <v/>
      </c>
      <c r="C36" s="171" t="str">
        <f t="shared" ca="1" si="2"/>
        <v>This course is really without any experience in mathematical statistics. The professor does not fill in the blanks for a lot of the math, leaving you in the dark. The best advice for this class is to just practice practice practice.</v>
      </c>
      <c r="D36" s="172">
        <f t="shared" ca="1" si="3"/>
        <v>1</v>
      </c>
      <c r="E36" s="172">
        <v>4</v>
      </c>
      <c r="F36" s="172"/>
      <c r="G36" s="174"/>
      <c r="H36" s="174"/>
      <c r="I36" s="172">
        <f ca="1">IFERROR(__xludf.DUMMYFUNCTION("""COMPUTED_VALUE"""),0)</f>
        <v>0</v>
      </c>
      <c r="J36" s="172"/>
      <c r="K36" s="172"/>
      <c r="L36" s="172"/>
      <c r="M36" s="172"/>
      <c r="N36" s="172"/>
      <c r="O36" s="172"/>
      <c r="P36" s="172"/>
      <c r="Q36" s="172"/>
      <c r="R36" s="172"/>
      <c r="S36" s="172"/>
      <c r="T36" s="172"/>
      <c r="U36" s="172"/>
      <c r="V36" s="172"/>
      <c r="W36" s="172"/>
      <c r="X36" s="172"/>
      <c r="Y36" s="172"/>
      <c r="Z36" s="172"/>
      <c r="AA36" s="172"/>
    </row>
    <row r="37" spans="1:27" ht="16">
      <c r="A37" s="170" t="str">
        <f t="shared" ca="1" si="0"/>
        <v/>
      </c>
      <c r="B37" s="171" t="str">
        <f t="shared" ca="1" si="1"/>
        <v/>
      </c>
      <c r="C37" s="171" t="str">
        <f t="shared" ca="1" si="2"/>
        <v>This course isn't too bad if you already took DTSA 5002 as it goes over that content and then builds on top of it. I feel as though the course could have focused on more important aspects of hypothesis testing rather than so much on MLE's. Hypothesis testing is the backbone of modern day statistics and this course won't leave you with much confidence to go out and do your own hypothesis testing.</v>
      </c>
      <c r="D37" s="172">
        <f t="shared" ca="1" si="3"/>
        <v>1</v>
      </c>
      <c r="E37" s="172">
        <v>5</v>
      </c>
      <c r="F37" s="172"/>
      <c r="G37" s="174"/>
      <c r="H37" s="174"/>
      <c r="I37" s="172">
        <f ca="1">IFERROR(__xludf.DUMMYFUNCTION("""COMPUTED_VALUE"""),0)</f>
        <v>0</v>
      </c>
      <c r="J37" s="172"/>
      <c r="K37" s="172"/>
      <c r="L37" s="172"/>
      <c r="M37" s="172"/>
      <c r="N37" s="172"/>
      <c r="O37" s="172"/>
      <c r="P37" s="172"/>
      <c r="Q37" s="172"/>
      <c r="R37" s="172"/>
      <c r="S37" s="172"/>
      <c r="T37" s="172"/>
      <c r="U37" s="172"/>
      <c r="V37" s="172"/>
      <c r="W37" s="172"/>
      <c r="X37" s="172"/>
      <c r="Y37" s="172"/>
      <c r="Z37" s="172"/>
      <c r="AA37" s="172"/>
    </row>
    <row r="38" spans="1:27" ht="16">
      <c r="A38" s="170" t="str">
        <f t="shared" ca="1" si="0"/>
        <v/>
      </c>
      <c r="B38" s="171" t="str">
        <f t="shared" ca="1" si="1"/>
        <v/>
      </c>
      <c r="C38" s="171" t="str">
        <f t="shared" ca="1" si="2"/>
        <v>This course does a really good job at going over the basics of regression. The projects and lectures are very relevant not just to the course but also for applying the knowledge outside of the class. One should be able to fully grasp the course's concepts with the course content alone.</v>
      </c>
      <c r="D38" s="172">
        <f t="shared" ca="1" si="3"/>
        <v>1</v>
      </c>
      <c r="E38" s="172">
        <v>13</v>
      </c>
      <c r="F38" s="172"/>
      <c r="G38" s="174"/>
      <c r="H38" s="174"/>
      <c r="I38" s="172">
        <f ca="1">IFERROR(__xludf.DUMMYFUNCTION("""COMPUTED_VALUE"""),0)</f>
        <v>0</v>
      </c>
      <c r="J38" s="172"/>
      <c r="K38" s="172"/>
      <c r="L38" s="172"/>
      <c r="M38" s="172"/>
      <c r="N38" s="172"/>
      <c r="O38" s="172"/>
      <c r="P38" s="172"/>
      <c r="Q38" s="172"/>
      <c r="R38" s="172"/>
      <c r="S38" s="172"/>
      <c r="T38" s="172"/>
      <c r="U38" s="172"/>
      <c r="V38" s="172"/>
      <c r="W38" s="172"/>
      <c r="X38" s="172"/>
      <c r="Y38" s="172"/>
      <c r="Z38" s="172"/>
      <c r="AA38" s="172"/>
    </row>
    <row r="39" spans="1:27" ht="16">
      <c r="A39" s="170" t="str">
        <f t="shared" ca="1" si="0"/>
        <v/>
      </c>
      <c r="B39" s="171" t="str">
        <f t="shared" ca="1" si="1"/>
        <v/>
      </c>
      <c r="C39" s="171" t="str">
        <f t="shared" ca="1" si="2"/>
        <v/>
      </c>
      <c r="D39" s="172">
        <f t="shared" ca="1" si="3"/>
        <v>0</v>
      </c>
      <c r="E39" s="172" t="s">
        <v>281</v>
      </c>
      <c r="F39" s="172"/>
      <c r="G39" s="174"/>
      <c r="H39" s="174"/>
      <c r="I39" s="172">
        <f ca="1">IFERROR(__xludf.DUMMYFUNCTION("""COMPUTED_VALUE"""),0)</f>
        <v>0</v>
      </c>
      <c r="J39" s="172"/>
      <c r="K39" s="172"/>
      <c r="L39" s="172"/>
      <c r="M39" s="172"/>
      <c r="N39" s="172"/>
      <c r="O39" s="172"/>
      <c r="P39" s="172"/>
      <c r="Q39" s="172"/>
      <c r="R39" s="172"/>
      <c r="S39" s="172"/>
      <c r="T39" s="172"/>
      <c r="U39" s="172"/>
      <c r="V39" s="172"/>
      <c r="W39" s="172"/>
      <c r="X39" s="172"/>
      <c r="Y39" s="172"/>
      <c r="Z39" s="172"/>
      <c r="AA39" s="172"/>
    </row>
    <row r="40" spans="1:27" ht="16">
      <c r="A40" s="170" t="str">
        <f t="shared" ca="1" si="0"/>
        <v/>
      </c>
      <c r="B40" s="171" t="str">
        <f t="shared" ca="1" si="1"/>
        <v/>
      </c>
      <c r="C40" s="171" t="str">
        <f t="shared" ca="1" si="2"/>
        <v/>
      </c>
      <c r="D40" s="172">
        <f t="shared" ca="1" si="3"/>
        <v>0</v>
      </c>
      <c r="E40" s="172" t="s">
        <v>281</v>
      </c>
      <c r="F40" s="172"/>
      <c r="G40" s="174"/>
      <c r="H40" s="174"/>
      <c r="I40" s="172">
        <f ca="1">IFERROR(__xludf.DUMMYFUNCTION("""COMPUTED_VALUE"""),0)</f>
        <v>0</v>
      </c>
      <c r="J40" s="172"/>
      <c r="K40" s="172"/>
      <c r="L40" s="172"/>
      <c r="M40" s="172"/>
      <c r="N40" s="172"/>
      <c r="O40" s="172"/>
      <c r="P40" s="172"/>
      <c r="Q40" s="172"/>
      <c r="R40" s="172"/>
      <c r="S40" s="172"/>
      <c r="T40" s="172"/>
      <c r="U40" s="172"/>
      <c r="V40" s="172"/>
      <c r="W40" s="172"/>
      <c r="X40" s="172"/>
      <c r="Y40" s="172"/>
      <c r="Z40" s="172"/>
      <c r="AA40" s="172"/>
    </row>
    <row r="41" spans="1:27" ht="16">
      <c r="A41" s="170" t="str">
        <f t="shared" ca="1" si="0"/>
        <v/>
      </c>
      <c r="B41" s="171" t="str">
        <f t="shared" ca="1" si="1"/>
        <v/>
      </c>
      <c r="C41" s="171" t="str">
        <f t="shared" ca="1" si="2"/>
        <v/>
      </c>
      <c r="D41" s="172">
        <f t="shared" ca="1" si="3"/>
        <v>0</v>
      </c>
      <c r="E41" s="172" t="s">
        <v>281</v>
      </c>
      <c r="F41" s="172"/>
      <c r="G41" s="174"/>
      <c r="H41" s="174"/>
      <c r="I41" s="172">
        <f ca="1">IFERROR(__xludf.DUMMYFUNCTION("""COMPUTED_VALUE"""),0)</f>
        <v>0</v>
      </c>
      <c r="J41" s="172"/>
      <c r="K41" s="172"/>
      <c r="L41" s="172"/>
      <c r="M41" s="172"/>
      <c r="N41" s="172"/>
      <c r="O41" s="172"/>
      <c r="P41" s="172"/>
      <c r="Q41" s="172"/>
      <c r="R41" s="172"/>
      <c r="S41" s="172"/>
      <c r="T41" s="172"/>
      <c r="U41" s="172"/>
      <c r="V41" s="172"/>
      <c r="W41" s="172"/>
      <c r="X41" s="172"/>
      <c r="Y41" s="172"/>
      <c r="Z41" s="172"/>
      <c r="AA41" s="172"/>
    </row>
    <row r="42" spans="1:27" ht="16">
      <c r="A42" s="170" t="str">
        <f t="shared" ca="1" si="0"/>
        <v/>
      </c>
      <c r="B42" s="171" t="str">
        <f t="shared" ca="1" si="1"/>
        <v/>
      </c>
      <c r="C42" s="171" t="str">
        <f t="shared" ca="1" si="2"/>
        <v/>
      </c>
      <c r="D42" s="172">
        <f t="shared" ca="1" si="3"/>
        <v>0</v>
      </c>
      <c r="E42" s="172" t="s">
        <v>281</v>
      </c>
      <c r="F42" s="172"/>
      <c r="G42" s="174"/>
      <c r="H42" s="174"/>
      <c r="I42" s="172">
        <f ca="1">IFERROR(__xludf.DUMMYFUNCTION("""COMPUTED_VALUE"""),0)</f>
        <v>0</v>
      </c>
      <c r="J42" s="172"/>
      <c r="K42" s="172"/>
      <c r="L42" s="172"/>
      <c r="M42" s="172"/>
      <c r="N42" s="172"/>
      <c r="O42" s="172"/>
      <c r="P42" s="172"/>
      <c r="Q42" s="172"/>
      <c r="R42" s="172"/>
      <c r="S42" s="172"/>
      <c r="T42" s="172"/>
      <c r="U42" s="172"/>
      <c r="V42" s="172"/>
      <c r="W42" s="172"/>
      <c r="X42" s="172"/>
      <c r="Y42" s="172"/>
      <c r="Z42" s="172"/>
      <c r="AA42" s="172"/>
    </row>
    <row r="43" spans="1:27" ht="16">
      <c r="A43" s="170" t="str">
        <f t="shared" ca="1" si="0"/>
        <v/>
      </c>
      <c r="B43" s="171" t="str">
        <f t="shared" ca="1" si="1"/>
        <v/>
      </c>
      <c r="C43" s="171" t="str">
        <f t="shared" ca="1" si="2"/>
        <v/>
      </c>
      <c r="D43" s="172">
        <f t="shared" ca="1" si="3"/>
        <v>0</v>
      </c>
      <c r="E43" s="172" t="s">
        <v>281</v>
      </c>
      <c r="F43" s="172"/>
      <c r="G43" s="174"/>
      <c r="H43" s="174"/>
      <c r="I43" s="172">
        <f ca="1">IFERROR(__xludf.DUMMYFUNCTION("""COMPUTED_VALUE"""),0)</f>
        <v>0</v>
      </c>
      <c r="J43" s="172"/>
      <c r="K43" s="172"/>
      <c r="L43" s="172"/>
      <c r="M43" s="172"/>
      <c r="N43" s="172"/>
      <c r="O43" s="172"/>
      <c r="P43" s="172"/>
      <c r="Q43" s="172"/>
      <c r="R43" s="172"/>
      <c r="S43" s="172"/>
      <c r="T43" s="172"/>
      <c r="U43" s="172"/>
      <c r="V43" s="172"/>
      <c r="W43" s="172"/>
      <c r="X43" s="172"/>
      <c r="Y43" s="172"/>
      <c r="Z43" s="172"/>
      <c r="AA43" s="172"/>
    </row>
    <row r="44" spans="1:27" ht="16">
      <c r="A44" s="170" t="str">
        <f t="shared" ca="1" si="0"/>
        <v/>
      </c>
      <c r="B44" s="171" t="str">
        <f t="shared" ca="1" si="1"/>
        <v/>
      </c>
      <c r="C44" s="171" t="str">
        <f t="shared" ca="1" si="2"/>
        <v/>
      </c>
      <c r="D44" s="172">
        <f t="shared" ca="1" si="3"/>
        <v>0</v>
      </c>
      <c r="E44" s="172" t="s">
        <v>281</v>
      </c>
      <c r="F44" s="172"/>
      <c r="G44" s="174"/>
      <c r="H44" s="174"/>
      <c r="I44" s="172">
        <f ca="1">IFERROR(__xludf.DUMMYFUNCTION("""COMPUTED_VALUE"""),0)</f>
        <v>0</v>
      </c>
      <c r="J44" s="172"/>
      <c r="K44" s="172"/>
      <c r="L44" s="172"/>
      <c r="M44" s="172"/>
      <c r="N44" s="172"/>
      <c r="O44" s="172"/>
      <c r="P44" s="172"/>
      <c r="Q44" s="172"/>
      <c r="R44" s="172"/>
      <c r="S44" s="172"/>
      <c r="T44" s="172"/>
      <c r="U44" s="172"/>
      <c r="V44" s="172"/>
      <c r="W44" s="172"/>
      <c r="X44" s="172"/>
      <c r="Y44" s="172"/>
      <c r="Z44" s="172"/>
      <c r="AA44" s="172"/>
    </row>
    <row r="45" spans="1:27" ht="16">
      <c r="A45" s="170" t="str">
        <f t="shared" ca="1" si="0"/>
        <v/>
      </c>
      <c r="B45" s="171" t="str">
        <f t="shared" ca="1" si="1"/>
        <v/>
      </c>
      <c r="C45" s="171" t="str">
        <f t="shared" ca="1" si="2"/>
        <v/>
      </c>
      <c r="D45" s="172">
        <f t="shared" ca="1" si="3"/>
        <v>0</v>
      </c>
      <c r="E45" s="172" t="s">
        <v>281</v>
      </c>
      <c r="F45" s="172"/>
      <c r="G45" s="174"/>
      <c r="H45" s="174"/>
      <c r="I45" s="172">
        <f ca="1">IFERROR(__xludf.DUMMYFUNCTION("""COMPUTED_VALUE"""),0)</f>
        <v>0</v>
      </c>
      <c r="J45" s="172"/>
      <c r="K45" s="172"/>
      <c r="L45" s="172"/>
      <c r="M45" s="172"/>
      <c r="N45" s="172"/>
      <c r="O45" s="172"/>
      <c r="P45" s="172"/>
      <c r="Q45" s="172"/>
      <c r="R45" s="172"/>
      <c r="S45" s="172"/>
      <c r="T45" s="172"/>
      <c r="U45" s="172"/>
      <c r="V45" s="172"/>
      <c r="W45" s="172"/>
      <c r="X45" s="172"/>
      <c r="Y45" s="172"/>
      <c r="Z45" s="172"/>
      <c r="AA45" s="172"/>
    </row>
    <row r="46" spans="1:27" ht="16">
      <c r="A46" s="170" t="str">
        <f t="shared" ca="1" si="0"/>
        <v/>
      </c>
      <c r="B46" s="171" t="str">
        <f t="shared" ca="1" si="1"/>
        <v/>
      </c>
      <c r="C46" s="171" t="str">
        <f t="shared" ca="1" si="2"/>
        <v/>
      </c>
      <c r="D46" s="172">
        <f t="shared" ca="1" si="3"/>
        <v>0</v>
      </c>
      <c r="E46" s="172" t="s">
        <v>281</v>
      </c>
      <c r="F46" s="172"/>
      <c r="G46" s="174"/>
      <c r="H46" s="174"/>
      <c r="I46" s="172">
        <f ca="1">IFERROR(__xludf.DUMMYFUNCTION("""COMPUTED_VALUE"""),0)</f>
        <v>0</v>
      </c>
      <c r="J46" s="172"/>
      <c r="K46" s="172"/>
      <c r="L46" s="172"/>
      <c r="M46" s="172"/>
      <c r="N46" s="172"/>
      <c r="O46" s="172"/>
      <c r="P46" s="172"/>
      <c r="Q46" s="172"/>
      <c r="R46" s="172"/>
      <c r="S46" s="172"/>
      <c r="T46" s="172"/>
      <c r="U46" s="172"/>
      <c r="V46" s="172"/>
      <c r="W46" s="172"/>
      <c r="X46" s="172"/>
      <c r="Y46" s="172"/>
      <c r="Z46" s="172"/>
      <c r="AA46" s="172"/>
    </row>
    <row r="47" spans="1:27" ht="16">
      <c r="A47" s="170" t="str">
        <f t="shared" ca="1" si="0"/>
        <v/>
      </c>
      <c r="B47" s="171" t="str">
        <f t="shared" ca="1" si="1"/>
        <v/>
      </c>
      <c r="C47" s="171">
        <f t="shared" ca="1" si="2"/>
        <v>0</v>
      </c>
      <c r="D47" s="172">
        <f t="shared" ca="1" si="3"/>
        <v>1</v>
      </c>
      <c r="E47" s="172">
        <v>3</v>
      </c>
      <c r="F47" s="172"/>
      <c r="G47" s="174"/>
      <c r="H47" s="174"/>
      <c r="I47" s="172">
        <f ca="1">IFERROR(__xludf.DUMMYFUNCTION("""COMPUTED_VALUE"""),0)</f>
        <v>0</v>
      </c>
      <c r="J47" s="172"/>
      <c r="K47" s="172"/>
      <c r="L47" s="172"/>
      <c r="M47" s="172"/>
      <c r="N47" s="172"/>
      <c r="O47" s="172"/>
      <c r="P47" s="172"/>
      <c r="Q47" s="172"/>
      <c r="R47" s="172"/>
      <c r="S47" s="172"/>
      <c r="T47" s="172"/>
      <c r="U47" s="172"/>
      <c r="V47" s="172"/>
      <c r="W47" s="172"/>
      <c r="X47" s="172"/>
      <c r="Y47" s="172"/>
      <c r="Z47" s="172"/>
      <c r="AA47" s="172"/>
    </row>
    <row r="48" spans="1:27" ht="16">
      <c r="A48" s="170" t="str">
        <f t="shared" ca="1" si="0"/>
        <v/>
      </c>
      <c r="B48" s="171" t="str">
        <f t="shared" ca="1" si="1"/>
        <v/>
      </c>
      <c r="C48" s="171" t="str">
        <f t="shared" ca="1" si="2"/>
        <v/>
      </c>
      <c r="D48" s="172">
        <f t="shared" ca="1" si="3"/>
        <v>0</v>
      </c>
      <c r="E48" s="172" t="s">
        <v>281</v>
      </c>
      <c r="F48" s="172"/>
      <c r="G48" s="174"/>
      <c r="H48" s="174"/>
      <c r="I48" s="172">
        <f ca="1">IFERROR(__xludf.DUMMYFUNCTION("""COMPUTED_VALUE"""),0)</f>
        <v>0</v>
      </c>
      <c r="J48" s="172"/>
      <c r="K48" s="172"/>
      <c r="L48" s="172"/>
      <c r="M48" s="172"/>
      <c r="N48" s="172"/>
      <c r="O48" s="172"/>
      <c r="P48" s="172"/>
      <c r="Q48" s="172"/>
      <c r="R48" s="172"/>
      <c r="S48" s="172"/>
      <c r="T48" s="172"/>
      <c r="U48" s="172"/>
      <c r="V48" s="172"/>
      <c r="W48" s="172"/>
      <c r="X48" s="172"/>
      <c r="Y48" s="172"/>
      <c r="Z48" s="172"/>
      <c r="AA48" s="172"/>
    </row>
    <row r="49" spans="1:27" ht="16">
      <c r="A49" s="170" t="str">
        <f t="shared" ca="1" si="0"/>
        <v/>
      </c>
      <c r="B49" s="171" t="str">
        <f t="shared" ca="1" si="1"/>
        <v/>
      </c>
      <c r="C49" s="171" t="str">
        <f t="shared" ca="1" si="2"/>
        <v/>
      </c>
      <c r="D49" s="172">
        <f t="shared" ca="1" si="3"/>
        <v>0</v>
      </c>
      <c r="E49" s="172" t="s">
        <v>281</v>
      </c>
      <c r="F49" s="172"/>
      <c r="G49" s="174"/>
      <c r="H49" s="174"/>
      <c r="I49" s="172">
        <f ca="1">IFERROR(__xludf.DUMMYFUNCTION("""COMPUTED_VALUE"""),0)</f>
        <v>0</v>
      </c>
      <c r="J49" s="172"/>
      <c r="K49" s="172"/>
      <c r="L49" s="172"/>
      <c r="M49" s="172"/>
      <c r="N49" s="172"/>
      <c r="O49" s="172"/>
      <c r="P49" s="172"/>
      <c r="Q49" s="172"/>
      <c r="R49" s="172"/>
      <c r="S49" s="172"/>
      <c r="T49" s="172"/>
      <c r="U49" s="172"/>
      <c r="V49" s="172"/>
      <c r="W49" s="172"/>
      <c r="X49" s="172"/>
      <c r="Y49" s="172"/>
      <c r="Z49" s="172"/>
      <c r="AA49" s="172"/>
    </row>
    <row r="50" spans="1:27" ht="16">
      <c r="A50" s="170" t="str">
        <f t="shared" ca="1" si="0"/>
        <v/>
      </c>
      <c r="B50" s="171" t="str">
        <f t="shared" ca="1" si="1"/>
        <v/>
      </c>
      <c r="C50" s="171" t="str">
        <f t="shared" ca="1" si="2"/>
        <v/>
      </c>
      <c r="D50" s="172">
        <f t="shared" ca="1" si="3"/>
        <v>0</v>
      </c>
      <c r="E50" s="172" t="s">
        <v>281</v>
      </c>
      <c r="F50" s="172"/>
      <c r="G50" s="174"/>
      <c r="H50" s="174"/>
      <c r="I50" s="172">
        <f ca="1">IFERROR(__xludf.DUMMYFUNCTION("""COMPUTED_VALUE"""),0)</f>
        <v>0</v>
      </c>
      <c r="J50" s="172"/>
      <c r="K50" s="172"/>
      <c r="L50" s="172"/>
      <c r="M50" s="172"/>
      <c r="N50" s="172"/>
      <c r="O50" s="172"/>
      <c r="P50" s="172"/>
      <c r="Q50" s="172"/>
      <c r="R50" s="172"/>
      <c r="S50" s="172"/>
      <c r="T50" s="172"/>
      <c r="U50" s="172"/>
      <c r="V50" s="172"/>
      <c r="W50" s="172"/>
      <c r="X50" s="172"/>
      <c r="Y50" s="172"/>
      <c r="Z50" s="172"/>
      <c r="AA50" s="172"/>
    </row>
    <row r="51" spans="1:27" ht="16">
      <c r="A51" s="170" t="str">
        <f t="shared" ca="1" si="0"/>
        <v/>
      </c>
      <c r="B51" s="171" t="str">
        <f t="shared" ca="1" si="1"/>
        <v/>
      </c>
      <c r="C51" s="171" t="str">
        <f t="shared" ca="1" si="2"/>
        <v/>
      </c>
      <c r="D51" s="172">
        <f t="shared" ca="1" si="3"/>
        <v>0</v>
      </c>
      <c r="E51" s="172" t="s">
        <v>281</v>
      </c>
      <c r="F51" s="172"/>
      <c r="G51" s="174"/>
      <c r="H51" s="174"/>
      <c r="I51" s="172">
        <f ca="1">IFERROR(__xludf.DUMMYFUNCTION("""COMPUTED_VALUE"""),0)</f>
        <v>0</v>
      </c>
      <c r="J51" s="172"/>
      <c r="K51" s="172"/>
      <c r="L51" s="172"/>
      <c r="M51" s="172"/>
      <c r="N51" s="172"/>
      <c r="O51" s="172"/>
      <c r="P51" s="172"/>
      <c r="Q51" s="172"/>
      <c r="R51" s="172"/>
      <c r="S51" s="172"/>
      <c r="T51" s="172"/>
      <c r="U51" s="172"/>
      <c r="V51" s="172"/>
      <c r="W51" s="172"/>
      <c r="X51" s="172"/>
      <c r="Y51" s="172"/>
      <c r="Z51" s="172"/>
      <c r="AA51" s="172"/>
    </row>
    <row r="52" spans="1:27" ht="16">
      <c r="A52" s="170" t="str">
        <f t="shared" ca="1" si="0"/>
        <v/>
      </c>
      <c r="B52" s="171" t="str">
        <f t="shared" ca="1" si="1"/>
        <v/>
      </c>
      <c r="C52" s="171" t="str">
        <f t="shared" ca="1" si="2"/>
        <v/>
      </c>
      <c r="D52" s="172">
        <f t="shared" ca="1" si="3"/>
        <v>0</v>
      </c>
      <c r="E52" s="172" t="s">
        <v>281</v>
      </c>
      <c r="F52" s="172"/>
      <c r="G52" s="174"/>
      <c r="H52" s="174"/>
      <c r="I52" s="172">
        <f ca="1">IFERROR(__xludf.DUMMYFUNCTION("""COMPUTED_VALUE"""),0)</f>
        <v>0</v>
      </c>
      <c r="J52" s="172"/>
      <c r="K52" s="172"/>
      <c r="L52" s="172"/>
      <c r="M52" s="172"/>
      <c r="N52" s="172"/>
      <c r="O52" s="172"/>
      <c r="P52" s="172"/>
      <c r="Q52" s="172"/>
      <c r="R52" s="172"/>
      <c r="S52" s="172"/>
      <c r="T52" s="172"/>
      <c r="U52" s="172"/>
      <c r="V52" s="172"/>
      <c r="W52" s="172"/>
      <c r="X52" s="172"/>
      <c r="Y52" s="172"/>
      <c r="Z52" s="172"/>
      <c r="AA52" s="172"/>
    </row>
    <row r="53" spans="1:27" ht="16">
      <c r="A53" s="170" t="str">
        <f t="shared" ca="1" si="0"/>
        <v/>
      </c>
      <c r="B53" s="171" t="str">
        <f t="shared" ca="1" si="1"/>
        <v/>
      </c>
      <c r="C53" s="171" t="str">
        <f t="shared" ca="1" si="2"/>
        <v/>
      </c>
      <c r="D53" s="172">
        <f t="shared" ca="1" si="3"/>
        <v>0</v>
      </c>
      <c r="E53" s="172" t="s">
        <v>281</v>
      </c>
      <c r="F53" s="172"/>
      <c r="G53" s="174"/>
      <c r="H53" s="174"/>
      <c r="I53" s="172">
        <f ca="1">IFERROR(__xludf.DUMMYFUNCTION("""COMPUTED_VALUE"""),0)</f>
        <v>0</v>
      </c>
      <c r="J53" s="172"/>
      <c r="K53" s="172"/>
      <c r="L53" s="172"/>
      <c r="M53" s="172"/>
      <c r="N53" s="172"/>
      <c r="O53" s="172"/>
      <c r="P53" s="172"/>
      <c r="Q53" s="172"/>
      <c r="R53" s="172"/>
      <c r="S53" s="172"/>
      <c r="T53" s="172"/>
      <c r="U53" s="172"/>
      <c r="V53" s="172"/>
      <c r="W53" s="172"/>
      <c r="X53" s="172"/>
      <c r="Y53" s="172"/>
      <c r="Z53" s="172"/>
      <c r="AA53" s="172"/>
    </row>
    <row r="54" spans="1:27" ht="16">
      <c r="A54" s="170" t="str">
        <f t="shared" ca="1" si="0"/>
        <v/>
      </c>
      <c r="B54" s="171" t="str">
        <f t="shared" ca="1" si="1"/>
        <v/>
      </c>
      <c r="C54" s="171" t="str">
        <f t="shared" ca="1" si="2"/>
        <v>This is about the same as an undergraduate SQL course with some maybe slightly more complicated queries.  If you have good SQL experience, you can speed run this with no video/reading content, but unfortunately you have to certify that you attempted the labs and those take about half the course time.  Also the VM is terrible so I recommend installing postgres and finding a copy of the databases from the course.  This probably would have saved me a few hours of pain.  Without the VM I could have probably done it in 6-8 hours.  If labs weren't required 3-5.</v>
      </c>
      <c r="D54" s="172">
        <f t="shared" ca="1" si="3"/>
        <v>1</v>
      </c>
      <c r="E54" s="172">
        <v>23</v>
      </c>
      <c r="F54" s="172"/>
      <c r="G54" s="174"/>
      <c r="H54" s="174"/>
      <c r="I54" s="172">
        <f ca="1">IFERROR(__xludf.DUMMYFUNCTION("""COMPUTED_VALUE"""),0)</f>
        <v>0</v>
      </c>
      <c r="J54" s="172"/>
      <c r="K54" s="172"/>
      <c r="L54" s="172"/>
      <c r="M54" s="172"/>
      <c r="N54" s="172"/>
      <c r="O54" s="172"/>
      <c r="P54" s="172"/>
      <c r="Q54" s="172"/>
      <c r="R54" s="172"/>
      <c r="S54" s="172"/>
      <c r="T54" s="172"/>
      <c r="U54" s="172"/>
      <c r="V54" s="172"/>
      <c r="W54" s="172"/>
      <c r="X54" s="172"/>
      <c r="Y54" s="172"/>
      <c r="Z54" s="172"/>
      <c r="AA54" s="172"/>
    </row>
    <row r="55" spans="1:27" ht="16">
      <c r="A55" s="170" t="str">
        <f t="shared" ca="1" si="0"/>
        <v/>
      </c>
      <c r="B55" s="171" t="str">
        <f t="shared" ca="1" si="1"/>
        <v/>
      </c>
      <c r="C55" s="171" t="str">
        <f t="shared" ca="1" si="2"/>
        <v/>
      </c>
      <c r="D55" s="172">
        <f t="shared" ca="1" si="3"/>
        <v>0</v>
      </c>
      <c r="E55" s="172" t="s">
        <v>281</v>
      </c>
      <c r="F55" s="172"/>
      <c r="G55" s="174"/>
      <c r="H55" s="174"/>
      <c r="I55" s="172">
        <f ca="1">IFERROR(__xludf.DUMMYFUNCTION("""COMPUTED_VALUE"""),0)</f>
        <v>0</v>
      </c>
      <c r="J55" s="172"/>
      <c r="K55" s="172"/>
      <c r="L55" s="172"/>
      <c r="M55" s="172"/>
      <c r="N55" s="172"/>
      <c r="O55" s="172"/>
      <c r="P55" s="172"/>
      <c r="Q55" s="172"/>
      <c r="R55" s="172"/>
      <c r="S55" s="172"/>
      <c r="T55" s="172"/>
      <c r="U55" s="172"/>
      <c r="V55" s="172"/>
      <c r="W55" s="172"/>
      <c r="X55" s="172"/>
      <c r="Y55" s="172"/>
      <c r="Z55" s="172"/>
      <c r="AA55" s="172"/>
    </row>
    <row r="56" spans="1:27" ht="16">
      <c r="A56" s="170" t="str">
        <f t="shared" ca="1" si="0"/>
        <v/>
      </c>
      <c r="B56" s="171" t="str">
        <f t="shared" ca="1" si="1"/>
        <v/>
      </c>
      <c r="C56" s="171" t="str">
        <f t="shared" ca="1" si="2"/>
        <v/>
      </c>
      <c r="D56" s="172">
        <f t="shared" ca="1" si="3"/>
        <v>0</v>
      </c>
      <c r="E56" s="172" t="s">
        <v>281</v>
      </c>
      <c r="F56" s="172"/>
      <c r="G56" s="174"/>
      <c r="H56" s="174"/>
      <c r="I56" s="172">
        <f ca="1">IFERROR(__xludf.DUMMYFUNCTION("""COMPUTED_VALUE"""),0)</f>
        <v>0</v>
      </c>
      <c r="J56" s="172"/>
      <c r="K56" s="172"/>
      <c r="L56" s="172"/>
      <c r="M56" s="172"/>
      <c r="N56" s="172"/>
      <c r="O56" s="172"/>
      <c r="P56" s="172"/>
      <c r="Q56" s="172"/>
      <c r="R56" s="172"/>
      <c r="S56" s="172"/>
      <c r="T56" s="172"/>
      <c r="U56" s="172"/>
      <c r="V56" s="172"/>
      <c r="W56" s="172"/>
      <c r="X56" s="172"/>
      <c r="Y56" s="172"/>
      <c r="Z56" s="172"/>
      <c r="AA56" s="172"/>
    </row>
    <row r="57" spans="1:27" ht="16">
      <c r="A57" s="170" t="str">
        <f t="shared" ca="1" si="0"/>
        <v/>
      </c>
      <c r="B57" s="171" t="str">
        <f t="shared" ca="1" si="1"/>
        <v/>
      </c>
      <c r="C57" s="171" t="str">
        <f t="shared" ca="1" si="2"/>
        <v/>
      </c>
      <c r="D57" s="172">
        <f t="shared" ca="1" si="3"/>
        <v>0</v>
      </c>
      <c r="E57" s="172" t="s">
        <v>281</v>
      </c>
      <c r="F57" s="172"/>
      <c r="G57" s="174"/>
      <c r="H57" s="174"/>
      <c r="I57" s="172">
        <f ca="1">IFERROR(__xludf.DUMMYFUNCTION("""COMPUTED_VALUE"""),0)</f>
        <v>0</v>
      </c>
      <c r="J57" s="172"/>
      <c r="K57" s="172"/>
      <c r="L57" s="172"/>
      <c r="M57" s="172"/>
      <c r="N57" s="172"/>
      <c r="O57" s="172"/>
      <c r="P57" s="172"/>
      <c r="Q57" s="172"/>
      <c r="R57" s="172"/>
      <c r="S57" s="172"/>
      <c r="T57" s="172"/>
      <c r="U57" s="172"/>
      <c r="V57" s="172"/>
      <c r="W57" s="172"/>
      <c r="X57" s="172"/>
      <c r="Y57" s="172"/>
      <c r="Z57" s="172"/>
      <c r="AA57" s="172"/>
    </row>
    <row r="58" spans="1:27" ht="16">
      <c r="A58" s="170" t="str">
        <f t="shared" ca="1" si="0"/>
        <v/>
      </c>
      <c r="B58" s="171" t="str">
        <f t="shared" ca="1" si="1"/>
        <v/>
      </c>
      <c r="C58" s="171" t="str">
        <f t="shared" ca="1" si="2"/>
        <v/>
      </c>
      <c r="D58" s="172">
        <f t="shared" ca="1" si="3"/>
        <v>0</v>
      </c>
      <c r="E58" s="172" t="s">
        <v>281</v>
      </c>
      <c r="F58" s="172"/>
      <c r="G58" s="174"/>
      <c r="H58" s="174"/>
      <c r="I58" s="172">
        <f ca="1">IFERROR(__xludf.DUMMYFUNCTION("""COMPUTED_VALUE"""),0)</f>
        <v>0</v>
      </c>
      <c r="J58" s="172"/>
      <c r="K58" s="172"/>
      <c r="L58" s="172"/>
      <c r="M58" s="172"/>
      <c r="N58" s="172"/>
      <c r="O58" s="172"/>
      <c r="P58" s="172"/>
      <c r="Q58" s="172"/>
      <c r="R58" s="172"/>
      <c r="S58" s="172"/>
      <c r="T58" s="172"/>
      <c r="U58" s="172"/>
      <c r="V58" s="172"/>
      <c r="W58" s="172"/>
      <c r="X58" s="172"/>
      <c r="Y58" s="172"/>
      <c r="Z58" s="172"/>
      <c r="AA58" s="172"/>
    </row>
    <row r="59" spans="1:27" ht="16">
      <c r="A59" s="170" t="str">
        <f t="shared" ca="1" si="0"/>
        <v/>
      </c>
      <c r="B59" s="171" t="str">
        <f t="shared" ca="1" si="1"/>
        <v/>
      </c>
      <c r="C59" s="171" t="str">
        <f t="shared" ca="1" si="2"/>
        <v/>
      </c>
      <c r="D59" s="172">
        <f t="shared" ca="1" si="3"/>
        <v>0</v>
      </c>
      <c r="E59" s="172" t="s">
        <v>281</v>
      </c>
      <c r="F59" s="172"/>
      <c r="G59" s="174"/>
      <c r="H59" s="174"/>
      <c r="I59" s="172">
        <f ca="1">IFERROR(__xludf.DUMMYFUNCTION("""COMPUTED_VALUE"""),0)</f>
        <v>0</v>
      </c>
      <c r="J59" s="172"/>
      <c r="K59" s="172"/>
      <c r="L59" s="172"/>
      <c r="M59" s="172"/>
      <c r="N59" s="172"/>
      <c r="O59" s="172"/>
      <c r="P59" s="172"/>
      <c r="Q59" s="172"/>
      <c r="R59" s="172"/>
      <c r="S59" s="172"/>
      <c r="T59" s="172"/>
      <c r="U59" s="172"/>
      <c r="V59" s="172"/>
      <c r="W59" s="172"/>
      <c r="X59" s="172"/>
      <c r="Y59" s="172"/>
      <c r="Z59" s="172"/>
      <c r="AA59" s="172"/>
    </row>
    <row r="60" spans="1:27" ht="16">
      <c r="A60" s="170" t="str">
        <f t="shared" ca="1" si="0"/>
        <v/>
      </c>
      <c r="B60" s="171" t="str">
        <f t="shared" ca="1" si="1"/>
        <v/>
      </c>
      <c r="C60" s="171" t="str">
        <f t="shared" ca="1" si="2"/>
        <v/>
      </c>
      <c r="D60" s="172">
        <f t="shared" ca="1" si="3"/>
        <v>0</v>
      </c>
      <c r="E60" s="172" t="s">
        <v>281</v>
      </c>
      <c r="F60" s="172"/>
      <c r="G60" s="174"/>
      <c r="H60" s="174"/>
      <c r="I60" s="172">
        <f ca="1">IFERROR(__xludf.DUMMYFUNCTION("""COMPUTED_VALUE"""),0)</f>
        <v>0</v>
      </c>
      <c r="J60" s="172"/>
      <c r="K60" s="172"/>
      <c r="L60" s="172"/>
      <c r="M60" s="172"/>
      <c r="N60" s="172"/>
      <c r="O60" s="172"/>
      <c r="P60" s="172"/>
      <c r="Q60" s="172"/>
      <c r="R60" s="172"/>
      <c r="S60" s="172"/>
      <c r="T60" s="172"/>
      <c r="U60" s="172"/>
      <c r="V60" s="172"/>
      <c r="W60" s="172"/>
      <c r="X60" s="172"/>
      <c r="Y60" s="172"/>
      <c r="Z60" s="172"/>
      <c r="AA60" s="172"/>
    </row>
    <row r="61" spans="1:27" ht="16">
      <c r="A61" s="170" t="str">
        <f t="shared" ca="1" si="0"/>
        <v/>
      </c>
      <c r="B61" s="171" t="str">
        <f t="shared" ca="1" si="1"/>
        <v/>
      </c>
      <c r="C61" s="171" t="str">
        <f t="shared" ca="1" si="2"/>
        <v/>
      </c>
      <c r="D61" s="172">
        <f t="shared" ca="1" si="3"/>
        <v>0</v>
      </c>
      <c r="E61" s="172" t="s">
        <v>281</v>
      </c>
      <c r="F61" s="172"/>
      <c r="G61" s="174"/>
      <c r="H61" s="174"/>
      <c r="I61" s="172">
        <f ca="1">IFERROR(__xludf.DUMMYFUNCTION("""COMPUTED_VALUE"""),0)</f>
        <v>0</v>
      </c>
      <c r="J61" s="172"/>
      <c r="K61" s="172"/>
      <c r="L61" s="172"/>
      <c r="M61" s="172"/>
      <c r="N61" s="172"/>
      <c r="O61" s="172"/>
      <c r="P61" s="172"/>
      <c r="Q61" s="172"/>
      <c r="R61" s="172"/>
      <c r="S61" s="172"/>
      <c r="T61" s="172"/>
      <c r="U61" s="172"/>
      <c r="V61" s="172"/>
      <c r="W61" s="172"/>
      <c r="X61" s="172"/>
      <c r="Y61" s="172"/>
      <c r="Z61" s="172"/>
      <c r="AA61" s="172"/>
    </row>
    <row r="62" spans="1:27" ht="16">
      <c r="A62" s="170" t="str">
        <f t="shared" ca="1" si="0"/>
        <v/>
      </c>
      <c r="B62" s="171" t="str">
        <f t="shared" ca="1" si="1"/>
        <v/>
      </c>
      <c r="C62" s="171" t="str">
        <f t="shared" ca="1" si="2"/>
        <v/>
      </c>
      <c r="D62" s="172">
        <f t="shared" ca="1" si="3"/>
        <v>0</v>
      </c>
      <c r="E62" s="172" t="s">
        <v>281</v>
      </c>
      <c r="F62" s="172"/>
      <c r="G62" s="174"/>
      <c r="H62" s="174"/>
      <c r="I62" s="172">
        <f ca="1">IFERROR(__xludf.DUMMYFUNCTION("""COMPUTED_VALUE"""),0)</f>
        <v>0</v>
      </c>
      <c r="J62" s="172"/>
      <c r="K62" s="172"/>
      <c r="L62" s="172"/>
      <c r="M62" s="172"/>
      <c r="N62" s="172"/>
      <c r="O62" s="172"/>
      <c r="P62" s="172"/>
      <c r="Q62" s="172"/>
      <c r="R62" s="172"/>
      <c r="S62" s="172"/>
      <c r="T62" s="172"/>
      <c r="U62" s="172"/>
      <c r="V62" s="172"/>
      <c r="W62" s="172"/>
      <c r="X62" s="172"/>
      <c r="Y62" s="172"/>
      <c r="Z62" s="172"/>
      <c r="AA62" s="172"/>
    </row>
    <row r="63" spans="1:27" ht="16">
      <c r="A63" s="170" t="str">
        <f t="shared" ca="1" si="0"/>
        <v/>
      </c>
      <c r="B63" s="171" t="str">
        <f t="shared" ca="1" si="1"/>
        <v/>
      </c>
      <c r="C63" s="171" t="str">
        <f t="shared" ca="1" si="2"/>
        <v/>
      </c>
      <c r="D63" s="172">
        <f t="shared" ca="1" si="3"/>
        <v>0</v>
      </c>
      <c r="E63" s="172" t="s">
        <v>281</v>
      </c>
      <c r="F63" s="172"/>
      <c r="G63" s="174"/>
      <c r="H63" s="174"/>
      <c r="I63" s="172">
        <f ca="1">IFERROR(__xludf.DUMMYFUNCTION("""COMPUTED_VALUE"""),0)</f>
        <v>0</v>
      </c>
      <c r="J63" s="172"/>
      <c r="K63" s="172"/>
      <c r="L63" s="172"/>
      <c r="M63" s="172"/>
      <c r="N63" s="172"/>
      <c r="O63" s="172"/>
      <c r="P63" s="172"/>
      <c r="Q63" s="172"/>
      <c r="R63" s="172"/>
      <c r="S63" s="172"/>
      <c r="T63" s="172"/>
      <c r="U63" s="172"/>
      <c r="V63" s="172"/>
      <c r="W63" s="172"/>
      <c r="X63" s="172"/>
      <c r="Y63" s="172"/>
      <c r="Z63" s="172"/>
      <c r="AA63" s="172"/>
    </row>
    <row r="64" spans="1:27" ht="16">
      <c r="A64" s="170" t="str">
        <f t="shared" ca="1" si="0"/>
        <v/>
      </c>
      <c r="B64" s="171" t="str">
        <f t="shared" ca="1" si="1"/>
        <v/>
      </c>
      <c r="C64" s="171" t="str">
        <f t="shared" ca="1" si="2"/>
        <v/>
      </c>
      <c r="D64" s="172">
        <f t="shared" ca="1" si="3"/>
        <v>0</v>
      </c>
      <c r="E64" s="172" t="s">
        <v>281</v>
      </c>
      <c r="F64" s="172"/>
      <c r="G64" s="174"/>
      <c r="H64" s="174"/>
      <c r="I64" s="172">
        <f ca="1">IFERROR(__xludf.DUMMYFUNCTION("""COMPUTED_VALUE"""),0)</f>
        <v>0</v>
      </c>
      <c r="J64" s="172"/>
      <c r="K64" s="172"/>
      <c r="L64" s="172"/>
      <c r="M64" s="172"/>
      <c r="N64" s="172"/>
      <c r="O64" s="172"/>
      <c r="P64" s="172"/>
      <c r="Q64" s="172"/>
      <c r="R64" s="172"/>
      <c r="S64" s="172"/>
      <c r="T64" s="172"/>
      <c r="U64" s="172"/>
      <c r="V64" s="172"/>
      <c r="W64" s="172"/>
      <c r="X64" s="172"/>
      <c r="Y64" s="172"/>
      <c r="Z64" s="172"/>
      <c r="AA64" s="172"/>
    </row>
    <row r="65" spans="1:27" ht="16">
      <c r="A65" s="170" t="str">
        <f t="shared" ca="1" si="0"/>
        <v/>
      </c>
      <c r="B65" s="171" t="str">
        <f t="shared" ca="1" si="1"/>
        <v/>
      </c>
      <c r="C65" s="171" t="str">
        <f t="shared" ca="1" si="2"/>
        <v>Compared with other courses, this and next statistics course is proctored &amp; one-time exam. You need to be prepared if you want higher grade.</v>
      </c>
      <c r="D65" s="172">
        <f t="shared" ca="1" si="3"/>
        <v>1</v>
      </c>
      <c r="E65" s="172">
        <v>4</v>
      </c>
      <c r="F65" s="172"/>
      <c r="G65" s="174"/>
      <c r="H65" s="174"/>
      <c r="I65" s="172">
        <f ca="1">IFERROR(__xludf.DUMMYFUNCTION("""COMPUTED_VALUE"""),0)</f>
        <v>0</v>
      </c>
      <c r="J65" s="172"/>
      <c r="K65" s="172"/>
      <c r="L65" s="172"/>
      <c r="M65" s="172"/>
      <c r="N65" s="172"/>
      <c r="O65" s="172"/>
      <c r="P65" s="172"/>
      <c r="Q65" s="172"/>
      <c r="R65" s="172"/>
      <c r="S65" s="172"/>
      <c r="T65" s="172"/>
      <c r="U65" s="172"/>
      <c r="V65" s="172"/>
      <c r="W65" s="172"/>
      <c r="X65" s="172"/>
      <c r="Y65" s="172"/>
      <c r="Z65" s="172"/>
      <c r="AA65" s="172"/>
    </row>
    <row r="66" spans="1:27" ht="16">
      <c r="A66" s="170" t="str">
        <f t="shared" ca="1" si="0"/>
        <v/>
      </c>
      <c r="B66" s="171" t="str">
        <f t="shared" ca="1" si="1"/>
        <v/>
      </c>
      <c r="C66" s="171" t="str">
        <f t="shared" ca="1" si="2"/>
        <v/>
      </c>
      <c r="D66" s="172">
        <f t="shared" ca="1" si="3"/>
        <v>0</v>
      </c>
      <c r="E66" s="172" t="s">
        <v>281</v>
      </c>
      <c r="F66" s="172"/>
      <c r="G66" s="174"/>
      <c r="H66" s="174"/>
      <c r="I66" s="172">
        <f ca="1">IFERROR(__xludf.DUMMYFUNCTION("""COMPUTED_VALUE"""),0)</f>
        <v>0</v>
      </c>
      <c r="J66" s="172"/>
      <c r="K66" s="172"/>
      <c r="L66" s="172"/>
      <c r="M66" s="172"/>
      <c r="N66" s="172"/>
      <c r="O66" s="172"/>
      <c r="P66" s="172"/>
      <c r="Q66" s="172"/>
      <c r="R66" s="172"/>
      <c r="S66" s="172"/>
      <c r="T66" s="172"/>
      <c r="U66" s="172"/>
      <c r="V66" s="172"/>
      <c r="W66" s="172"/>
      <c r="X66" s="172"/>
      <c r="Y66" s="172"/>
      <c r="Z66" s="172"/>
      <c r="AA66" s="172"/>
    </row>
    <row r="67" spans="1:27" ht="16">
      <c r="A67" s="170" t="str">
        <f t="shared" ca="1" si="0"/>
        <v/>
      </c>
      <c r="B67" s="171" t="str">
        <f t="shared" ca="1" si="1"/>
        <v/>
      </c>
      <c r="C67" s="171" t="str">
        <f t="shared" ca="1" si="2"/>
        <v/>
      </c>
      <c r="D67" s="172">
        <f t="shared" ca="1" si="3"/>
        <v>0</v>
      </c>
      <c r="E67" s="172" t="s">
        <v>281</v>
      </c>
      <c r="F67" s="172"/>
      <c r="G67" s="174"/>
      <c r="H67" s="174"/>
      <c r="I67" s="172">
        <f ca="1">IFERROR(__xludf.DUMMYFUNCTION("""COMPUTED_VALUE"""),0)</f>
        <v>0</v>
      </c>
      <c r="J67" s="172"/>
      <c r="K67" s="172"/>
      <c r="L67" s="172"/>
      <c r="M67" s="172"/>
      <c r="N67" s="172"/>
      <c r="O67" s="172"/>
      <c r="P67" s="172"/>
      <c r="Q67" s="172"/>
      <c r="R67" s="172"/>
      <c r="S67" s="172"/>
      <c r="T67" s="172"/>
      <c r="U67" s="172"/>
      <c r="V67" s="172"/>
      <c r="W67" s="172"/>
      <c r="X67" s="172"/>
      <c r="Y67" s="172"/>
      <c r="Z67" s="172"/>
      <c r="AA67" s="172"/>
    </row>
    <row r="68" spans="1:27" ht="16">
      <c r="A68" s="170" t="str">
        <f t="shared" ca="1" si="0"/>
        <v/>
      </c>
      <c r="B68" s="171" t="str">
        <f t="shared" ca="1" si="1"/>
        <v/>
      </c>
      <c r="C68" s="171" t="str">
        <f t="shared" ca="1" si="2"/>
        <v/>
      </c>
      <c r="D68" s="172">
        <f t="shared" ca="1" si="3"/>
        <v>0</v>
      </c>
      <c r="E68" s="172" t="s">
        <v>281</v>
      </c>
      <c r="F68" s="172"/>
      <c r="G68" s="174"/>
      <c r="H68" s="174"/>
      <c r="I68" s="172">
        <f ca="1">IFERROR(__xludf.DUMMYFUNCTION("""COMPUTED_VALUE"""),0)</f>
        <v>0</v>
      </c>
      <c r="J68" s="172"/>
      <c r="K68" s="172"/>
      <c r="L68" s="172"/>
      <c r="M68" s="172"/>
      <c r="N68" s="172"/>
      <c r="O68" s="172"/>
      <c r="P68" s="172"/>
      <c r="Q68" s="172"/>
      <c r="R68" s="172"/>
      <c r="S68" s="172"/>
      <c r="T68" s="172"/>
      <c r="U68" s="172"/>
      <c r="V68" s="172"/>
      <c r="W68" s="172"/>
      <c r="X68" s="172"/>
      <c r="Y68" s="172"/>
      <c r="Z68" s="172"/>
      <c r="AA68" s="172"/>
    </row>
    <row r="69" spans="1:27" ht="16">
      <c r="A69" s="170" t="str">
        <f t="shared" ca="1" si="0"/>
        <v/>
      </c>
      <c r="B69" s="171" t="str">
        <f t="shared" ca="1" si="1"/>
        <v/>
      </c>
      <c r="C69" s="171" t="str">
        <f t="shared" ca="1" si="2"/>
        <v/>
      </c>
      <c r="D69" s="172">
        <f t="shared" ca="1" si="3"/>
        <v>0</v>
      </c>
      <c r="E69" s="172" t="s">
        <v>281</v>
      </c>
      <c r="F69" s="172"/>
      <c r="G69" s="174"/>
      <c r="H69" s="174"/>
      <c r="I69" s="172">
        <f ca="1">IFERROR(__xludf.DUMMYFUNCTION("""COMPUTED_VALUE"""),0)</f>
        <v>0</v>
      </c>
      <c r="J69" s="172"/>
      <c r="K69" s="172"/>
      <c r="L69" s="172"/>
      <c r="M69" s="172"/>
      <c r="N69" s="172"/>
      <c r="O69" s="172"/>
      <c r="P69" s="172"/>
      <c r="Q69" s="172"/>
      <c r="R69" s="172"/>
      <c r="S69" s="172"/>
      <c r="T69" s="172"/>
      <c r="U69" s="172"/>
      <c r="V69" s="172"/>
      <c r="W69" s="172"/>
      <c r="X69" s="172"/>
      <c r="Y69" s="172"/>
      <c r="Z69" s="172"/>
      <c r="AA69" s="172"/>
    </row>
    <row r="70" spans="1:27" ht="16">
      <c r="A70" s="170" t="str">
        <f t="shared" ca="1" si="0"/>
        <v/>
      </c>
      <c r="B70" s="171" t="str">
        <f t="shared" ca="1" si="1"/>
        <v/>
      </c>
      <c r="C70" s="171" t="str">
        <f t="shared" ca="1" si="2"/>
        <v/>
      </c>
      <c r="D70" s="172">
        <f t="shared" ca="1" si="3"/>
        <v>0</v>
      </c>
      <c r="E70" s="172" t="s">
        <v>281</v>
      </c>
      <c r="F70" s="172"/>
      <c r="G70" s="174"/>
      <c r="H70" s="174"/>
      <c r="I70" s="172">
        <f ca="1">IFERROR(__xludf.DUMMYFUNCTION("""COMPUTED_VALUE"""),0)</f>
        <v>0</v>
      </c>
      <c r="J70" s="172"/>
      <c r="K70" s="172"/>
      <c r="L70" s="172"/>
      <c r="M70" s="172"/>
      <c r="N70" s="172"/>
      <c r="O70" s="172"/>
      <c r="P70" s="172"/>
      <c r="Q70" s="172"/>
      <c r="R70" s="172"/>
      <c r="S70" s="172"/>
      <c r="T70" s="172"/>
      <c r="U70" s="172"/>
      <c r="V70" s="172"/>
      <c r="W70" s="172"/>
      <c r="X70" s="172"/>
      <c r="Y70" s="172"/>
      <c r="Z70" s="172"/>
      <c r="AA70" s="172"/>
    </row>
    <row r="71" spans="1:27" ht="16">
      <c r="A71" s="170" t="str">
        <f t="shared" ca="1" si="0"/>
        <v/>
      </c>
      <c r="B71" s="171" t="str">
        <f t="shared" ca="1" si="1"/>
        <v/>
      </c>
      <c r="C71" s="171" t="str">
        <f t="shared" ca="1" si="2"/>
        <v/>
      </c>
      <c r="D71" s="172">
        <f t="shared" ca="1" si="3"/>
        <v>0</v>
      </c>
      <c r="E71" s="172" t="s">
        <v>281</v>
      </c>
      <c r="F71" s="172"/>
      <c r="G71" s="174"/>
      <c r="H71" s="174"/>
      <c r="I71" s="172">
        <f ca="1">IFERROR(__xludf.DUMMYFUNCTION("""COMPUTED_VALUE"""),0)</f>
        <v>0</v>
      </c>
      <c r="J71" s="172"/>
      <c r="K71" s="172"/>
      <c r="L71" s="172"/>
      <c r="M71" s="172"/>
      <c r="N71" s="172"/>
      <c r="O71" s="172"/>
      <c r="P71" s="172"/>
      <c r="Q71" s="172"/>
      <c r="R71" s="172"/>
      <c r="S71" s="172"/>
      <c r="T71" s="172"/>
      <c r="U71" s="172"/>
      <c r="V71" s="172"/>
      <c r="W71" s="172"/>
      <c r="X71" s="172"/>
      <c r="Y71" s="172"/>
      <c r="Z71" s="172"/>
      <c r="AA71" s="172"/>
    </row>
    <row r="72" spans="1:27" ht="16">
      <c r="A72" s="170" t="str">
        <f t="shared" ca="1" si="0"/>
        <v/>
      </c>
      <c r="B72" s="171" t="str">
        <f t="shared" ca="1" si="1"/>
        <v/>
      </c>
      <c r="C72" s="171">
        <f t="shared" ca="1" si="2"/>
        <v>0</v>
      </c>
      <c r="D72" s="172">
        <f t="shared" ca="1" si="3"/>
        <v>1</v>
      </c>
      <c r="E72" s="172">
        <v>3</v>
      </c>
      <c r="F72" s="172"/>
      <c r="G72" s="174"/>
      <c r="H72" s="174"/>
      <c r="I72" s="172">
        <f ca="1">IFERROR(__xludf.DUMMYFUNCTION("""COMPUTED_VALUE"""),0)</f>
        <v>0</v>
      </c>
      <c r="J72" s="172"/>
      <c r="K72" s="172"/>
      <c r="L72" s="172"/>
      <c r="M72" s="172"/>
      <c r="N72" s="172"/>
      <c r="O72" s="172"/>
      <c r="P72" s="172"/>
      <c r="Q72" s="172"/>
      <c r="R72" s="172"/>
      <c r="S72" s="172"/>
      <c r="T72" s="172"/>
      <c r="U72" s="172"/>
      <c r="V72" s="172"/>
      <c r="W72" s="172"/>
      <c r="X72" s="172"/>
      <c r="Y72" s="172"/>
      <c r="Z72" s="172"/>
      <c r="AA72" s="172"/>
    </row>
    <row r="73" spans="1:27" ht="16">
      <c r="A73" s="170" t="str">
        <f t="shared" ca="1" si="0"/>
        <v/>
      </c>
      <c r="B73" s="171" t="str">
        <f t="shared" ca="1" si="1"/>
        <v/>
      </c>
      <c r="C73" s="171">
        <f t="shared" ca="1" si="2"/>
        <v>0</v>
      </c>
      <c r="D73" s="172">
        <f t="shared" ca="1" si="3"/>
        <v>1</v>
      </c>
      <c r="E73" s="172">
        <v>4</v>
      </c>
      <c r="F73" s="172"/>
      <c r="G73" s="174"/>
      <c r="H73" s="174"/>
      <c r="I73" s="172">
        <f ca="1">IFERROR(__xludf.DUMMYFUNCTION("""COMPUTED_VALUE"""),0)</f>
        <v>0</v>
      </c>
      <c r="J73" s="172"/>
      <c r="K73" s="172"/>
      <c r="L73" s="172"/>
      <c r="M73" s="172"/>
      <c r="N73" s="172"/>
      <c r="O73" s="172"/>
      <c r="P73" s="172"/>
      <c r="Q73" s="172"/>
      <c r="R73" s="172"/>
      <c r="S73" s="172"/>
      <c r="T73" s="172"/>
      <c r="U73" s="172"/>
      <c r="V73" s="172"/>
      <c r="W73" s="172"/>
      <c r="X73" s="172"/>
      <c r="Y73" s="172"/>
      <c r="Z73" s="172"/>
      <c r="AA73" s="172"/>
    </row>
    <row r="74" spans="1:27" ht="16">
      <c r="A74" s="170" t="str">
        <f t="shared" ca="1" si="0"/>
        <v/>
      </c>
      <c r="B74" s="171" t="str">
        <f t="shared" ca="1" si="1"/>
        <v/>
      </c>
      <c r="C74" s="171" t="str">
        <f t="shared" ca="1" si="2"/>
        <v/>
      </c>
      <c r="D74" s="172">
        <f t="shared" ca="1" si="3"/>
        <v>0</v>
      </c>
      <c r="E74" s="172" t="s">
        <v>281</v>
      </c>
      <c r="F74" s="172"/>
      <c r="G74" s="174"/>
      <c r="H74" s="174"/>
      <c r="I74" s="172">
        <f ca="1">IFERROR(__xludf.DUMMYFUNCTION("""COMPUTED_VALUE"""),0)</f>
        <v>0</v>
      </c>
      <c r="J74" s="172"/>
      <c r="K74" s="172"/>
      <c r="L74" s="172"/>
      <c r="M74" s="172"/>
      <c r="N74" s="172"/>
      <c r="O74" s="172"/>
      <c r="P74" s="172"/>
      <c r="Q74" s="172"/>
      <c r="R74" s="172"/>
      <c r="S74" s="172"/>
      <c r="T74" s="172"/>
      <c r="U74" s="172"/>
      <c r="V74" s="172"/>
      <c r="W74" s="172"/>
      <c r="X74" s="172"/>
      <c r="Y74" s="172"/>
      <c r="Z74" s="172"/>
      <c r="AA74" s="172"/>
    </row>
    <row r="75" spans="1:27" ht="16">
      <c r="A75" s="170" t="str">
        <f t="shared" ca="1" si="0"/>
        <v/>
      </c>
      <c r="B75" s="171" t="str">
        <f t="shared" ca="1" si="1"/>
        <v/>
      </c>
      <c r="C75" s="171" t="str">
        <f t="shared" ca="1" si="2"/>
        <v/>
      </c>
      <c r="D75" s="172">
        <f t="shared" ca="1" si="3"/>
        <v>0</v>
      </c>
      <c r="E75" s="172" t="s">
        <v>281</v>
      </c>
      <c r="F75" s="172"/>
      <c r="G75" s="174"/>
      <c r="H75" s="174"/>
      <c r="I75" s="172">
        <f ca="1">IFERROR(__xludf.DUMMYFUNCTION("""COMPUTED_VALUE"""),0)</f>
        <v>0</v>
      </c>
      <c r="J75" s="172"/>
      <c r="K75" s="172"/>
      <c r="L75" s="172"/>
      <c r="M75" s="172"/>
      <c r="N75" s="172"/>
      <c r="O75" s="172"/>
      <c r="P75" s="172"/>
      <c r="Q75" s="172"/>
      <c r="R75" s="172"/>
      <c r="S75" s="172"/>
      <c r="T75" s="172"/>
      <c r="U75" s="172"/>
      <c r="V75" s="172"/>
      <c r="W75" s="172"/>
      <c r="X75" s="172"/>
      <c r="Y75" s="172"/>
      <c r="Z75" s="172"/>
      <c r="AA75" s="172"/>
    </row>
    <row r="76" spans="1:27" ht="16">
      <c r="A76" s="170" t="str">
        <f t="shared" ca="1" si="0"/>
        <v/>
      </c>
      <c r="B76" s="171" t="str">
        <f t="shared" ca="1" si="1"/>
        <v/>
      </c>
      <c r="C76" s="171" t="str">
        <f t="shared" ca="1" si="2"/>
        <v/>
      </c>
      <c r="D76" s="172">
        <f t="shared" ca="1" si="3"/>
        <v>0</v>
      </c>
      <c r="E76" s="172" t="s">
        <v>281</v>
      </c>
      <c r="F76" s="172"/>
      <c r="G76" s="174"/>
      <c r="H76" s="174"/>
      <c r="I76" s="172">
        <f ca="1">IFERROR(__xludf.DUMMYFUNCTION("""COMPUTED_VALUE"""),0)</f>
        <v>0</v>
      </c>
      <c r="J76" s="172"/>
      <c r="K76" s="172"/>
      <c r="L76" s="172"/>
      <c r="M76" s="172"/>
      <c r="N76" s="172"/>
      <c r="O76" s="172"/>
      <c r="P76" s="172"/>
      <c r="Q76" s="172"/>
      <c r="R76" s="172"/>
      <c r="S76" s="172"/>
      <c r="T76" s="172"/>
      <c r="U76" s="172"/>
      <c r="V76" s="172"/>
      <c r="W76" s="172"/>
      <c r="X76" s="172"/>
      <c r="Y76" s="172"/>
      <c r="Z76" s="172"/>
      <c r="AA76" s="172"/>
    </row>
    <row r="77" spans="1:27" ht="16">
      <c r="A77" s="170" t="str">
        <f t="shared" ca="1" si="0"/>
        <v/>
      </c>
      <c r="B77" s="171" t="str">
        <f t="shared" ca="1" si="1"/>
        <v/>
      </c>
      <c r="C77" s="171" t="str">
        <f t="shared" ca="1" si="2"/>
        <v/>
      </c>
      <c r="D77" s="172">
        <f t="shared" ca="1" si="3"/>
        <v>0</v>
      </c>
      <c r="E77" s="172" t="s">
        <v>281</v>
      </c>
      <c r="F77" s="172"/>
      <c r="G77" s="174"/>
      <c r="H77" s="174"/>
      <c r="I77" s="172">
        <f ca="1">IFERROR(__xludf.DUMMYFUNCTION("""COMPUTED_VALUE"""),0)</f>
        <v>0</v>
      </c>
      <c r="J77" s="172"/>
      <c r="K77" s="172"/>
      <c r="L77" s="172"/>
      <c r="M77" s="172"/>
      <c r="N77" s="172"/>
      <c r="O77" s="172"/>
      <c r="P77" s="172"/>
      <c r="Q77" s="172"/>
      <c r="R77" s="172"/>
      <c r="S77" s="172"/>
      <c r="T77" s="172"/>
      <c r="U77" s="172"/>
      <c r="V77" s="172"/>
      <c r="W77" s="172"/>
      <c r="X77" s="172"/>
      <c r="Y77" s="172"/>
      <c r="Z77" s="172"/>
      <c r="AA77" s="172"/>
    </row>
    <row r="78" spans="1:27" ht="16">
      <c r="A78" s="170" t="str">
        <f t="shared" ca="1" si="0"/>
        <v/>
      </c>
      <c r="B78" s="171" t="str">
        <f t="shared" ca="1" si="1"/>
        <v/>
      </c>
      <c r="C78" s="171" t="str">
        <f t="shared" ca="1" si="2"/>
        <v>1. Some calculus and set theory 2. Some memorization required for exam but allowed to use formula sheet</v>
      </c>
      <c r="D78" s="172">
        <f t="shared" ca="1" si="3"/>
        <v>1</v>
      </c>
      <c r="E78" s="172">
        <v>3</v>
      </c>
      <c r="F78" s="172"/>
      <c r="G78" s="174"/>
      <c r="H78" s="174"/>
      <c r="I78" s="172">
        <f ca="1">IFERROR(__xludf.DUMMYFUNCTION("""COMPUTED_VALUE"""),0)</f>
        <v>0</v>
      </c>
      <c r="J78" s="172"/>
      <c r="K78" s="172"/>
      <c r="L78" s="172"/>
      <c r="M78" s="172"/>
      <c r="N78" s="172"/>
      <c r="O78" s="172"/>
      <c r="P78" s="172"/>
      <c r="Q78" s="172"/>
      <c r="R78" s="172"/>
      <c r="S78" s="172"/>
      <c r="T78" s="172"/>
      <c r="U78" s="172"/>
      <c r="V78" s="172"/>
      <c r="W78" s="172"/>
      <c r="X78" s="172"/>
      <c r="Y78" s="172"/>
      <c r="Z78" s="172"/>
      <c r="AA78" s="172"/>
    </row>
    <row r="79" spans="1:27" ht="16">
      <c r="A79" s="170" t="str">
        <f t="shared" ca="1" si="0"/>
        <v/>
      </c>
      <c r="B79" s="171" t="str">
        <f t="shared" ca="1" si="1"/>
        <v/>
      </c>
      <c r="C79" s="171" t="str">
        <f t="shared" ca="1" si="2"/>
        <v>1. The first probability course in the pathway 2. Final exam is tough, requires memorizing formulas not on the formula sheet</v>
      </c>
      <c r="D79" s="172">
        <f t="shared" ca="1" si="3"/>
        <v>1</v>
      </c>
      <c r="E79" s="172">
        <v>4</v>
      </c>
      <c r="F79" s="172"/>
      <c r="G79" s="174"/>
      <c r="H79" s="174"/>
      <c r="I79" s="172">
        <f ca="1">IFERROR(__xludf.DUMMYFUNCTION("""COMPUTED_VALUE"""),0)</f>
        <v>0</v>
      </c>
      <c r="J79" s="172"/>
      <c r="K79" s="172"/>
      <c r="L79" s="172"/>
      <c r="M79" s="172"/>
      <c r="N79" s="172"/>
      <c r="O79" s="172"/>
      <c r="P79" s="172"/>
      <c r="Q79" s="172"/>
      <c r="R79" s="172"/>
      <c r="S79" s="172"/>
      <c r="T79" s="172"/>
      <c r="U79" s="172"/>
      <c r="V79" s="172"/>
      <c r="W79" s="172"/>
      <c r="X79" s="172"/>
      <c r="Y79" s="172"/>
      <c r="Z79" s="172"/>
      <c r="AA79" s="172"/>
    </row>
    <row r="80" spans="1:27" ht="16">
      <c r="A80" s="170" t="str">
        <f t="shared" ca="1" si="0"/>
        <v/>
      </c>
      <c r="B80" s="171" t="str">
        <f t="shared" ca="1" si="1"/>
        <v/>
      </c>
      <c r="C80" s="171" t="str">
        <f t="shared" ca="1" si="2"/>
        <v>Agree with another review: This is difficult, but not more than it needs to be. You should be extremely comfortable with calc before attempting this course: Brush up at least on derivatives, integrals, and series summation.</v>
      </c>
      <c r="D80" s="172">
        <f t="shared" ca="1" si="3"/>
        <v>1</v>
      </c>
      <c r="E80" s="172">
        <v>3</v>
      </c>
      <c r="F80" s="172"/>
      <c r="G80" s="174"/>
      <c r="H80" s="174"/>
      <c r="I80" s="172">
        <f ca="1">IFERROR(__xludf.DUMMYFUNCTION("""COMPUTED_VALUE"""),0)</f>
        <v>0</v>
      </c>
      <c r="J80" s="172"/>
      <c r="K80" s="172"/>
      <c r="L80" s="172"/>
      <c r="M80" s="172"/>
      <c r="N80" s="172"/>
      <c r="O80" s="172"/>
      <c r="P80" s="172"/>
      <c r="Q80" s="172"/>
      <c r="R80" s="172"/>
      <c r="S80" s="172"/>
      <c r="T80" s="172"/>
      <c r="U80" s="172"/>
      <c r="V80" s="172"/>
      <c r="W80" s="172"/>
      <c r="X80" s="172"/>
      <c r="Y80" s="172"/>
      <c r="Z80" s="172"/>
      <c r="AA80" s="172"/>
    </row>
    <row r="81" spans="1:27" ht="16">
      <c r="A81" s="170" t="str">
        <f t="shared" ca="1" si="0"/>
        <v/>
      </c>
      <c r="B81" s="171" t="str">
        <f t="shared" ca="1" si="1"/>
        <v/>
      </c>
      <c r="C81" s="171" t="str">
        <f t="shared" ca="1" si="2"/>
        <v>This is probably the hardest class I've ever taken, but the good news is that you probably only need to earn a C if you're taking it as an outside elective. The professor is pretty good, but she will not walk you through every step most of the time, so you should be extremely comfortable with calculus before attempting. There's a lot of derivatives and integrals, as well as some unintuitive series manipulations.</v>
      </c>
      <c r="D81" s="172">
        <f t="shared" ca="1" si="3"/>
        <v>1</v>
      </c>
      <c r="E81" s="172">
        <v>4</v>
      </c>
      <c r="F81" s="172"/>
      <c r="G81" s="174"/>
      <c r="H81" s="174"/>
      <c r="I81" s="172">
        <f ca="1">IFERROR(__xludf.DUMMYFUNCTION("""COMPUTED_VALUE"""),0)</f>
        <v>0</v>
      </c>
      <c r="J81" s="172"/>
      <c r="K81" s="172"/>
      <c r="L81" s="172"/>
      <c r="M81" s="172"/>
      <c r="N81" s="172"/>
      <c r="O81" s="172"/>
      <c r="P81" s="172"/>
      <c r="Q81" s="172"/>
      <c r="R81" s="172"/>
      <c r="S81" s="172"/>
      <c r="T81" s="172"/>
      <c r="U81" s="172"/>
      <c r="V81" s="172"/>
      <c r="W81" s="172"/>
      <c r="X81" s="172"/>
      <c r="Y81" s="172"/>
      <c r="Z81" s="172"/>
      <c r="AA81" s="172"/>
    </row>
    <row r="82" spans="1:27" ht="16">
      <c r="A82" s="170" t="str">
        <f t="shared" ca="1" si="0"/>
        <v/>
      </c>
      <c r="B82" s="171" t="str">
        <f t="shared" ca="1" si="1"/>
        <v/>
      </c>
      <c r="C82" s="171" t="str">
        <f t="shared" ca="1" si="2"/>
        <v>5003 builds on 5002, so a lot of the material is review, and showing you what else you can do with that knowledge. This is probably the easiest of the 3 stats courses -- or at least, it will be by the time you get to it. It's still reasonably challenging, and there are a lot of formulas you'll have to memorize, but there's much less need to derive formulas for yourself like you had in 5002. I actually recommend doing both 5002 and 5003 non-credit before attempting the final on 5002, because you will get a lot of extra practice with the concepts from that course in 5003.</v>
      </c>
      <c r="D82" s="172">
        <f t="shared" ca="1" si="3"/>
        <v>1</v>
      </c>
      <c r="E82" s="172">
        <v>5</v>
      </c>
      <c r="F82" s="172"/>
      <c r="G82" s="174"/>
      <c r="H82" s="174"/>
      <c r="I82" s="172">
        <f ca="1">IFERROR(__xludf.DUMMYFUNCTION("""COMPUTED_VALUE"""),0)</f>
        <v>0</v>
      </c>
      <c r="J82" s="172"/>
      <c r="K82" s="172"/>
      <c r="L82" s="172"/>
      <c r="M82" s="172"/>
      <c r="N82" s="172"/>
      <c r="O82" s="172"/>
      <c r="P82" s="172"/>
      <c r="Q82" s="172"/>
      <c r="R82" s="172"/>
      <c r="S82" s="172"/>
      <c r="T82" s="172"/>
      <c r="U82" s="172"/>
      <c r="V82" s="172"/>
      <c r="W82" s="172"/>
      <c r="X82" s="172"/>
      <c r="Y82" s="172"/>
      <c r="Z82" s="172"/>
      <c r="AA82" s="172"/>
    </row>
    <row r="83" spans="1:27" ht="16">
      <c r="A83" s="170" t="str">
        <f t="shared" ca="1" si="0"/>
        <v/>
      </c>
      <c r="B83" s="171" t="str">
        <f t="shared" ca="1" si="1"/>
        <v/>
      </c>
      <c r="C83" s="171">
        <f t="shared" ca="1" si="2"/>
        <v>0</v>
      </c>
      <c r="D83" s="172">
        <f t="shared" ca="1" si="3"/>
        <v>1</v>
      </c>
      <c r="E83" s="172">
        <v>5</v>
      </c>
      <c r="F83" s="172"/>
      <c r="G83" s="174"/>
      <c r="H83" s="174"/>
      <c r="I83" s="172">
        <f ca="1">IFERROR(__xludf.DUMMYFUNCTION("""COMPUTED_VALUE"""),0)</f>
        <v>0</v>
      </c>
      <c r="J83" s="172"/>
      <c r="K83" s="172"/>
      <c r="L83" s="172"/>
      <c r="M83" s="172"/>
      <c r="N83" s="172"/>
      <c r="O83" s="172"/>
      <c r="P83" s="172"/>
      <c r="Q83" s="172"/>
      <c r="R83" s="172"/>
      <c r="S83" s="172"/>
      <c r="T83" s="172"/>
      <c r="U83" s="172"/>
      <c r="V83" s="172"/>
      <c r="W83" s="172"/>
      <c r="X83" s="172"/>
      <c r="Y83" s="172"/>
      <c r="Z83" s="172"/>
      <c r="AA83" s="172"/>
    </row>
    <row r="84" spans="1:27" ht="16">
      <c r="A84" s="170" t="str">
        <f t="shared" ca="1" si="0"/>
        <v/>
      </c>
      <c r="B84" s="171" t="str">
        <f t="shared" ca="1" si="1"/>
        <v/>
      </c>
      <c r="C84" s="171">
        <f t="shared" ca="1" si="2"/>
        <v>0</v>
      </c>
      <c r="D84" s="172">
        <f t="shared" ca="1" si="3"/>
        <v>1</v>
      </c>
      <c r="E84" s="172">
        <v>3</v>
      </c>
      <c r="F84" s="172"/>
      <c r="G84" s="174"/>
      <c r="H84" s="174"/>
      <c r="I84" s="172">
        <f ca="1">IFERROR(__xludf.DUMMYFUNCTION("""COMPUTED_VALUE"""),0)</f>
        <v>0</v>
      </c>
      <c r="J84" s="172"/>
      <c r="K84" s="172"/>
      <c r="L84" s="172"/>
      <c r="M84" s="172"/>
      <c r="N84" s="172"/>
      <c r="O84" s="172"/>
      <c r="P84" s="172"/>
      <c r="Q84" s="172"/>
      <c r="R84" s="172"/>
      <c r="S84" s="172"/>
      <c r="T84" s="172"/>
      <c r="U84" s="172"/>
      <c r="V84" s="172"/>
      <c r="W84" s="172"/>
      <c r="X84" s="172"/>
      <c r="Y84" s="172"/>
      <c r="Z84" s="172"/>
      <c r="AA84" s="172"/>
    </row>
    <row r="85" spans="1:27" ht="16">
      <c r="A85" s="170" t="str">
        <f t="shared" ca="1" si="0"/>
        <v/>
      </c>
      <c r="B85" s="171" t="str">
        <f t="shared" ca="1" si="1"/>
        <v/>
      </c>
      <c r="C85" s="171" t="str">
        <f t="shared" ca="1" si="2"/>
        <v/>
      </c>
      <c r="D85" s="172">
        <f t="shared" ca="1" si="3"/>
        <v>0</v>
      </c>
      <c r="E85" s="172" t="s">
        <v>281</v>
      </c>
      <c r="F85" s="172"/>
      <c r="G85" s="174"/>
      <c r="H85" s="174"/>
      <c r="I85" s="172">
        <f ca="1">IFERROR(__xludf.DUMMYFUNCTION("""COMPUTED_VALUE"""),0)</f>
        <v>0</v>
      </c>
      <c r="J85" s="172"/>
      <c r="K85" s="172"/>
      <c r="L85" s="172"/>
      <c r="M85" s="172"/>
      <c r="N85" s="172"/>
      <c r="O85" s="172"/>
      <c r="P85" s="172"/>
      <c r="Q85" s="172"/>
      <c r="R85" s="172"/>
      <c r="S85" s="172"/>
      <c r="T85" s="172"/>
      <c r="U85" s="172"/>
      <c r="V85" s="172"/>
      <c r="W85" s="172"/>
      <c r="X85" s="172"/>
      <c r="Y85" s="172"/>
      <c r="Z85" s="172"/>
      <c r="AA85" s="172"/>
    </row>
    <row r="86" spans="1:27" ht="16">
      <c r="A86" s="170" t="str">
        <f t="shared" ca="1" si="0"/>
        <v/>
      </c>
      <c r="B86" s="171" t="str">
        <f t="shared" ca="1" si="1"/>
        <v/>
      </c>
      <c r="C86" s="171" t="str">
        <f t="shared" ca="1" si="2"/>
        <v xml:space="preserve">Algebra, Calculus, R. Some of the reading did not fit well with the lectures. The first couple of weeks are difficult and unclear until reading into week 3. Not enough examples to help. </v>
      </c>
      <c r="D86" s="172">
        <f t="shared" ca="1" si="3"/>
        <v>1</v>
      </c>
      <c r="E86" s="172">
        <v>3</v>
      </c>
      <c r="F86" s="172"/>
      <c r="G86" s="174"/>
      <c r="H86" s="174"/>
      <c r="I86" s="172">
        <f ca="1">IFERROR(__xludf.DUMMYFUNCTION("""COMPUTED_VALUE"""),0)</f>
        <v>0</v>
      </c>
      <c r="J86" s="172"/>
      <c r="K86" s="172"/>
      <c r="L86" s="172"/>
      <c r="M86" s="172"/>
      <c r="N86" s="172"/>
      <c r="O86" s="172"/>
      <c r="P86" s="172"/>
      <c r="Q86" s="172"/>
      <c r="R86" s="172"/>
      <c r="S86" s="172"/>
      <c r="T86" s="172"/>
      <c r="U86" s="172"/>
      <c r="V86" s="172"/>
      <c r="W86" s="172"/>
      <c r="X86" s="172"/>
      <c r="Y86" s="172"/>
      <c r="Z86" s="172"/>
      <c r="AA86" s="172"/>
    </row>
    <row r="87" spans="1:27" ht="16">
      <c r="A87" s="170" t="str">
        <f t="shared" ca="1" si="0"/>
        <v/>
      </c>
      <c r="B87" s="171" t="str">
        <f t="shared" ca="1" si="1"/>
        <v/>
      </c>
      <c r="C87" s="171" t="str">
        <f t="shared" ca="1" si="2"/>
        <v/>
      </c>
      <c r="D87" s="172">
        <f t="shared" ca="1" si="3"/>
        <v>0</v>
      </c>
      <c r="E87" s="172" t="s">
        <v>281</v>
      </c>
      <c r="F87" s="172"/>
      <c r="G87" s="174"/>
      <c r="H87" s="174"/>
      <c r="I87" s="172">
        <f ca="1">IFERROR(__xludf.DUMMYFUNCTION("""COMPUTED_VALUE"""),0)</f>
        <v>0</v>
      </c>
      <c r="J87" s="172"/>
      <c r="K87" s="172"/>
      <c r="L87" s="172"/>
      <c r="M87" s="172"/>
      <c r="N87" s="172"/>
      <c r="O87" s="172"/>
      <c r="P87" s="172"/>
      <c r="Q87" s="172"/>
      <c r="R87" s="172"/>
      <c r="S87" s="172"/>
      <c r="T87" s="172"/>
      <c r="U87" s="172"/>
      <c r="V87" s="172"/>
      <c r="W87" s="172"/>
      <c r="X87" s="172"/>
      <c r="Y87" s="172"/>
      <c r="Z87" s="172"/>
      <c r="AA87" s="172"/>
    </row>
    <row r="88" spans="1:27" ht="16">
      <c r="A88" s="170" t="str">
        <f t="shared" ca="1" si="0"/>
        <v/>
      </c>
      <c r="B88" s="171" t="str">
        <f t="shared" ca="1" si="1"/>
        <v/>
      </c>
      <c r="C88" s="171">
        <f t="shared" ca="1" si="2"/>
        <v>0</v>
      </c>
      <c r="D88" s="172">
        <f t="shared" ca="1" si="3"/>
        <v>1</v>
      </c>
      <c r="E88" s="172">
        <v>13</v>
      </c>
      <c r="F88" s="172"/>
      <c r="G88" s="174"/>
      <c r="H88" s="174"/>
      <c r="I88" s="172">
        <f ca="1">IFERROR(__xludf.DUMMYFUNCTION("""COMPUTED_VALUE"""),0)</f>
        <v>0</v>
      </c>
      <c r="J88" s="172"/>
      <c r="K88" s="172"/>
      <c r="L88" s="172"/>
      <c r="M88" s="172"/>
      <c r="N88" s="172"/>
      <c r="O88" s="172"/>
      <c r="P88" s="172"/>
      <c r="Q88" s="172"/>
      <c r="R88" s="172"/>
      <c r="S88" s="172"/>
      <c r="T88" s="172"/>
      <c r="U88" s="172"/>
      <c r="V88" s="172"/>
      <c r="W88" s="172"/>
      <c r="X88" s="172"/>
      <c r="Y88" s="172"/>
      <c r="Z88" s="172"/>
      <c r="AA88" s="172"/>
    </row>
    <row r="89" spans="1:27" ht="16">
      <c r="A89" s="170" t="str">
        <f t="shared" ca="1" si="0"/>
        <v/>
      </c>
      <c r="B89" s="171" t="str">
        <f t="shared" ca="1" si="1"/>
        <v/>
      </c>
      <c r="C89" s="171">
        <f t="shared" ca="1" si="2"/>
        <v>0</v>
      </c>
      <c r="D89" s="172">
        <f t="shared" ca="1" si="3"/>
        <v>1</v>
      </c>
      <c r="E89" s="172">
        <v>14</v>
      </c>
      <c r="F89" s="172"/>
      <c r="G89" s="174"/>
      <c r="H89" s="174"/>
      <c r="I89" s="172">
        <f ca="1">IFERROR(__xludf.DUMMYFUNCTION("""COMPUTED_VALUE"""),0)</f>
        <v>0</v>
      </c>
      <c r="J89" s="172"/>
      <c r="K89" s="172"/>
      <c r="L89" s="172"/>
      <c r="M89" s="172"/>
      <c r="N89" s="172"/>
      <c r="O89" s="172"/>
      <c r="P89" s="172"/>
      <c r="Q89" s="172"/>
      <c r="R89" s="172"/>
      <c r="S89" s="172"/>
      <c r="T89" s="172"/>
      <c r="U89" s="172"/>
      <c r="V89" s="172"/>
      <c r="W89" s="172"/>
      <c r="X89" s="172"/>
      <c r="Y89" s="172"/>
      <c r="Z89" s="172"/>
      <c r="AA89" s="172"/>
    </row>
    <row r="90" spans="1:27" ht="16">
      <c r="A90" s="170" t="str">
        <f t="shared" ca="1" si="0"/>
        <v/>
      </c>
      <c r="B90" s="171" t="str">
        <f t="shared" ca="1" si="1"/>
        <v/>
      </c>
      <c r="C90" s="171" t="str">
        <f t="shared" ca="1" si="2"/>
        <v/>
      </c>
      <c r="D90" s="172">
        <f t="shared" ca="1" si="3"/>
        <v>0</v>
      </c>
      <c r="E90" s="172" t="s">
        <v>281</v>
      </c>
      <c r="F90" s="172"/>
      <c r="G90" s="174"/>
      <c r="H90" s="174"/>
      <c r="I90" s="172">
        <f ca="1">IFERROR(__xludf.DUMMYFUNCTION("""COMPUTED_VALUE"""),0)</f>
        <v>0</v>
      </c>
      <c r="J90" s="172"/>
      <c r="K90" s="172"/>
      <c r="L90" s="172"/>
      <c r="M90" s="172"/>
      <c r="N90" s="172"/>
      <c r="O90" s="172"/>
      <c r="P90" s="172"/>
      <c r="Q90" s="172"/>
      <c r="R90" s="172"/>
      <c r="S90" s="172"/>
      <c r="T90" s="172"/>
      <c r="U90" s="172"/>
      <c r="V90" s="172"/>
      <c r="W90" s="172"/>
      <c r="X90" s="172"/>
      <c r="Y90" s="172"/>
      <c r="Z90" s="172"/>
      <c r="AA90" s="172"/>
    </row>
    <row r="91" spans="1:27" ht="16">
      <c r="A91" s="170" t="str">
        <f t="shared" ca="1" si="0"/>
        <v/>
      </c>
      <c r="B91" s="171" t="str">
        <f t="shared" ca="1" si="1"/>
        <v/>
      </c>
      <c r="C91" s="171" t="str">
        <f t="shared" ca="1" si="2"/>
        <v/>
      </c>
      <c r="D91" s="172">
        <f t="shared" ca="1" si="3"/>
        <v>0</v>
      </c>
      <c r="E91" s="172" t="s">
        <v>281</v>
      </c>
      <c r="F91" s="172"/>
      <c r="G91" s="174"/>
      <c r="H91" s="174"/>
      <c r="I91" s="172">
        <f ca="1">IFERROR(__xludf.DUMMYFUNCTION("""COMPUTED_VALUE"""),0)</f>
        <v>0</v>
      </c>
      <c r="J91" s="172"/>
      <c r="K91" s="172"/>
      <c r="L91" s="172"/>
      <c r="M91" s="172"/>
      <c r="N91" s="172"/>
      <c r="O91" s="172"/>
      <c r="P91" s="172"/>
      <c r="Q91" s="172"/>
      <c r="R91" s="172"/>
      <c r="S91" s="172"/>
      <c r="T91" s="172"/>
      <c r="U91" s="172"/>
      <c r="V91" s="172"/>
      <c r="W91" s="172"/>
      <c r="X91" s="172"/>
      <c r="Y91" s="172"/>
      <c r="Z91" s="172"/>
      <c r="AA91" s="172"/>
    </row>
    <row r="92" spans="1:27" ht="16">
      <c r="A92" s="170" t="str">
        <f t="shared" ca="1" si="0"/>
        <v/>
      </c>
      <c r="B92" s="171" t="str">
        <f t="shared" ca="1" si="1"/>
        <v/>
      </c>
      <c r="C92" s="171" t="str">
        <f t="shared" ca="1" si="2"/>
        <v/>
      </c>
      <c r="D92" s="172">
        <f t="shared" ca="1" si="3"/>
        <v>0</v>
      </c>
      <c r="E92" s="172" t="s">
        <v>281</v>
      </c>
      <c r="F92" s="172"/>
      <c r="G92" s="174"/>
      <c r="H92" s="174"/>
      <c r="I92" s="172">
        <f ca="1">IFERROR(__xludf.DUMMYFUNCTION("""COMPUTED_VALUE"""),0)</f>
        <v>0</v>
      </c>
      <c r="J92" s="172"/>
      <c r="K92" s="172"/>
      <c r="L92" s="172"/>
      <c r="M92" s="172"/>
      <c r="N92" s="172"/>
      <c r="O92" s="172"/>
      <c r="P92" s="172"/>
      <c r="Q92" s="172"/>
      <c r="R92" s="172"/>
      <c r="S92" s="172"/>
      <c r="T92" s="172"/>
      <c r="U92" s="172"/>
      <c r="V92" s="172"/>
      <c r="W92" s="172"/>
      <c r="X92" s="172"/>
      <c r="Y92" s="172"/>
      <c r="Z92" s="172"/>
      <c r="AA92" s="172"/>
    </row>
    <row r="93" spans="1:27" ht="16">
      <c r="A93" s="170" t="str">
        <f t="shared" ca="1" si="0"/>
        <v/>
      </c>
      <c r="B93" s="171" t="str">
        <f t="shared" ca="1" si="1"/>
        <v/>
      </c>
      <c r="C93" s="171" t="str">
        <f t="shared" ca="1" si="2"/>
        <v/>
      </c>
      <c r="D93" s="172">
        <f t="shared" ca="1" si="3"/>
        <v>0</v>
      </c>
      <c r="E93" s="172" t="s">
        <v>281</v>
      </c>
      <c r="F93" s="172"/>
      <c r="G93" s="174"/>
      <c r="H93" s="174"/>
      <c r="I93" s="172">
        <f ca="1">IFERROR(__xludf.DUMMYFUNCTION("""COMPUTED_VALUE"""),0)</f>
        <v>0</v>
      </c>
      <c r="J93" s="172"/>
      <c r="K93" s="172"/>
      <c r="L93" s="172"/>
      <c r="M93" s="172"/>
      <c r="N93" s="172"/>
      <c r="O93" s="172"/>
      <c r="P93" s="172"/>
      <c r="Q93" s="172"/>
      <c r="R93" s="172"/>
      <c r="S93" s="172"/>
      <c r="T93" s="172"/>
      <c r="U93" s="172"/>
      <c r="V93" s="172"/>
      <c r="W93" s="172"/>
      <c r="X93" s="172"/>
      <c r="Y93" s="172"/>
      <c r="Z93" s="172"/>
      <c r="AA93" s="172"/>
    </row>
    <row r="94" spans="1:27" ht="16">
      <c r="A94" s="170" t="str">
        <f t="shared" ca="1" si="0"/>
        <v/>
      </c>
      <c r="B94" s="171" t="str">
        <f t="shared" ca="1" si="1"/>
        <v/>
      </c>
      <c r="C94" s="171" t="str">
        <f t="shared" ca="1" si="2"/>
        <v/>
      </c>
      <c r="D94" s="172">
        <f t="shared" ca="1" si="3"/>
        <v>0</v>
      </c>
      <c r="E94" s="172" t="s">
        <v>281</v>
      </c>
      <c r="F94" s="172"/>
      <c r="G94" s="174"/>
      <c r="H94" s="174"/>
      <c r="I94" s="172">
        <f ca="1">IFERROR(__xludf.DUMMYFUNCTION("""COMPUTED_VALUE"""),0)</f>
        <v>0</v>
      </c>
      <c r="J94" s="172"/>
      <c r="K94" s="172"/>
      <c r="L94" s="172"/>
      <c r="M94" s="172"/>
      <c r="N94" s="172"/>
      <c r="O94" s="172"/>
      <c r="P94" s="172"/>
      <c r="Q94" s="172"/>
      <c r="R94" s="172"/>
      <c r="S94" s="172"/>
      <c r="T94" s="172"/>
      <c r="U94" s="172"/>
      <c r="V94" s="172"/>
      <c r="W94" s="172"/>
      <c r="X94" s="172"/>
      <c r="Y94" s="172"/>
      <c r="Z94" s="172"/>
      <c r="AA94" s="172"/>
    </row>
    <row r="95" spans="1:27" ht="16">
      <c r="A95" s="170" t="str">
        <f t="shared" ca="1" si="0"/>
        <v/>
      </c>
      <c r="B95" s="171" t="str">
        <f t="shared" ca="1" si="1"/>
        <v/>
      </c>
      <c r="C95" s="171" t="str">
        <f t="shared" ca="1" si="2"/>
        <v/>
      </c>
      <c r="D95" s="172">
        <f t="shared" ca="1" si="3"/>
        <v>0</v>
      </c>
      <c r="E95" s="172" t="s">
        <v>281</v>
      </c>
      <c r="F95" s="172"/>
      <c r="G95" s="174"/>
      <c r="H95" s="174"/>
      <c r="I95" s="172">
        <f ca="1">IFERROR(__xludf.DUMMYFUNCTION("""COMPUTED_VALUE"""),0)</f>
        <v>0</v>
      </c>
      <c r="J95" s="172"/>
      <c r="K95" s="172"/>
      <c r="L95" s="172"/>
      <c r="M95" s="172"/>
      <c r="N95" s="172"/>
      <c r="O95" s="172"/>
      <c r="P95" s="172"/>
      <c r="Q95" s="172"/>
      <c r="R95" s="172"/>
      <c r="S95" s="172"/>
      <c r="T95" s="172"/>
      <c r="U95" s="172"/>
      <c r="V95" s="172"/>
      <c r="W95" s="172"/>
      <c r="X95" s="172"/>
      <c r="Y95" s="172"/>
      <c r="Z95" s="172"/>
      <c r="AA95" s="172"/>
    </row>
    <row r="96" spans="1:27" ht="16">
      <c r="A96" s="170" t="str">
        <f t="shared" ca="1" si="0"/>
        <v/>
      </c>
      <c r="B96" s="171" t="str">
        <f t="shared" ca="1" si="1"/>
        <v/>
      </c>
      <c r="C96" s="171" t="str">
        <f t="shared" ca="1" si="2"/>
        <v/>
      </c>
      <c r="D96" s="172">
        <f t="shared" ca="1" si="3"/>
        <v>0</v>
      </c>
      <c r="E96" s="172" t="s">
        <v>281</v>
      </c>
      <c r="F96" s="172"/>
      <c r="G96" s="174"/>
      <c r="H96" s="174"/>
      <c r="I96" s="172">
        <f ca="1">IFERROR(__xludf.DUMMYFUNCTION("""COMPUTED_VALUE"""),0)</f>
        <v>0</v>
      </c>
      <c r="J96" s="172"/>
      <c r="K96" s="172"/>
      <c r="L96" s="172"/>
      <c r="M96" s="172"/>
      <c r="N96" s="172"/>
      <c r="O96" s="172"/>
      <c r="P96" s="172"/>
      <c r="Q96" s="172"/>
      <c r="R96" s="172"/>
      <c r="S96" s="172"/>
      <c r="T96" s="172"/>
      <c r="U96" s="172"/>
      <c r="V96" s="172"/>
      <c r="W96" s="172"/>
      <c r="X96" s="172"/>
      <c r="Y96" s="172"/>
      <c r="Z96" s="172"/>
      <c r="AA96" s="172"/>
    </row>
    <row r="97" spans="1:27" ht="16">
      <c r="A97" s="170" t="str">
        <f t="shared" ca="1" si="0"/>
        <v/>
      </c>
      <c r="B97" s="171" t="str">
        <f t="shared" ca="1" si="1"/>
        <v/>
      </c>
      <c r="C97" s="171" t="str">
        <f t="shared" ca="1" si="2"/>
        <v/>
      </c>
      <c r="D97" s="172">
        <f t="shared" ca="1" si="3"/>
        <v>0</v>
      </c>
      <c r="E97" s="172" t="s">
        <v>281</v>
      </c>
      <c r="F97" s="172"/>
      <c r="G97" s="174"/>
      <c r="H97" s="174"/>
      <c r="I97" s="172">
        <f ca="1">IFERROR(__xludf.DUMMYFUNCTION("""COMPUTED_VALUE"""),0)</f>
        <v>0</v>
      </c>
      <c r="J97" s="172"/>
      <c r="K97" s="172"/>
      <c r="L97" s="172"/>
      <c r="M97" s="172"/>
      <c r="N97" s="172"/>
      <c r="O97" s="172"/>
      <c r="P97" s="172"/>
      <c r="Q97" s="172"/>
      <c r="R97" s="172"/>
      <c r="S97" s="172"/>
      <c r="T97" s="172"/>
      <c r="U97" s="172"/>
      <c r="V97" s="172"/>
      <c r="W97" s="172"/>
      <c r="X97" s="172"/>
      <c r="Y97" s="172"/>
      <c r="Z97" s="172"/>
      <c r="AA97" s="172"/>
    </row>
    <row r="98" spans="1:27" ht="16">
      <c r="A98" s="170" t="str">
        <f t="shared" ca="1" si="0"/>
        <v/>
      </c>
      <c r="B98" s="171" t="str">
        <f t="shared" ca="1" si="1"/>
        <v/>
      </c>
      <c r="C98" s="171" t="str">
        <f t="shared" ca="1" si="2"/>
        <v>I didn't love the "cadence" set between lectures, quizzes, and assignments. R, Calculus, Algebra, and additional resources were needed to complete the course.</v>
      </c>
      <c r="D98" s="172">
        <f t="shared" ca="1" si="3"/>
        <v>1</v>
      </c>
      <c r="E98" s="172">
        <v>3</v>
      </c>
      <c r="F98" s="172"/>
      <c r="G98" s="174"/>
      <c r="H98" s="174"/>
      <c r="I98" s="172">
        <f ca="1">IFERROR(__xludf.DUMMYFUNCTION("""COMPUTED_VALUE"""),0)</f>
        <v>0</v>
      </c>
      <c r="J98" s="172"/>
      <c r="K98" s="172"/>
      <c r="L98" s="172"/>
      <c r="M98" s="172"/>
      <c r="N98" s="172"/>
      <c r="O98" s="172"/>
      <c r="P98" s="172"/>
      <c r="Q98" s="172"/>
      <c r="R98" s="172"/>
      <c r="S98" s="172"/>
      <c r="T98" s="172"/>
      <c r="U98" s="172"/>
      <c r="V98" s="172"/>
      <c r="W98" s="172"/>
      <c r="X98" s="172"/>
      <c r="Y98" s="172"/>
      <c r="Z98" s="172"/>
      <c r="AA98" s="172"/>
    </row>
    <row r="99" spans="1:27" ht="16">
      <c r="A99" s="170" t="str">
        <f t="shared" ca="1" si="0"/>
        <v/>
      </c>
      <c r="B99" s="171" t="str">
        <f t="shared" ca="1" si="1"/>
        <v/>
      </c>
      <c r="C99" s="171">
        <f t="shared" ca="1" si="2"/>
        <v>0</v>
      </c>
      <c r="D99" s="172">
        <f t="shared" ca="1" si="3"/>
        <v>1</v>
      </c>
      <c r="E99" s="172">
        <v>15</v>
      </c>
      <c r="F99" s="172"/>
      <c r="G99" s="174"/>
      <c r="H99" s="174"/>
      <c r="I99" s="172">
        <f ca="1">IFERROR(__xludf.DUMMYFUNCTION("""COMPUTED_VALUE"""),0)</f>
        <v>0</v>
      </c>
      <c r="J99" s="172"/>
      <c r="K99" s="172"/>
      <c r="L99" s="172"/>
      <c r="M99" s="172"/>
      <c r="N99" s="172"/>
      <c r="O99" s="172"/>
      <c r="P99" s="172"/>
      <c r="Q99" s="172"/>
      <c r="R99" s="172"/>
      <c r="S99" s="172"/>
      <c r="T99" s="172"/>
      <c r="U99" s="172"/>
      <c r="V99" s="172"/>
      <c r="W99" s="172"/>
      <c r="X99" s="172"/>
      <c r="Y99" s="172"/>
      <c r="Z99" s="172"/>
      <c r="AA99" s="172"/>
    </row>
    <row r="100" spans="1:27" ht="16">
      <c r="A100" s="170" t="str">
        <f t="shared" ca="1" si="0"/>
        <v/>
      </c>
      <c r="B100" s="171" t="str">
        <f t="shared" ca="1" si="1"/>
        <v/>
      </c>
      <c r="C100" s="171" t="str">
        <f t="shared" ca="1" si="2"/>
        <v/>
      </c>
      <c r="D100" s="172">
        <f t="shared" ca="1" si="3"/>
        <v>0</v>
      </c>
      <c r="E100" s="172" t="s">
        <v>281</v>
      </c>
      <c r="F100" s="172"/>
      <c r="G100" s="174"/>
      <c r="H100" s="174"/>
      <c r="I100" s="172">
        <f ca="1">IFERROR(__xludf.DUMMYFUNCTION("""COMPUTED_VALUE"""),0)</f>
        <v>0</v>
      </c>
      <c r="J100" s="172"/>
      <c r="K100" s="172"/>
      <c r="L100" s="172"/>
      <c r="M100" s="172"/>
      <c r="N100" s="172"/>
      <c r="O100" s="172"/>
      <c r="P100" s="172"/>
      <c r="Q100" s="172"/>
      <c r="R100" s="172"/>
      <c r="S100" s="172"/>
      <c r="T100" s="172"/>
      <c r="U100" s="172"/>
      <c r="V100" s="172"/>
      <c r="W100" s="172"/>
      <c r="X100" s="172"/>
      <c r="Y100" s="172"/>
      <c r="Z100" s="172"/>
      <c r="AA100" s="172"/>
    </row>
    <row r="101" spans="1:27" ht="16">
      <c r="A101" s="170" t="str">
        <f t="shared" ca="1" si="0"/>
        <v/>
      </c>
      <c r="B101" s="171" t="str">
        <f t="shared" ca="1" si="1"/>
        <v/>
      </c>
      <c r="C101" s="171" t="str">
        <f t="shared" ca="1" si="2"/>
        <v/>
      </c>
      <c r="D101" s="172">
        <f t="shared" ca="1" si="3"/>
        <v>0</v>
      </c>
      <c r="E101" s="172" t="s">
        <v>281</v>
      </c>
      <c r="F101" s="172"/>
      <c r="G101" s="174"/>
      <c r="H101" s="174"/>
      <c r="I101" s="172">
        <f ca="1">IFERROR(__xludf.DUMMYFUNCTION("""COMPUTED_VALUE"""),0)</f>
        <v>0</v>
      </c>
      <c r="J101" s="172"/>
      <c r="K101" s="172"/>
      <c r="L101" s="172"/>
      <c r="M101" s="172"/>
      <c r="N101" s="172"/>
      <c r="O101" s="172"/>
      <c r="P101" s="172"/>
      <c r="Q101" s="172"/>
      <c r="R101" s="172"/>
      <c r="S101" s="172"/>
      <c r="T101" s="172"/>
      <c r="U101" s="172"/>
      <c r="V101" s="172"/>
      <c r="W101" s="172"/>
      <c r="X101" s="172"/>
      <c r="Y101" s="172"/>
      <c r="Z101" s="172"/>
      <c r="AA101" s="172"/>
    </row>
    <row r="102" spans="1:27" ht="16">
      <c r="A102" s="170" t="str">
        <f t="shared" ca="1" si="0"/>
        <v/>
      </c>
      <c r="B102" s="171" t="str">
        <f t="shared" ca="1" si="1"/>
        <v/>
      </c>
      <c r="C102" s="171" t="str">
        <f t="shared" ca="1" si="2"/>
        <v>I had taken some statistics courses during my undergraduate studies, which provided a solid foundation for this course. The assignments are relatively easy if you grasp the lecture material. I also found the supplementary book to be quite helpful. If you master the homework assignments, you’ll find the exam to be very manageable.</v>
      </c>
      <c r="D102" s="172">
        <f t="shared" ca="1" si="3"/>
        <v>1</v>
      </c>
      <c r="E102" s="172">
        <v>3</v>
      </c>
      <c r="F102" s="172"/>
      <c r="G102" s="174"/>
      <c r="H102" s="174"/>
      <c r="I102" s="172">
        <f ca="1">IFERROR(__xludf.DUMMYFUNCTION("""COMPUTED_VALUE"""),0)</f>
        <v>0</v>
      </c>
      <c r="J102" s="172"/>
      <c r="K102" s="172"/>
      <c r="L102" s="172"/>
      <c r="M102" s="172"/>
      <c r="N102" s="172"/>
      <c r="O102" s="172"/>
      <c r="P102" s="172"/>
      <c r="Q102" s="172"/>
      <c r="R102" s="172"/>
      <c r="S102" s="172"/>
      <c r="T102" s="172"/>
      <c r="U102" s="172"/>
      <c r="V102" s="172"/>
      <c r="W102" s="172"/>
      <c r="X102" s="172"/>
      <c r="Y102" s="172"/>
      <c r="Z102" s="172"/>
      <c r="AA102" s="172"/>
    </row>
    <row r="103" spans="1:27" ht="16">
      <c r="A103" s="170" t="str">
        <f t="shared" ca="1" si="0"/>
        <v/>
      </c>
      <c r="B103" s="171" t="str">
        <f t="shared" ca="1" si="1"/>
        <v/>
      </c>
      <c r="C103" s="171" t="str">
        <f t="shared" ca="1" si="2"/>
        <v>This course does not meet the expectations of a master’s level curriculum. The content could have been effectively covered in just 30 minutes as part of another course. I invested a significant amount of time on the project, but it doesn’t seem like it received a thorough review.</v>
      </c>
      <c r="D103" s="172">
        <f t="shared" ca="1" si="3"/>
        <v>1</v>
      </c>
      <c r="E103" s="172">
        <v>9</v>
      </c>
      <c r="F103" s="172"/>
      <c r="G103" s="174"/>
      <c r="H103" s="174"/>
      <c r="I103" s="172">
        <f ca="1">IFERROR(__xludf.DUMMYFUNCTION("""COMPUTED_VALUE"""),0)</f>
        <v>0</v>
      </c>
      <c r="J103" s="172"/>
      <c r="K103" s="172"/>
      <c r="L103" s="172"/>
      <c r="M103" s="172"/>
      <c r="N103" s="172"/>
      <c r="O103" s="172"/>
      <c r="P103" s="172"/>
      <c r="Q103" s="172"/>
      <c r="R103" s="172"/>
      <c r="S103" s="172"/>
      <c r="T103" s="172"/>
      <c r="U103" s="172"/>
      <c r="V103" s="172"/>
      <c r="W103" s="172"/>
      <c r="X103" s="172"/>
      <c r="Y103" s="172"/>
      <c r="Z103" s="172"/>
      <c r="AA103" s="172"/>
    </row>
    <row r="104" spans="1:27" ht="16">
      <c r="A104" s="170" t="str">
        <f t="shared" ca="1" si="0"/>
        <v/>
      </c>
      <c r="B104" s="171" t="str">
        <f t="shared" ca="1" si="1"/>
        <v/>
      </c>
      <c r="C104" s="171" t="str">
        <f t="shared" ca="1" si="2"/>
        <v/>
      </c>
      <c r="D104" s="172">
        <f t="shared" ca="1" si="3"/>
        <v>0</v>
      </c>
      <c r="E104" s="172" t="s">
        <v>281</v>
      </c>
      <c r="F104" s="172"/>
      <c r="G104" s="174"/>
      <c r="H104" s="174"/>
      <c r="I104" s="172">
        <f ca="1">IFERROR(__xludf.DUMMYFUNCTION("""COMPUTED_VALUE"""),0)</f>
        <v>0</v>
      </c>
      <c r="J104" s="172"/>
      <c r="K104" s="172"/>
      <c r="L104" s="172"/>
      <c r="M104" s="172"/>
      <c r="N104" s="172"/>
      <c r="O104" s="172"/>
      <c r="P104" s="172"/>
      <c r="Q104" s="172"/>
      <c r="R104" s="172"/>
      <c r="S104" s="172"/>
      <c r="T104" s="172"/>
      <c r="U104" s="172"/>
      <c r="V104" s="172"/>
      <c r="W104" s="172"/>
      <c r="X104" s="172"/>
      <c r="Y104" s="172"/>
      <c r="Z104" s="172"/>
      <c r="AA104" s="172"/>
    </row>
    <row r="105" spans="1:27" ht="16">
      <c r="A105" s="170" t="str">
        <f t="shared" ca="1" si="0"/>
        <v/>
      </c>
      <c r="B105" s="171" t="str">
        <f t="shared" ca="1" si="1"/>
        <v/>
      </c>
      <c r="C105" s="171" t="str">
        <f t="shared" ca="1" si="2"/>
        <v/>
      </c>
      <c r="D105" s="172">
        <f t="shared" ca="1" si="3"/>
        <v>0</v>
      </c>
      <c r="E105" s="172" t="s">
        <v>281</v>
      </c>
      <c r="F105" s="172"/>
      <c r="G105" s="174"/>
      <c r="H105" s="174"/>
      <c r="I105" s="172">
        <f ca="1">IFERROR(__xludf.DUMMYFUNCTION("""COMPUTED_VALUE"""),0)</f>
        <v>0</v>
      </c>
      <c r="J105" s="172"/>
      <c r="K105" s="172"/>
      <c r="L105" s="172"/>
      <c r="M105" s="172"/>
      <c r="N105" s="172"/>
      <c r="O105" s="172"/>
      <c r="P105" s="172"/>
      <c r="Q105" s="172"/>
      <c r="R105" s="172"/>
      <c r="S105" s="172"/>
      <c r="T105" s="172"/>
      <c r="U105" s="172"/>
      <c r="V105" s="172"/>
      <c r="W105" s="172"/>
      <c r="X105" s="172"/>
      <c r="Y105" s="172"/>
      <c r="Z105" s="172"/>
      <c r="AA105" s="172"/>
    </row>
    <row r="106" spans="1:27" ht="16">
      <c r="A106" s="170" t="str">
        <f t="shared" ca="1" si="0"/>
        <v/>
      </c>
      <c r="B106" s="171" t="str">
        <f t="shared" ca="1" si="1"/>
        <v/>
      </c>
      <c r="C106" s="171" t="str">
        <f t="shared" ca="1" si="2"/>
        <v/>
      </c>
      <c r="D106" s="172">
        <f t="shared" ca="1" si="3"/>
        <v>0</v>
      </c>
      <c r="E106" s="172" t="s">
        <v>281</v>
      </c>
      <c r="F106" s="172"/>
      <c r="G106" s="174"/>
      <c r="H106" s="174"/>
      <c r="I106" s="172">
        <f ca="1">IFERROR(__xludf.DUMMYFUNCTION("""COMPUTED_VALUE"""),0)</f>
        <v>0</v>
      </c>
      <c r="J106" s="172"/>
      <c r="K106" s="172"/>
      <c r="L106" s="172"/>
      <c r="M106" s="172"/>
      <c r="N106" s="172"/>
      <c r="O106" s="172"/>
      <c r="P106" s="172"/>
      <c r="Q106" s="172"/>
      <c r="R106" s="172"/>
      <c r="S106" s="172"/>
      <c r="T106" s="172"/>
      <c r="U106" s="172"/>
      <c r="V106" s="172"/>
      <c r="W106" s="172"/>
      <c r="X106" s="172"/>
      <c r="Y106" s="172"/>
      <c r="Z106" s="172"/>
      <c r="AA106" s="172"/>
    </row>
    <row r="107" spans="1:27" ht="16">
      <c r="A107" s="170" t="str">
        <f t="shared" ca="1" si="0"/>
        <v/>
      </c>
      <c r="B107" s="171" t="str">
        <f t="shared" ca="1" si="1"/>
        <v/>
      </c>
      <c r="C107" s="171" t="str">
        <f t="shared" ca="1" si="2"/>
        <v/>
      </c>
      <c r="D107" s="172">
        <f t="shared" ca="1" si="3"/>
        <v>0</v>
      </c>
      <c r="E107" s="172" t="s">
        <v>281</v>
      </c>
      <c r="F107" s="172"/>
      <c r="G107" s="174"/>
      <c r="H107" s="174"/>
      <c r="I107" s="172">
        <f ca="1">IFERROR(__xludf.DUMMYFUNCTION("""COMPUTED_VALUE"""),0)</f>
        <v>0</v>
      </c>
      <c r="J107" s="172"/>
      <c r="K107" s="172"/>
      <c r="L107" s="172"/>
      <c r="M107" s="172"/>
      <c r="N107" s="172"/>
      <c r="O107" s="172"/>
      <c r="P107" s="172"/>
      <c r="Q107" s="172"/>
      <c r="R107" s="172"/>
      <c r="S107" s="172"/>
      <c r="T107" s="172"/>
      <c r="U107" s="172"/>
      <c r="V107" s="172"/>
      <c r="W107" s="172"/>
      <c r="X107" s="172"/>
      <c r="Y107" s="172"/>
      <c r="Z107" s="172"/>
      <c r="AA107" s="172"/>
    </row>
    <row r="108" spans="1:27" ht="16">
      <c r="A108" s="170" t="str">
        <f t="shared" ca="1" si="0"/>
        <v/>
      </c>
      <c r="B108" s="171" t="str">
        <f t="shared" ca="1" si="1"/>
        <v/>
      </c>
      <c r="C108" s="171" t="str">
        <f t="shared" ca="1" si="2"/>
        <v/>
      </c>
      <c r="D108" s="172">
        <f t="shared" ca="1" si="3"/>
        <v>0</v>
      </c>
      <c r="E108" s="172" t="s">
        <v>281</v>
      </c>
      <c r="F108" s="172"/>
      <c r="G108" s="174"/>
      <c r="H108" s="174"/>
      <c r="I108" s="172">
        <f ca="1">IFERROR(__xludf.DUMMYFUNCTION("""COMPUTED_VALUE"""),0)</f>
        <v>0</v>
      </c>
      <c r="J108" s="172"/>
      <c r="K108" s="172"/>
      <c r="L108" s="172"/>
      <c r="M108" s="172"/>
      <c r="N108" s="172"/>
      <c r="O108" s="172"/>
      <c r="P108" s="172"/>
      <c r="Q108" s="172"/>
      <c r="R108" s="172"/>
      <c r="S108" s="172"/>
      <c r="T108" s="172"/>
      <c r="U108" s="172"/>
      <c r="V108" s="172"/>
      <c r="W108" s="172"/>
      <c r="X108" s="172"/>
      <c r="Y108" s="172"/>
      <c r="Z108" s="172"/>
      <c r="AA108" s="172"/>
    </row>
    <row r="109" spans="1:27" ht="16">
      <c r="A109" s="170" t="str">
        <f t="shared" ca="1" si="0"/>
        <v/>
      </c>
      <c r="B109" s="171" t="str">
        <f t="shared" ca="1" si="1"/>
        <v/>
      </c>
      <c r="C109" s="171" t="str">
        <f t="shared" ca="1" si="2"/>
        <v/>
      </c>
      <c r="D109" s="172">
        <f t="shared" ca="1" si="3"/>
        <v>0</v>
      </c>
      <c r="E109" s="172" t="s">
        <v>281</v>
      </c>
      <c r="F109" s="172"/>
      <c r="G109" s="174"/>
      <c r="H109" s="174"/>
      <c r="I109" s="172">
        <f ca="1">IFERROR(__xludf.DUMMYFUNCTION("""COMPUTED_VALUE"""),0)</f>
        <v>0</v>
      </c>
      <c r="J109" s="172"/>
      <c r="K109" s="172"/>
      <c r="L109" s="172"/>
      <c r="M109" s="172"/>
      <c r="N109" s="172"/>
      <c r="O109" s="172"/>
      <c r="P109" s="172"/>
      <c r="Q109" s="172"/>
      <c r="R109" s="172"/>
      <c r="S109" s="172"/>
      <c r="T109" s="172"/>
      <c r="U109" s="172"/>
      <c r="V109" s="172"/>
      <c r="W109" s="172"/>
      <c r="X109" s="172"/>
      <c r="Y109" s="172"/>
      <c r="Z109" s="172"/>
      <c r="AA109" s="172"/>
    </row>
    <row r="110" spans="1:27" ht="16">
      <c r="A110" s="170" t="str">
        <f t="shared" ca="1" si="0"/>
        <v/>
      </c>
      <c r="B110" s="171" t="str">
        <f t="shared" ca="1" si="1"/>
        <v/>
      </c>
      <c r="C110" s="171" t="str">
        <f t="shared" ca="1" si="2"/>
        <v/>
      </c>
      <c r="D110" s="172">
        <f t="shared" ca="1" si="3"/>
        <v>0</v>
      </c>
      <c r="E110" s="172" t="s">
        <v>281</v>
      </c>
      <c r="F110" s="172"/>
      <c r="G110" s="174"/>
      <c r="H110" s="174"/>
      <c r="I110" s="172">
        <f ca="1">IFERROR(__xludf.DUMMYFUNCTION("""COMPUTED_VALUE"""),0)</f>
        <v>0</v>
      </c>
      <c r="J110" s="172"/>
      <c r="K110" s="172"/>
      <c r="L110" s="172"/>
      <c r="M110" s="172"/>
      <c r="N110" s="172"/>
      <c r="O110" s="172"/>
      <c r="P110" s="172"/>
      <c r="Q110" s="172"/>
      <c r="R110" s="172"/>
      <c r="S110" s="172"/>
      <c r="T110" s="172"/>
      <c r="U110" s="172"/>
      <c r="V110" s="172"/>
      <c r="W110" s="172"/>
      <c r="X110" s="172"/>
      <c r="Y110" s="172"/>
      <c r="Z110" s="172"/>
      <c r="AA110" s="172"/>
    </row>
    <row r="111" spans="1:27" ht="16">
      <c r="A111" s="170" t="str">
        <f t="shared" ca="1" si="0"/>
        <v/>
      </c>
      <c r="B111" s="171" t="str">
        <f t="shared" ca="1" si="1"/>
        <v/>
      </c>
      <c r="C111" s="171" t="str">
        <f t="shared" ca="1" si="2"/>
        <v/>
      </c>
      <c r="D111" s="172">
        <f t="shared" ca="1" si="3"/>
        <v>0</v>
      </c>
      <c r="E111" s="172" t="s">
        <v>281</v>
      </c>
      <c r="F111" s="172"/>
      <c r="G111" s="174"/>
      <c r="H111" s="174"/>
      <c r="I111" s="172">
        <f ca="1">IFERROR(__xludf.DUMMYFUNCTION("""COMPUTED_VALUE"""),0)</f>
        <v>0</v>
      </c>
      <c r="J111" s="172"/>
      <c r="K111" s="172"/>
      <c r="L111" s="172"/>
      <c r="M111" s="172"/>
      <c r="N111" s="172"/>
      <c r="O111" s="172"/>
      <c r="P111" s="172"/>
      <c r="Q111" s="172"/>
      <c r="R111" s="172"/>
      <c r="S111" s="172"/>
      <c r="T111" s="172"/>
      <c r="U111" s="172"/>
      <c r="V111" s="172"/>
      <c r="W111" s="172"/>
      <c r="X111" s="172"/>
      <c r="Y111" s="172"/>
      <c r="Z111" s="172"/>
      <c r="AA111" s="172"/>
    </row>
    <row r="112" spans="1:27" ht="16">
      <c r="A112" s="170" t="str">
        <f t="shared" ca="1" si="0"/>
        <v/>
      </c>
      <c r="B112" s="171" t="str">
        <f t="shared" ca="1" si="1"/>
        <v/>
      </c>
      <c r="C112" s="171" t="str">
        <f t="shared" ca="1" si="2"/>
        <v/>
      </c>
      <c r="D112" s="172">
        <f t="shared" ca="1" si="3"/>
        <v>0</v>
      </c>
      <c r="E112" s="172" t="s">
        <v>281</v>
      </c>
      <c r="F112" s="172"/>
      <c r="G112" s="174"/>
      <c r="H112" s="174"/>
      <c r="I112" s="172">
        <f ca="1">IFERROR(__xludf.DUMMYFUNCTION("""COMPUTED_VALUE"""),0)</f>
        <v>0</v>
      </c>
      <c r="J112" s="172"/>
      <c r="K112" s="172"/>
      <c r="L112" s="172"/>
      <c r="M112" s="172"/>
      <c r="N112" s="172"/>
      <c r="O112" s="172"/>
      <c r="P112" s="172"/>
      <c r="Q112" s="172"/>
      <c r="R112" s="172"/>
      <c r="S112" s="172"/>
      <c r="T112" s="172"/>
      <c r="U112" s="172"/>
      <c r="V112" s="172"/>
      <c r="W112" s="172"/>
      <c r="X112" s="172"/>
      <c r="Y112" s="172"/>
      <c r="Z112" s="172"/>
      <c r="AA112" s="172"/>
    </row>
    <row r="113" spans="1:27" ht="16">
      <c r="A113" s="170" t="str">
        <f t="shared" ca="1" si="0"/>
        <v/>
      </c>
      <c r="B113" s="171" t="str">
        <f t="shared" ca="1" si="1"/>
        <v/>
      </c>
      <c r="C113" s="171" t="str">
        <f t="shared" ca="1" si="2"/>
        <v/>
      </c>
      <c r="D113" s="172">
        <f t="shared" ca="1" si="3"/>
        <v>0</v>
      </c>
      <c r="E113" s="172" t="s">
        <v>281</v>
      </c>
      <c r="F113" s="172"/>
      <c r="G113" s="174"/>
      <c r="H113" s="174"/>
      <c r="I113" s="172">
        <f ca="1">IFERROR(__xludf.DUMMYFUNCTION("""COMPUTED_VALUE"""),0)</f>
        <v>0</v>
      </c>
      <c r="J113" s="172"/>
      <c r="K113" s="172"/>
      <c r="L113" s="172"/>
      <c r="M113" s="172"/>
      <c r="N113" s="172"/>
      <c r="O113" s="172"/>
      <c r="P113" s="172"/>
      <c r="Q113" s="172"/>
      <c r="R113" s="172"/>
      <c r="S113" s="172"/>
      <c r="T113" s="172"/>
      <c r="U113" s="172"/>
      <c r="V113" s="172"/>
      <c r="W113" s="172"/>
      <c r="X113" s="172"/>
      <c r="Y113" s="172"/>
      <c r="Z113" s="172"/>
      <c r="AA113" s="172"/>
    </row>
    <row r="114" spans="1:27" ht="16">
      <c r="A114" s="170" t="str">
        <f t="shared" ca="1" si="0"/>
        <v/>
      </c>
      <c r="B114" s="171" t="str">
        <f t="shared" ca="1" si="1"/>
        <v/>
      </c>
      <c r="C114" s="171" t="str">
        <f t="shared" ca="1" si="2"/>
        <v/>
      </c>
      <c r="D114" s="172">
        <f t="shared" ca="1" si="3"/>
        <v>0</v>
      </c>
      <c r="E114" s="172" t="s">
        <v>281</v>
      </c>
      <c r="F114" s="172"/>
      <c r="G114" s="174"/>
      <c r="H114" s="174"/>
      <c r="I114" s="172">
        <f ca="1">IFERROR(__xludf.DUMMYFUNCTION("""COMPUTED_VALUE"""),0)</f>
        <v>0</v>
      </c>
      <c r="J114" s="172"/>
      <c r="K114" s="172"/>
      <c r="L114" s="172"/>
      <c r="M114" s="172"/>
      <c r="N114" s="172"/>
      <c r="O114" s="172"/>
      <c r="P114" s="172"/>
      <c r="Q114" s="172"/>
      <c r="R114" s="172"/>
      <c r="S114" s="172"/>
      <c r="T114" s="172"/>
      <c r="U114" s="172"/>
      <c r="V114" s="172"/>
      <c r="W114" s="172"/>
      <c r="X114" s="172"/>
      <c r="Y114" s="172"/>
      <c r="Z114" s="172"/>
      <c r="AA114" s="172"/>
    </row>
    <row r="115" spans="1:27" ht="16">
      <c r="A115" s="170" t="str">
        <f t="shared" ca="1" si="0"/>
        <v/>
      </c>
      <c r="B115" s="171" t="str">
        <f t="shared" ca="1" si="1"/>
        <v/>
      </c>
      <c r="C115" s="171" t="str">
        <f t="shared" ca="1" si="2"/>
        <v/>
      </c>
      <c r="D115" s="172">
        <f t="shared" ca="1" si="3"/>
        <v>0</v>
      </c>
      <c r="E115" s="172" t="s">
        <v>281</v>
      </c>
      <c r="F115" s="172"/>
      <c r="G115" s="174"/>
      <c r="H115" s="174"/>
      <c r="I115" s="172">
        <f ca="1">IFERROR(__xludf.DUMMYFUNCTION("""COMPUTED_VALUE"""),0)</f>
        <v>0</v>
      </c>
      <c r="J115" s="172"/>
      <c r="K115" s="172"/>
      <c r="L115" s="172"/>
      <c r="M115" s="172"/>
      <c r="N115" s="172"/>
      <c r="O115" s="172"/>
      <c r="P115" s="172"/>
      <c r="Q115" s="172"/>
      <c r="R115" s="172"/>
      <c r="S115" s="172"/>
      <c r="T115" s="172"/>
      <c r="U115" s="172"/>
      <c r="V115" s="172"/>
      <c r="W115" s="172"/>
      <c r="X115" s="172"/>
      <c r="Y115" s="172"/>
      <c r="Z115" s="172"/>
      <c r="AA115" s="172"/>
    </row>
    <row r="116" spans="1:27" ht="16">
      <c r="A116" s="170" t="str">
        <f t="shared" ca="1" si="0"/>
        <v/>
      </c>
      <c r="B116" s="171" t="str">
        <f t="shared" ca="1" si="1"/>
        <v/>
      </c>
      <c r="C116" s="171" t="str">
        <f t="shared" ca="1" si="2"/>
        <v/>
      </c>
      <c r="D116" s="172">
        <f t="shared" ca="1" si="3"/>
        <v>0</v>
      </c>
      <c r="E116" s="172" t="s">
        <v>281</v>
      </c>
      <c r="F116" s="172"/>
      <c r="G116" s="174"/>
      <c r="H116" s="174"/>
      <c r="I116" s="172">
        <f ca="1">IFERROR(__xludf.DUMMYFUNCTION("""COMPUTED_VALUE"""),0)</f>
        <v>0</v>
      </c>
      <c r="J116" s="172"/>
      <c r="K116" s="172"/>
      <c r="L116" s="172"/>
      <c r="M116" s="172"/>
      <c r="N116" s="172"/>
      <c r="O116" s="172"/>
      <c r="P116" s="172"/>
      <c r="Q116" s="172"/>
      <c r="R116" s="172"/>
      <c r="S116" s="172"/>
      <c r="T116" s="172"/>
      <c r="U116" s="172"/>
      <c r="V116" s="172"/>
      <c r="W116" s="172"/>
      <c r="X116" s="172"/>
      <c r="Y116" s="172"/>
      <c r="Z116" s="172"/>
      <c r="AA116" s="172"/>
    </row>
    <row r="117" spans="1:27" ht="16">
      <c r="A117" s="170" t="str">
        <f t="shared" ca="1" si="0"/>
        <v/>
      </c>
      <c r="B117" s="171" t="str">
        <f t="shared" ca="1" si="1"/>
        <v/>
      </c>
      <c r="C117" s="171" t="str">
        <f t="shared" ca="1" si="2"/>
        <v/>
      </c>
      <c r="D117" s="172">
        <f t="shared" ca="1" si="3"/>
        <v>0</v>
      </c>
      <c r="E117" s="172" t="s">
        <v>281</v>
      </c>
      <c r="F117" s="172"/>
      <c r="G117" s="174"/>
      <c r="H117" s="174"/>
      <c r="I117" s="172">
        <f ca="1">IFERROR(__xludf.DUMMYFUNCTION("""COMPUTED_VALUE"""),0)</f>
        <v>0</v>
      </c>
      <c r="J117" s="172"/>
      <c r="K117" s="172"/>
      <c r="L117" s="172"/>
      <c r="M117" s="172"/>
      <c r="N117" s="172"/>
      <c r="O117" s="172"/>
      <c r="P117" s="172"/>
      <c r="Q117" s="172"/>
      <c r="R117" s="172"/>
      <c r="S117" s="172"/>
      <c r="T117" s="172"/>
      <c r="U117" s="172"/>
      <c r="V117" s="172"/>
      <c r="W117" s="172"/>
      <c r="X117" s="172"/>
      <c r="Y117" s="172"/>
      <c r="Z117" s="172"/>
      <c r="AA117" s="172"/>
    </row>
    <row r="118" spans="1:27" ht="16">
      <c r="A118" s="170" t="str">
        <f t="shared" ca="1" si="0"/>
        <v/>
      </c>
      <c r="B118" s="171" t="str">
        <f t="shared" ca="1" si="1"/>
        <v/>
      </c>
      <c r="C118" s="171" t="str">
        <f t="shared" ca="1" si="2"/>
        <v/>
      </c>
      <c r="D118" s="172">
        <f t="shared" ca="1" si="3"/>
        <v>0</v>
      </c>
      <c r="E118" s="172" t="s">
        <v>281</v>
      </c>
      <c r="F118" s="172"/>
      <c r="G118" s="174"/>
      <c r="H118" s="174"/>
      <c r="I118" s="172">
        <f ca="1">IFERROR(__xludf.DUMMYFUNCTION("""COMPUTED_VALUE"""),0)</f>
        <v>0</v>
      </c>
      <c r="J118" s="172"/>
      <c r="K118" s="172"/>
      <c r="L118" s="172"/>
      <c r="M118" s="172"/>
      <c r="N118" s="172"/>
      <c r="O118" s="172"/>
      <c r="P118" s="172"/>
      <c r="Q118" s="172"/>
      <c r="R118" s="172"/>
      <c r="S118" s="172"/>
      <c r="T118" s="172"/>
      <c r="U118" s="172"/>
      <c r="V118" s="172"/>
      <c r="W118" s="172"/>
      <c r="X118" s="172"/>
      <c r="Y118" s="172"/>
      <c r="Z118" s="172"/>
      <c r="AA118" s="172"/>
    </row>
    <row r="119" spans="1:27" ht="16">
      <c r="A119" s="170" t="str">
        <f t="shared" ca="1" si="0"/>
        <v/>
      </c>
      <c r="B119" s="171" t="str">
        <f t="shared" ca="1" si="1"/>
        <v/>
      </c>
      <c r="C119" s="171" t="str">
        <f t="shared" ca="1" si="2"/>
        <v/>
      </c>
      <c r="D119" s="172">
        <f t="shared" ca="1" si="3"/>
        <v>0</v>
      </c>
      <c r="E119" s="172" t="s">
        <v>281</v>
      </c>
      <c r="F119" s="172"/>
      <c r="G119" s="174"/>
      <c r="H119" s="174"/>
      <c r="I119" s="172">
        <f ca="1">IFERROR(__xludf.DUMMYFUNCTION("""COMPUTED_VALUE"""),0)</f>
        <v>0</v>
      </c>
      <c r="J119" s="172"/>
      <c r="K119" s="172"/>
      <c r="L119" s="172"/>
      <c r="M119" s="172"/>
      <c r="N119" s="172"/>
      <c r="O119" s="172"/>
      <c r="P119" s="172"/>
      <c r="Q119" s="172"/>
      <c r="R119" s="172"/>
      <c r="S119" s="172"/>
      <c r="T119" s="172"/>
      <c r="U119" s="172"/>
      <c r="V119" s="172"/>
      <c r="W119" s="172"/>
      <c r="X119" s="172"/>
      <c r="Y119" s="172"/>
      <c r="Z119" s="172"/>
      <c r="AA119" s="172"/>
    </row>
    <row r="120" spans="1:27" ht="16">
      <c r="A120" s="170" t="str">
        <f t="shared" ca="1" si="0"/>
        <v/>
      </c>
      <c r="B120" s="171" t="str">
        <f t="shared" ca="1" si="1"/>
        <v/>
      </c>
      <c r="C120" s="171" t="str">
        <f t="shared" ca="1" si="2"/>
        <v/>
      </c>
      <c r="D120" s="172">
        <f t="shared" ca="1" si="3"/>
        <v>0</v>
      </c>
      <c r="E120" s="172" t="s">
        <v>281</v>
      </c>
      <c r="F120" s="172"/>
      <c r="G120" s="174"/>
      <c r="H120" s="174"/>
      <c r="I120" s="172">
        <f ca="1">IFERROR(__xludf.DUMMYFUNCTION("""COMPUTED_VALUE"""),0)</f>
        <v>0</v>
      </c>
      <c r="J120" s="172"/>
      <c r="K120" s="172"/>
      <c r="L120" s="172"/>
      <c r="M120" s="172"/>
      <c r="N120" s="172"/>
      <c r="O120" s="172"/>
      <c r="P120" s="172"/>
      <c r="Q120" s="172"/>
      <c r="R120" s="172"/>
      <c r="S120" s="172"/>
      <c r="T120" s="172"/>
      <c r="U120" s="172"/>
      <c r="V120" s="172"/>
      <c r="W120" s="172"/>
      <c r="X120" s="172"/>
      <c r="Y120" s="172"/>
      <c r="Z120" s="172"/>
      <c r="AA120" s="172"/>
    </row>
    <row r="121" spans="1:27" ht="16">
      <c r="A121" s="170" t="str">
        <f t="shared" ca="1" si="0"/>
        <v/>
      </c>
      <c r="B121" s="171" t="str">
        <f t="shared" ca="1" si="1"/>
        <v/>
      </c>
      <c r="C121" s="171" t="str">
        <f t="shared" ca="1" si="2"/>
        <v/>
      </c>
      <c r="D121" s="172">
        <f t="shared" ca="1" si="3"/>
        <v>0</v>
      </c>
      <c r="E121" s="172" t="s">
        <v>281</v>
      </c>
      <c r="F121" s="172"/>
      <c r="G121" s="174"/>
      <c r="H121" s="174"/>
      <c r="I121" s="172">
        <f ca="1">IFERROR(__xludf.DUMMYFUNCTION("""COMPUTED_VALUE"""),0)</f>
        <v>0</v>
      </c>
      <c r="J121" s="172"/>
      <c r="K121" s="172"/>
      <c r="L121" s="172"/>
      <c r="M121" s="172"/>
      <c r="N121" s="172"/>
      <c r="O121" s="172"/>
      <c r="P121" s="172"/>
      <c r="Q121" s="172"/>
      <c r="R121" s="172"/>
      <c r="S121" s="172"/>
      <c r="T121" s="172"/>
      <c r="U121" s="172"/>
      <c r="V121" s="172"/>
      <c r="W121" s="172"/>
      <c r="X121" s="172"/>
      <c r="Y121" s="172"/>
      <c r="Z121" s="172"/>
      <c r="AA121" s="172"/>
    </row>
    <row r="122" spans="1:27" ht="16">
      <c r="A122" s="170" t="str">
        <f t="shared" ca="1" si="0"/>
        <v/>
      </c>
      <c r="B122" s="171" t="str">
        <f t="shared" ca="1" si="1"/>
        <v/>
      </c>
      <c r="C122" s="171" t="str">
        <f t="shared" ca="1" si="2"/>
        <v/>
      </c>
      <c r="D122" s="172">
        <f t="shared" ca="1" si="3"/>
        <v>0</v>
      </c>
      <c r="E122" s="172" t="s">
        <v>281</v>
      </c>
      <c r="F122" s="172"/>
      <c r="G122" s="174"/>
      <c r="H122" s="174"/>
      <c r="I122" s="172">
        <f ca="1">IFERROR(__xludf.DUMMYFUNCTION("""COMPUTED_VALUE"""),0)</f>
        <v>0</v>
      </c>
      <c r="J122" s="172"/>
      <c r="K122" s="172"/>
      <c r="L122" s="172"/>
      <c r="M122" s="172"/>
      <c r="N122" s="172"/>
      <c r="O122" s="172"/>
      <c r="P122" s="172"/>
      <c r="Q122" s="172"/>
      <c r="R122" s="172"/>
      <c r="S122" s="172"/>
      <c r="T122" s="172"/>
      <c r="U122" s="172"/>
      <c r="V122" s="172"/>
      <c r="W122" s="172"/>
      <c r="X122" s="172"/>
      <c r="Y122" s="172"/>
      <c r="Z122" s="172"/>
      <c r="AA122" s="172"/>
    </row>
    <row r="123" spans="1:27" ht="16">
      <c r="A123" s="170" t="str">
        <f t="shared" ca="1" si="0"/>
        <v/>
      </c>
      <c r="B123" s="171" t="str">
        <f t="shared" ca="1" si="1"/>
        <v/>
      </c>
      <c r="C123" s="171" t="str">
        <f t="shared" ca="1" si="2"/>
        <v/>
      </c>
      <c r="D123" s="172">
        <f t="shared" ca="1" si="3"/>
        <v>0</v>
      </c>
      <c r="E123" s="172" t="s">
        <v>281</v>
      </c>
      <c r="F123" s="172"/>
      <c r="G123" s="174"/>
      <c r="H123" s="174"/>
      <c r="I123" s="172">
        <f ca="1">IFERROR(__xludf.DUMMYFUNCTION("""COMPUTED_VALUE"""),0)</f>
        <v>0</v>
      </c>
      <c r="J123" s="172"/>
      <c r="K123" s="172"/>
      <c r="L123" s="172"/>
      <c r="M123" s="172"/>
      <c r="N123" s="172"/>
      <c r="O123" s="172"/>
      <c r="P123" s="172"/>
      <c r="Q123" s="172"/>
      <c r="R123" s="172"/>
      <c r="S123" s="172"/>
      <c r="T123" s="172"/>
      <c r="U123" s="172"/>
      <c r="V123" s="172"/>
      <c r="W123" s="172"/>
      <c r="X123" s="172"/>
      <c r="Y123" s="172"/>
      <c r="Z123" s="172"/>
      <c r="AA123" s="172"/>
    </row>
    <row r="124" spans="1:27" ht="16">
      <c r="A124" s="170" t="str">
        <f t="shared" ca="1" si="0"/>
        <v/>
      </c>
      <c r="B124" s="171" t="str">
        <f t="shared" ca="1" si="1"/>
        <v/>
      </c>
      <c r="C124" s="171" t="str">
        <f t="shared" ca="1" si="2"/>
        <v/>
      </c>
      <c r="D124" s="172">
        <f t="shared" ca="1" si="3"/>
        <v>0</v>
      </c>
      <c r="E124" s="172" t="s">
        <v>281</v>
      </c>
      <c r="F124" s="172"/>
      <c r="G124" s="174"/>
      <c r="H124" s="174"/>
      <c r="I124" s="172">
        <f ca="1">IFERROR(__xludf.DUMMYFUNCTION("""COMPUTED_VALUE"""),0)</f>
        <v>0</v>
      </c>
      <c r="J124" s="172"/>
      <c r="K124" s="172"/>
      <c r="L124" s="172"/>
      <c r="M124" s="172"/>
      <c r="N124" s="172"/>
      <c r="O124" s="172"/>
      <c r="P124" s="172"/>
      <c r="Q124" s="172"/>
      <c r="R124" s="172"/>
      <c r="S124" s="172"/>
      <c r="T124" s="172"/>
      <c r="U124" s="172"/>
      <c r="V124" s="172"/>
      <c r="W124" s="172"/>
      <c r="X124" s="172"/>
      <c r="Y124" s="172"/>
      <c r="Z124" s="172"/>
      <c r="AA124" s="172"/>
    </row>
    <row r="125" spans="1:27" ht="16">
      <c r="A125" s="170" t="str">
        <f t="shared" ca="1" si="0"/>
        <v/>
      </c>
      <c r="B125" s="171" t="str">
        <f t="shared" ca="1" si="1"/>
        <v/>
      </c>
      <c r="C125" s="171" t="str">
        <f t="shared" ca="1" si="2"/>
        <v/>
      </c>
      <c r="D125" s="172">
        <f t="shared" ca="1" si="3"/>
        <v>0</v>
      </c>
      <c r="E125" s="172" t="s">
        <v>281</v>
      </c>
      <c r="F125" s="172"/>
      <c r="G125" s="174"/>
      <c r="H125" s="174"/>
      <c r="I125" s="172">
        <f ca="1">IFERROR(__xludf.DUMMYFUNCTION("""COMPUTED_VALUE"""),0)</f>
        <v>0</v>
      </c>
      <c r="J125" s="172"/>
      <c r="K125" s="172"/>
      <c r="L125" s="172"/>
      <c r="M125" s="172"/>
      <c r="N125" s="172"/>
      <c r="O125" s="172"/>
      <c r="P125" s="172"/>
      <c r="Q125" s="172"/>
      <c r="R125" s="172"/>
      <c r="S125" s="172"/>
      <c r="T125" s="172"/>
      <c r="U125" s="172"/>
      <c r="V125" s="172"/>
      <c r="W125" s="172"/>
      <c r="X125" s="172"/>
      <c r="Y125" s="172"/>
      <c r="Z125" s="172"/>
      <c r="AA125" s="172"/>
    </row>
    <row r="126" spans="1:27" ht="16">
      <c r="A126" s="170" t="str">
        <f t="shared" ca="1" si="0"/>
        <v/>
      </c>
      <c r="B126" s="171" t="str">
        <f t="shared" ca="1" si="1"/>
        <v/>
      </c>
      <c r="C126" s="171" t="str">
        <f t="shared" ca="1" si="2"/>
        <v/>
      </c>
      <c r="D126" s="172">
        <f t="shared" ca="1" si="3"/>
        <v>0</v>
      </c>
      <c r="E126" s="172" t="s">
        <v>281</v>
      </c>
      <c r="F126" s="172"/>
      <c r="G126" s="174"/>
      <c r="H126" s="174"/>
      <c r="I126" s="172">
        <f ca="1">IFERROR(__xludf.DUMMYFUNCTION("""COMPUTED_VALUE"""),0)</f>
        <v>0</v>
      </c>
      <c r="J126" s="172"/>
      <c r="K126" s="172"/>
      <c r="L126" s="172"/>
      <c r="M126" s="172"/>
      <c r="N126" s="172"/>
      <c r="O126" s="172"/>
      <c r="P126" s="172"/>
      <c r="Q126" s="172"/>
      <c r="R126" s="172"/>
      <c r="S126" s="172"/>
      <c r="T126" s="172"/>
      <c r="U126" s="172"/>
      <c r="V126" s="172"/>
      <c r="W126" s="172"/>
      <c r="X126" s="172"/>
      <c r="Y126" s="172"/>
      <c r="Z126" s="172"/>
      <c r="AA126" s="172"/>
    </row>
    <row r="127" spans="1:27" ht="16">
      <c r="A127" s="170" t="str">
        <f t="shared" ca="1" si="0"/>
        <v/>
      </c>
      <c r="B127" s="171" t="str">
        <f t="shared" ca="1" si="1"/>
        <v/>
      </c>
      <c r="C127" s="171" t="str">
        <f t="shared" ca="1" si="2"/>
        <v/>
      </c>
      <c r="D127" s="172">
        <f t="shared" ca="1" si="3"/>
        <v>0</v>
      </c>
      <c r="E127" s="172" t="s">
        <v>281</v>
      </c>
      <c r="F127" s="172"/>
      <c r="G127" s="174"/>
      <c r="H127" s="174"/>
      <c r="I127" s="172">
        <f ca="1">IFERROR(__xludf.DUMMYFUNCTION("""COMPUTED_VALUE"""),0)</f>
        <v>0</v>
      </c>
      <c r="J127" s="172"/>
      <c r="K127" s="172"/>
      <c r="L127" s="172"/>
      <c r="M127" s="172"/>
      <c r="N127" s="172"/>
      <c r="O127" s="172"/>
      <c r="P127" s="172"/>
      <c r="Q127" s="172"/>
      <c r="R127" s="172"/>
      <c r="S127" s="172"/>
      <c r="T127" s="172"/>
      <c r="U127" s="172"/>
      <c r="V127" s="172"/>
      <c r="W127" s="172"/>
      <c r="X127" s="172"/>
      <c r="Y127" s="172"/>
      <c r="Z127" s="172"/>
      <c r="AA127" s="172"/>
    </row>
    <row r="128" spans="1:27" ht="16">
      <c r="A128" s="170" t="str">
        <f t="shared" ca="1" si="0"/>
        <v/>
      </c>
      <c r="B128" s="171" t="str">
        <f t="shared" ca="1" si="1"/>
        <v/>
      </c>
      <c r="C128" s="171" t="str">
        <f t="shared" ca="1" si="2"/>
        <v/>
      </c>
      <c r="D128" s="172">
        <f t="shared" ca="1" si="3"/>
        <v>0</v>
      </c>
      <c r="E128" s="172" t="s">
        <v>281</v>
      </c>
      <c r="F128" s="172"/>
      <c r="G128" s="174"/>
      <c r="H128" s="174"/>
      <c r="I128" s="172">
        <f ca="1">IFERROR(__xludf.DUMMYFUNCTION("""COMPUTED_VALUE"""),0)</f>
        <v>0</v>
      </c>
      <c r="J128" s="172"/>
      <c r="K128" s="172"/>
      <c r="L128" s="172"/>
      <c r="M128" s="172"/>
      <c r="N128" s="172"/>
      <c r="O128" s="172"/>
      <c r="P128" s="172"/>
      <c r="Q128" s="172"/>
      <c r="R128" s="172"/>
      <c r="S128" s="172"/>
      <c r="T128" s="172"/>
      <c r="U128" s="172"/>
      <c r="V128" s="172"/>
      <c r="W128" s="172"/>
      <c r="X128" s="172"/>
      <c r="Y128" s="172"/>
      <c r="Z128" s="172"/>
      <c r="AA128" s="172"/>
    </row>
    <row r="129" spans="1:27" ht="16">
      <c r="A129" s="170" t="str">
        <f t="shared" ca="1" si="0"/>
        <v/>
      </c>
      <c r="B129" s="171" t="str">
        <f t="shared" ca="1" si="1"/>
        <v/>
      </c>
      <c r="C129" s="171" t="str">
        <f t="shared" ca="1" si="2"/>
        <v/>
      </c>
      <c r="D129" s="172">
        <f t="shared" ca="1" si="3"/>
        <v>0</v>
      </c>
      <c r="E129" s="172" t="s">
        <v>281</v>
      </c>
      <c r="F129" s="172"/>
      <c r="G129" s="174"/>
      <c r="H129" s="174"/>
      <c r="I129" s="172">
        <f ca="1">IFERROR(__xludf.DUMMYFUNCTION("""COMPUTED_VALUE"""),0)</f>
        <v>0</v>
      </c>
      <c r="J129" s="172"/>
      <c r="K129" s="172"/>
      <c r="L129" s="172"/>
      <c r="M129" s="172"/>
      <c r="N129" s="172"/>
      <c r="O129" s="172"/>
      <c r="P129" s="172"/>
      <c r="Q129" s="172"/>
      <c r="R129" s="172"/>
      <c r="S129" s="172"/>
      <c r="T129" s="172"/>
      <c r="U129" s="172"/>
      <c r="V129" s="172"/>
      <c r="W129" s="172"/>
      <c r="X129" s="172"/>
      <c r="Y129" s="172"/>
      <c r="Z129" s="172"/>
      <c r="AA129" s="172"/>
    </row>
    <row r="130" spans="1:27" ht="16">
      <c r="A130" s="170" t="str">
        <f t="shared" ca="1" si="0"/>
        <v/>
      </c>
      <c r="B130" s="171" t="str">
        <f t="shared" ca="1" si="1"/>
        <v/>
      </c>
      <c r="C130" s="171" t="str">
        <f t="shared" ca="1" si="2"/>
        <v/>
      </c>
      <c r="D130" s="172">
        <f t="shared" ca="1" si="3"/>
        <v>0</v>
      </c>
      <c r="E130" s="172" t="s">
        <v>281</v>
      </c>
      <c r="F130" s="172"/>
      <c r="G130" s="174"/>
      <c r="H130" s="174"/>
      <c r="I130" s="172">
        <f ca="1">IFERROR(__xludf.DUMMYFUNCTION("""COMPUTED_VALUE"""),0)</f>
        <v>0</v>
      </c>
      <c r="J130" s="172"/>
      <c r="K130" s="172"/>
      <c r="L130" s="172"/>
      <c r="M130" s="172"/>
      <c r="N130" s="172"/>
      <c r="O130" s="172"/>
      <c r="P130" s="172"/>
      <c r="Q130" s="172"/>
      <c r="R130" s="172"/>
      <c r="S130" s="172"/>
      <c r="T130" s="172"/>
      <c r="U130" s="172"/>
      <c r="V130" s="172"/>
      <c r="W130" s="172"/>
      <c r="X130" s="172"/>
      <c r="Y130" s="172"/>
      <c r="Z130" s="172"/>
      <c r="AA130" s="172"/>
    </row>
    <row r="131" spans="1:27" ht="16">
      <c r="A131" s="170" t="str">
        <f t="shared" ca="1" si="0"/>
        <v/>
      </c>
      <c r="B131" s="171" t="str">
        <f t="shared" ca="1" si="1"/>
        <v/>
      </c>
      <c r="C131" s="171" t="str">
        <f t="shared" ca="1" si="2"/>
        <v/>
      </c>
      <c r="D131" s="172">
        <f t="shared" ca="1" si="3"/>
        <v>0</v>
      </c>
      <c r="E131" s="172" t="s">
        <v>281</v>
      </c>
      <c r="F131" s="172"/>
      <c r="G131" s="174"/>
      <c r="H131" s="174"/>
      <c r="I131" s="172">
        <f ca="1">IFERROR(__xludf.DUMMYFUNCTION("""COMPUTED_VALUE"""),0)</f>
        <v>0</v>
      </c>
      <c r="J131" s="172"/>
      <c r="K131" s="172"/>
      <c r="L131" s="172"/>
      <c r="M131" s="172"/>
      <c r="N131" s="172"/>
      <c r="O131" s="172"/>
      <c r="P131" s="172"/>
      <c r="Q131" s="172"/>
      <c r="R131" s="172"/>
      <c r="S131" s="172"/>
      <c r="T131" s="172"/>
      <c r="U131" s="172"/>
      <c r="V131" s="172"/>
      <c r="W131" s="172"/>
      <c r="X131" s="172"/>
      <c r="Y131" s="172"/>
      <c r="Z131" s="172"/>
      <c r="AA131" s="172"/>
    </row>
    <row r="132" spans="1:27" ht="16">
      <c r="A132" s="170" t="str">
        <f t="shared" ca="1" si="0"/>
        <v/>
      </c>
      <c r="B132" s="171" t="str">
        <f t="shared" ca="1" si="1"/>
        <v/>
      </c>
      <c r="C132" s="171" t="str">
        <f t="shared" ca="1" si="2"/>
        <v/>
      </c>
      <c r="D132" s="172">
        <f t="shared" ca="1" si="3"/>
        <v>0</v>
      </c>
      <c r="E132" s="172" t="s">
        <v>281</v>
      </c>
      <c r="F132" s="172"/>
      <c r="G132" s="174"/>
      <c r="H132" s="174"/>
      <c r="I132" s="172">
        <f ca="1">IFERROR(__xludf.DUMMYFUNCTION("""COMPUTED_VALUE"""),0)</f>
        <v>0</v>
      </c>
      <c r="J132" s="172"/>
      <c r="K132" s="172"/>
      <c r="L132" s="172"/>
      <c r="M132" s="172"/>
      <c r="N132" s="172"/>
      <c r="O132" s="172"/>
      <c r="P132" s="172"/>
      <c r="Q132" s="172"/>
      <c r="R132" s="172"/>
      <c r="S132" s="172"/>
      <c r="T132" s="172"/>
      <c r="U132" s="172"/>
      <c r="V132" s="172"/>
      <c r="W132" s="172"/>
      <c r="X132" s="172"/>
      <c r="Y132" s="172"/>
      <c r="Z132" s="172"/>
      <c r="AA132" s="172"/>
    </row>
    <row r="133" spans="1:27" ht="16">
      <c r="A133" s="170" t="str">
        <f t="shared" ca="1" si="0"/>
        <v/>
      </c>
      <c r="B133" s="171" t="str">
        <f t="shared" ca="1" si="1"/>
        <v/>
      </c>
      <c r="C133" s="171" t="str">
        <f t="shared" ca="1" si="2"/>
        <v/>
      </c>
      <c r="D133" s="172">
        <f t="shared" ca="1" si="3"/>
        <v>0</v>
      </c>
      <c r="E133" s="172" t="s">
        <v>281</v>
      </c>
      <c r="F133" s="172"/>
      <c r="G133" s="174"/>
      <c r="H133" s="174"/>
      <c r="I133" s="172">
        <f ca="1">IFERROR(__xludf.DUMMYFUNCTION("""COMPUTED_VALUE"""),0)</f>
        <v>0</v>
      </c>
      <c r="J133" s="172"/>
      <c r="K133" s="172"/>
      <c r="L133" s="172"/>
      <c r="M133" s="172"/>
      <c r="N133" s="172"/>
      <c r="O133" s="172"/>
      <c r="P133" s="172"/>
      <c r="Q133" s="172"/>
      <c r="R133" s="172"/>
      <c r="S133" s="172"/>
      <c r="T133" s="172"/>
      <c r="U133" s="172"/>
      <c r="V133" s="172"/>
      <c r="W133" s="172"/>
      <c r="X133" s="172"/>
      <c r="Y133" s="172"/>
      <c r="Z133" s="172"/>
      <c r="AA133" s="172"/>
    </row>
    <row r="134" spans="1:27" ht="16">
      <c r="A134" s="170" t="str">
        <f t="shared" ca="1" si="0"/>
        <v/>
      </c>
      <c r="B134" s="171" t="str">
        <f t="shared" ca="1" si="1"/>
        <v/>
      </c>
      <c r="C134" s="171" t="str">
        <f t="shared" ca="1" si="2"/>
        <v/>
      </c>
      <c r="D134" s="172">
        <f t="shared" ca="1" si="3"/>
        <v>0</v>
      </c>
      <c r="E134" s="172" t="s">
        <v>281</v>
      </c>
      <c r="F134" s="172"/>
      <c r="G134" s="174"/>
      <c r="H134" s="174"/>
      <c r="I134" s="172">
        <f ca="1">IFERROR(__xludf.DUMMYFUNCTION("""COMPUTED_VALUE"""),0)</f>
        <v>0</v>
      </c>
      <c r="J134" s="172"/>
      <c r="K134" s="172"/>
      <c r="L134" s="172"/>
      <c r="M134" s="172"/>
      <c r="N134" s="172"/>
      <c r="O134" s="172"/>
      <c r="P134" s="172"/>
      <c r="Q134" s="172"/>
      <c r="R134" s="172"/>
      <c r="S134" s="172"/>
      <c r="T134" s="172"/>
      <c r="U134" s="172"/>
      <c r="V134" s="172"/>
      <c r="W134" s="172"/>
      <c r="X134" s="172"/>
      <c r="Y134" s="172"/>
      <c r="Z134" s="172"/>
      <c r="AA134" s="172"/>
    </row>
    <row r="135" spans="1:27" ht="16">
      <c r="A135" s="170" t="str">
        <f t="shared" ca="1" si="0"/>
        <v/>
      </c>
      <c r="B135" s="171" t="str">
        <f t="shared" ca="1" si="1"/>
        <v/>
      </c>
      <c r="C135" s="171" t="str">
        <f t="shared" ca="1" si="2"/>
        <v/>
      </c>
      <c r="D135" s="172">
        <f t="shared" ca="1" si="3"/>
        <v>0</v>
      </c>
      <c r="E135" s="172" t="s">
        <v>281</v>
      </c>
      <c r="F135" s="172"/>
      <c r="G135" s="174"/>
      <c r="H135" s="174"/>
      <c r="I135" s="172">
        <f ca="1">IFERROR(__xludf.DUMMYFUNCTION("""COMPUTED_VALUE"""),0)</f>
        <v>0</v>
      </c>
      <c r="J135" s="172"/>
      <c r="K135" s="172"/>
      <c r="L135" s="172"/>
      <c r="M135" s="172"/>
      <c r="N135" s="172"/>
      <c r="O135" s="172"/>
      <c r="P135" s="172"/>
      <c r="Q135" s="172"/>
      <c r="R135" s="172"/>
      <c r="S135" s="172"/>
      <c r="T135" s="172"/>
      <c r="U135" s="172"/>
      <c r="V135" s="172"/>
      <c r="W135" s="172"/>
      <c r="X135" s="172"/>
      <c r="Y135" s="172"/>
      <c r="Z135" s="172"/>
      <c r="AA135" s="172"/>
    </row>
    <row r="136" spans="1:27" ht="16">
      <c r="A136" s="170" t="str">
        <f t="shared" ca="1" si="0"/>
        <v/>
      </c>
      <c r="B136" s="171" t="str">
        <f t="shared" ca="1" si="1"/>
        <v/>
      </c>
      <c r="C136" s="171" t="str">
        <f t="shared" ca="1" si="2"/>
        <v/>
      </c>
      <c r="D136" s="172">
        <f t="shared" ca="1" si="3"/>
        <v>0</v>
      </c>
      <c r="E136" s="172" t="s">
        <v>281</v>
      </c>
      <c r="F136" s="172"/>
      <c r="G136" s="174"/>
      <c r="H136" s="174"/>
      <c r="I136" s="172">
        <f ca="1">IFERROR(__xludf.DUMMYFUNCTION("""COMPUTED_VALUE"""),0)</f>
        <v>0</v>
      </c>
      <c r="J136" s="172"/>
      <c r="K136" s="172"/>
      <c r="L136" s="172"/>
      <c r="M136" s="172"/>
      <c r="N136" s="172"/>
      <c r="O136" s="172"/>
      <c r="P136" s="172"/>
      <c r="Q136" s="172"/>
      <c r="R136" s="172"/>
      <c r="S136" s="172"/>
      <c r="T136" s="172"/>
      <c r="U136" s="172"/>
      <c r="V136" s="172"/>
      <c r="W136" s="172"/>
      <c r="X136" s="172"/>
      <c r="Y136" s="172"/>
      <c r="Z136" s="172"/>
      <c r="AA136" s="172"/>
    </row>
    <row r="137" spans="1:27" ht="16">
      <c r="A137" s="170" t="str">
        <f t="shared" ca="1" si="0"/>
        <v/>
      </c>
      <c r="B137" s="171" t="str">
        <f t="shared" ca="1" si="1"/>
        <v/>
      </c>
      <c r="C137" s="171" t="str">
        <f t="shared" ca="1" si="2"/>
        <v/>
      </c>
      <c r="D137" s="172">
        <f t="shared" ca="1" si="3"/>
        <v>0</v>
      </c>
      <c r="E137" s="172" t="s">
        <v>281</v>
      </c>
      <c r="F137" s="172"/>
      <c r="G137" s="174"/>
      <c r="H137" s="174"/>
      <c r="I137" s="172">
        <f ca="1">IFERROR(__xludf.DUMMYFUNCTION("""COMPUTED_VALUE"""),0)</f>
        <v>0</v>
      </c>
      <c r="J137" s="172"/>
      <c r="K137" s="172"/>
      <c r="L137" s="172"/>
      <c r="M137" s="172"/>
      <c r="N137" s="172"/>
      <c r="O137" s="172"/>
      <c r="P137" s="172"/>
      <c r="Q137" s="172"/>
      <c r="R137" s="172"/>
      <c r="S137" s="172"/>
      <c r="T137" s="172"/>
      <c r="U137" s="172"/>
      <c r="V137" s="172"/>
      <c r="W137" s="172"/>
      <c r="X137" s="172"/>
      <c r="Y137" s="172"/>
      <c r="Z137" s="172"/>
      <c r="AA137" s="172"/>
    </row>
    <row r="138" spans="1:27" ht="16">
      <c r="A138" s="170" t="str">
        <f t="shared" ca="1" si="0"/>
        <v/>
      </c>
      <c r="B138" s="171" t="str">
        <f t="shared" ca="1" si="1"/>
        <v/>
      </c>
      <c r="C138" s="171" t="str">
        <f t="shared" ca="1" si="2"/>
        <v/>
      </c>
      <c r="D138" s="172">
        <f t="shared" ca="1" si="3"/>
        <v>0</v>
      </c>
      <c r="E138" s="172" t="s">
        <v>281</v>
      </c>
      <c r="F138" s="172"/>
      <c r="G138" s="174"/>
      <c r="H138" s="174"/>
      <c r="I138" s="172">
        <f ca="1">IFERROR(__xludf.DUMMYFUNCTION("""COMPUTED_VALUE"""),0)</f>
        <v>0</v>
      </c>
      <c r="J138" s="172"/>
      <c r="K138" s="172"/>
      <c r="L138" s="172"/>
      <c r="M138" s="172"/>
      <c r="N138" s="172"/>
      <c r="O138" s="172"/>
      <c r="P138" s="172"/>
      <c r="Q138" s="172"/>
      <c r="R138" s="172"/>
      <c r="S138" s="172"/>
      <c r="T138" s="172"/>
      <c r="U138" s="172"/>
      <c r="V138" s="172"/>
      <c r="W138" s="172"/>
      <c r="X138" s="172"/>
      <c r="Y138" s="172"/>
      <c r="Z138" s="172"/>
      <c r="AA138" s="172"/>
    </row>
    <row r="139" spans="1:27" ht="16">
      <c r="A139" s="170" t="str">
        <f t="shared" ca="1" si="0"/>
        <v/>
      </c>
      <c r="B139" s="171" t="str">
        <f t="shared" ca="1" si="1"/>
        <v/>
      </c>
      <c r="C139" s="171" t="str">
        <f t="shared" ca="1" si="2"/>
        <v/>
      </c>
      <c r="D139" s="172">
        <f t="shared" ca="1" si="3"/>
        <v>0</v>
      </c>
      <c r="E139" s="172" t="s">
        <v>281</v>
      </c>
      <c r="F139" s="172"/>
      <c r="G139" s="174"/>
      <c r="H139" s="174"/>
      <c r="I139" s="172">
        <f ca="1">IFERROR(__xludf.DUMMYFUNCTION("""COMPUTED_VALUE"""),0)</f>
        <v>0</v>
      </c>
      <c r="J139" s="172"/>
      <c r="K139" s="172"/>
      <c r="L139" s="172"/>
      <c r="M139" s="172"/>
      <c r="N139" s="172"/>
      <c r="O139" s="172"/>
      <c r="P139" s="172"/>
      <c r="Q139" s="172"/>
      <c r="R139" s="172"/>
      <c r="S139" s="172"/>
      <c r="T139" s="172"/>
      <c r="U139" s="172"/>
      <c r="V139" s="172"/>
      <c r="W139" s="172"/>
      <c r="X139" s="172"/>
      <c r="Y139" s="172"/>
      <c r="Z139" s="172"/>
      <c r="AA139" s="172"/>
    </row>
    <row r="140" spans="1:27" ht="16">
      <c r="A140" s="170" t="str">
        <f t="shared" ca="1" si="0"/>
        <v/>
      </c>
      <c r="B140" s="171" t="str">
        <f t="shared" ca="1" si="1"/>
        <v/>
      </c>
      <c r="C140" s="171" t="str">
        <f t="shared" ca="1" si="2"/>
        <v/>
      </c>
      <c r="D140" s="172">
        <f t="shared" ca="1" si="3"/>
        <v>0</v>
      </c>
      <c r="E140" s="172" t="s">
        <v>281</v>
      </c>
      <c r="F140" s="172"/>
      <c r="G140" s="174"/>
      <c r="H140" s="174"/>
      <c r="I140" s="172">
        <f ca="1">IFERROR(__xludf.DUMMYFUNCTION("""COMPUTED_VALUE"""),0)</f>
        <v>0</v>
      </c>
      <c r="J140" s="172"/>
      <c r="K140" s="172"/>
      <c r="L140" s="172"/>
      <c r="M140" s="172"/>
      <c r="N140" s="172"/>
      <c r="O140" s="172"/>
      <c r="P140" s="172"/>
      <c r="Q140" s="172"/>
      <c r="R140" s="172"/>
      <c r="S140" s="172"/>
      <c r="T140" s="172"/>
      <c r="U140" s="172"/>
      <c r="V140" s="172"/>
      <c r="W140" s="172"/>
      <c r="X140" s="172"/>
      <c r="Y140" s="172"/>
      <c r="Z140" s="172"/>
      <c r="AA140" s="172"/>
    </row>
    <row r="141" spans="1:27" ht="16">
      <c r="A141" s="170" t="str">
        <f t="shared" ca="1" si="0"/>
        <v/>
      </c>
      <c r="B141" s="171" t="str">
        <f t="shared" ca="1" si="1"/>
        <v/>
      </c>
      <c r="C141" s="171" t="str">
        <f t="shared" ca="1" si="2"/>
        <v/>
      </c>
      <c r="D141" s="172">
        <f t="shared" ca="1" si="3"/>
        <v>0</v>
      </c>
      <c r="E141" s="172" t="s">
        <v>281</v>
      </c>
      <c r="F141" s="172"/>
      <c r="G141" s="174"/>
      <c r="H141" s="174"/>
      <c r="I141" s="172">
        <f ca="1">IFERROR(__xludf.DUMMYFUNCTION("""COMPUTED_VALUE"""),0)</f>
        <v>0</v>
      </c>
      <c r="J141" s="172"/>
      <c r="K141" s="172"/>
      <c r="L141" s="172"/>
      <c r="M141" s="172"/>
      <c r="N141" s="172"/>
      <c r="O141" s="172"/>
      <c r="P141" s="172"/>
      <c r="Q141" s="172"/>
      <c r="R141" s="172"/>
      <c r="S141" s="172"/>
      <c r="T141" s="172"/>
      <c r="U141" s="172"/>
      <c r="V141" s="172"/>
      <c r="W141" s="172"/>
      <c r="X141" s="172"/>
      <c r="Y141" s="172"/>
      <c r="Z141" s="172"/>
      <c r="AA141" s="172"/>
    </row>
    <row r="142" spans="1:27" ht="16">
      <c r="A142" s="170" t="str">
        <f t="shared" ca="1" si="0"/>
        <v/>
      </c>
      <c r="B142" s="171" t="str">
        <f t="shared" ca="1" si="1"/>
        <v/>
      </c>
      <c r="C142" s="171" t="str">
        <f t="shared" ca="1" si="2"/>
        <v/>
      </c>
      <c r="D142" s="172">
        <f t="shared" ca="1" si="3"/>
        <v>0</v>
      </c>
      <c r="E142" s="172" t="s">
        <v>281</v>
      </c>
      <c r="F142" s="172"/>
      <c r="G142" s="174"/>
      <c r="H142" s="174"/>
      <c r="I142" s="172">
        <f ca="1">IFERROR(__xludf.DUMMYFUNCTION("""COMPUTED_VALUE"""),0)</f>
        <v>0</v>
      </c>
      <c r="J142" s="172"/>
      <c r="K142" s="172"/>
      <c r="L142" s="172"/>
      <c r="M142" s="172"/>
      <c r="N142" s="172"/>
      <c r="O142" s="172"/>
      <c r="P142" s="172"/>
      <c r="Q142" s="172"/>
      <c r="R142" s="172"/>
      <c r="S142" s="172"/>
      <c r="T142" s="172"/>
      <c r="U142" s="172"/>
      <c r="V142" s="172"/>
      <c r="W142" s="172"/>
      <c r="X142" s="172"/>
      <c r="Y142" s="172"/>
      <c r="Z142" s="172"/>
      <c r="AA142" s="172"/>
    </row>
    <row r="143" spans="1:27" ht="16">
      <c r="A143" s="170" t="str">
        <f t="shared" ca="1" si="0"/>
        <v/>
      </c>
      <c r="B143" s="171" t="str">
        <f t="shared" ca="1" si="1"/>
        <v/>
      </c>
      <c r="C143" s="171" t="str">
        <f t="shared" ca="1" si="2"/>
        <v/>
      </c>
      <c r="D143" s="172">
        <f t="shared" ca="1" si="3"/>
        <v>0</v>
      </c>
      <c r="E143" s="172" t="s">
        <v>281</v>
      </c>
      <c r="F143" s="172"/>
      <c r="G143" s="174"/>
      <c r="H143" s="174"/>
      <c r="I143" s="172">
        <f ca="1">IFERROR(__xludf.DUMMYFUNCTION("""COMPUTED_VALUE"""),0)</f>
        <v>0</v>
      </c>
      <c r="J143" s="172"/>
      <c r="K143" s="172"/>
      <c r="L143" s="172"/>
      <c r="M143" s="172"/>
      <c r="N143" s="172"/>
      <c r="O143" s="172"/>
      <c r="P143" s="172"/>
      <c r="Q143" s="172"/>
      <c r="R143" s="172"/>
      <c r="S143" s="172"/>
      <c r="T143" s="172"/>
      <c r="U143" s="172"/>
      <c r="V143" s="172"/>
      <c r="W143" s="172"/>
      <c r="X143" s="172"/>
      <c r="Y143" s="172"/>
      <c r="Z143" s="172"/>
      <c r="AA143" s="172"/>
    </row>
    <row r="144" spans="1:27" ht="16">
      <c r="A144" s="170" t="str">
        <f t="shared" ca="1" si="0"/>
        <v/>
      </c>
      <c r="B144" s="171" t="str">
        <f t="shared" ca="1" si="1"/>
        <v/>
      </c>
      <c r="C144" s="171" t="str">
        <f t="shared" ca="1" si="2"/>
        <v/>
      </c>
      <c r="D144" s="172">
        <f t="shared" ca="1" si="3"/>
        <v>0</v>
      </c>
      <c r="E144" s="172" t="s">
        <v>281</v>
      </c>
      <c r="F144" s="172"/>
      <c r="G144" s="174"/>
      <c r="H144" s="174"/>
      <c r="I144" s="172">
        <f ca="1">IFERROR(__xludf.DUMMYFUNCTION("""COMPUTED_VALUE"""),0)</f>
        <v>0</v>
      </c>
      <c r="J144" s="172"/>
      <c r="K144" s="172"/>
      <c r="L144" s="172"/>
      <c r="M144" s="172"/>
      <c r="N144" s="172"/>
      <c r="O144" s="172"/>
      <c r="P144" s="172"/>
      <c r="Q144" s="172"/>
      <c r="R144" s="172"/>
      <c r="S144" s="172"/>
      <c r="T144" s="172"/>
      <c r="U144" s="172"/>
      <c r="V144" s="172"/>
      <c r="W144" s="172"/>
      <c r="X144" s="172"/>
      <c r="Y144" s="172"/>
      <c r="Z144" s="172"/>
      <c r="AA144" s="172"/>
    </row>
    <row r="145" spans="1:27" ht="16">
      <c r="A145" s="170" t="str">
        <f t="shared" ca="1" si="0"/>
        <v/>
      </c>
      <c r="B145" s="171" t="str">
        <f t="shared" ca="1" si="1"/>
        <v/>
      </c>
      <c r="C145" s="171" t="str">
        <f t="shared" ca="1" si="2"/>
        <v/>
      </c>
      <c r="D145" s="172">
        <f t="shared" ca="1" si="3"/>
        <v>0</v>
      </c>
      <c r="E145" s="172" t="s">
        <v>281</v>
      </c>
      <c r="F145" s="172"/>
      <c r="G145" s="174"/>
      <c r="H145" s="174"/>
      <c r="I145" s="172">
        <f ca="1">IFERROR(__xludf.DUMMYFUNCTION("""COMPUTED_VALUE"""),0)</f>
        <v>0</v>
      </c>
      <c r="J145" s="172"/>
      <c r="K145" s="172"/>
      <c r="L145" s="172"/>
      <c r="M145" s="172"/>
      <c r="N145" s="172"/>
      <c r="O145" s="172"/>
      <c r="P145" s="172"/>
      <c r="Q145" s="172"/>
      <c r="R145" s="172"/>
      <c r="S145" s="172"/>
      <c r="T145" s="172"/>
      <c r="U145" s="172"/>
      <c r="V145" s="172"/>
      <c r="W145" s="172"/>
      <c r="X145" s="172"/>
      <c r="Y145" s="172"/>
      <c r="Z145" s="172"/>
      <c r="AA145" s="172"/>
    </row>
    <row r="146" spans="1:27" ht="16">
      <c r="A146" s="170" t="str">
        <f t="shared" ca="1" si="0"/>
        <v/>
      </c>
      <c r="B146" s="171" t="str">
        <f t="shared" ca="1" si="1"/>
        <v/>
      </c>
      <c r="C146" s="171" t="str">
        <f t="shared" ca="1" si="2"/>
        <v/>
      </c>
      <c r="D146" s="172">
        <f t="shared" ca="1" si="3"/>
        <v>0</v>
      </c>
      <c r="E146" s="172" t="s">
        <v>281</v>
      </c>
      <c r="F146" s="172"/>
      <c r="G146" s="174"/>
      <c r="H146" s="174"/>
      <c r="I146" s="172">
        <f ca="1">IFERROR(__xludf.DUMMYFUNCTION("""COMPUTED_VALUE"""),0)</f>
        <v>0</v>
      </c>
      <c r="J146" s="172"/>
      <c r="K146" s="172"/>
      <c r="L146" s="172"/>
      <c r="M146" s="172"/>
      <c r="N146" s="172"/>
      <c r="O146" s="172"/>
      <c r="P146" s="172"/>
      <c r="Q146" s="172"/>
      <c r="R146" s="172"/>
      <c r="S146" s="172"/>
      <c r="T146" s="172"/>
      <c r="U146" s="172"/>
      <c r="V146" s="172"/>
      <c r="W146" s="172"/>
      <c r="X146" s="172"/>
      <c r="Y146" s="172"/>
      <c r="Z146" s="172"/>
      <c r="AA146" s="172"/>
    </row>
    <row r="147" spans="1:27" ht="16">
      <c r="A147" s="170" t="str">
        <f t="shared" ca="1" si="0"/>
        <v/>
      </c>
      <c r="B147" s="171" t="str">
        <f t="shared" ca="1" si="1"/>
        <v/>
      </c>
      <c r="C147" s="171" t="str">
        <f t="shared" ca="1" si="2"/>
        <v/>
      </c>
      <c r="D147" s="172">
        <f t="shared" ca="1" si="3"/>
        <v>0</v>
      </c>
      <c r="E147" s="172" t="s">
        <v>281</v>
      </c>
      <c r="F147" s="172"/>
      <c r="G147" s="174"/>
      <c r="H147" s="174"/>
      <c r="I147" s="172">
        <f ca="1">IFERROR(__xludf.DUMMYFUNCTION("""COMPUTED_VALUE"""),0)</f>
        <v>0</v>
      </c>
      <c r="J147" s="172"/>
      <c r="K147" s="172"/>
      <c r="L147" s="172"/>
      <c r="M147" s="172"/>
      <c r="N147" s="172"/>
      <c r="O147" s="172"/>
      <c r="P147" s="172"/>
      <c r="Q147" s="172"/>
      <c r="R147" s="172"/>
      <c r="S147" s="172"/>
      <c r="T147" s="172"/>
      <c r="U147" s="172"/>
      <c r="V147" s="172"/>
      <c r="W147" s="172"/>
      <c r="X147" s="172"/>
      <c r="Y147" s="172"/>
      <c r="Z147" s="172"/>
      <c r="AA147" s="172"/>
    </row>
    <row r="148" spans="1:27" ht="16">
      <c r="A148" s="170" t="str">
        <f t="shared" ca="1" si="0"/>
        <v/>
      </c>
      <c r="B148" s="171" t="str">
        <f t="shared" ca="1" si="1"/>
        <v/>
      </c>
      <c r="C148" s="171" t="str">
        <f t="shared" ca="1" si="2"/>
        <v/>
      </c>
      <c r="D148" s="172">
        <f t="shared" ca="1" si="3"/>
        <v>0</v>
      </c>
      <c r="E148" s="172" t="s">
        <v>281</v>
      </c>
      <c r="F148" s="172"/>
      <c r="G148" s="174"/>
      <c r="H148" s="174"/>
      <c r="I148" s="172">
        <f ca="1">IFERROR(__xludf.DUMMYFUNCTION("""COMPUTED_VALUE"""),0)</f>
        <v>0</v>
      </c>
      <c r="J148" s="172"/>
      <c r="K148" s="172"/>
      <c r="L148" s="172"/>
      <c r="M148" s="172"/>
      <c r="N148" s="172"/>
      <c r="O148" s="172"/>
      <c r="P148" s="172"/>
      <c r="Q148" s="172"/>
      <c r="R148" s="172"/>
      <c r="S148" s="172"/>
      <c r="T148" s="172"/>
      <c r="U148" s="172"/>
      <c r="V148" s="172"/>
      <c r="W148" s="172"/>
      <c r="X148" s="172"/>
      <c r="Y148" s="172"/>
      <c r="Z148" s="172"/>
      <c r="AA148" s="172"/>
    </row>
    <row r="149" spans="1:27" ht="16">
      <c r="A149" s="170" t="str">
        <f t="shared" ca="1" si="0"/>
        <v/>
      </c>
      <c r="B149" s="171" t="str">
        <f t="shared" ca="1" si="1"/>
        <v/>
      </c>
      <c r="C149" s="171" t="str">
        <f t="shared" ca="1" si="2"/>
        <v/>
      </c>
      <c r="D149" s="172">
        <f t="shared" ca="1" si="3"/>
        <v>0</v>
      </c>
      <c r="E149" s="172" t="s">
        <v>281</v>
      </c>
      <c r="F149" s="172"/>
      <c r="G149" s="174"/>
      <c r="H149" s="174"/>
      <c r="I149" s="172">
        <f ca="1">IFERROR(__xludf.DUMMYFUNCTION("""COMPUTED_VALUE"""),0)</f>
        <v>0</v>
      </c>
      <c r="J149" s="172"/>
      <c r="K149" s="172"/>
      <c r="L149" s="172"/>
      <c r="M149" s="172"/>
      <c r="N149" s="172"/>
      <c r="O149" s="172"/>
      <c r="P149" s="172"/>
      <c r="Q149" s="172"/>
      <c r="R149" s="172"/>
      <c r="S149" s="172"/>
      <c r="T149" s="172"/>
      <c r="U149" s="172"/>
      <c r="V149" s="172"/>
      <c r="W149" s="172"/>
      <c r="X149" s="172"/>
      <c r="Y149" s="172"/>
      <c r="Z149" s="172"/>
      <c r="AA149" s="172"/>
    </row>
    <row r="150" spans="1:27" ht="16">
      <c r="A150" s="170" t="str">
        <f t="shared" ca="1" si="0"/>
        <v/>
      </c>
      <c r="B150" s="171" t="str">
        <f t="shared" ca="1" si="1"/>
        <v/>
      </c>
      <c r="C150" s="171" t="str">
        <f t="shared" ca="1" si="2"/>
        <v/>
      </c>
      <c r="D150" s="172">
        <f t="shared" ca="1" si="3"/>
        <v>0</v>
      </c>
      <c r="E150" s="172" t="s">
        <v>281</v>
      </c>
      <c r="F150" s="172"/>
      <c r="G150" s="174"/>
      <c r="H150" s="174"/>
      <c r="I150" s="172">
        <f ca="1">IFERROR(__xludf.DUMMYFUNCTION("""COMPUTED_VALUE"""),0)</f>
        <v>0</v>
      </c>
      <c r="J150" s="172"/>
      <c r="K150" s="172"/>
      <c r="L150" s="172"/>
      <c r="M150" s="172"/>
      <c r="N150" s="172"/>
      <c r="O150" s="172"/>
      <c r="P150" s="172"/>
      <c r="Q150" s="172"/>
      <c r="R150" s="172"/>
      <c r="S150" s="172"/>
      <c r="T150" s="172"/>
      <c r="U150" s="172"/>
      <c r="V150" s="172"/>
      <c r="W150" s="172"/>
      <c r="X150" s="172"/>
      <c r="Y150" s="172"/>
      <c r="Z150" s="172"/>
      <c r="AA150" s="172"/>
    </row>
    <row r="151" spans="1:27" ht="16">
      <c r="A151" s="170" t="str">
        <f t="shared" ca="1" si="0"/>
        <v/>
      </c>
      <c r="B151" s="171" t="str">
        <f t="shared" ca="1" si="1"/>
        <v/>
      </c>
      <c r="C151" s="171" t="str">
        <f t="shared" ca="1" si="2"/>
        <v/>
      </c>
      <c r="D151" s="172">
        <f t="shared" ca="1" si="3"/>
        <v>0</v>
      </c>
      <c r="E151" s="172" t="s">
        <v>281</v>
      </c>
      <c r="F151" s="172"/>
      <c r="G151" s="174"/>
      <c r="H151" s="174"/>
      <c r="I151" s="172">
        <f ca="1">IFERROR(__xludf.DUMMYFUNCTION("""COMPUTED_VALUE"""),0)</f>
        <v>0</v>
      </c>
      <c r="J151" s="172"/>
      <c r="K151" s="172"/>
      <c r="L151" s="172"/>
      <c r="M151" s="172"/>
      <c r="N151" s="172"/>
      <c r="O151" s="172"/>
      <c r="P151" s="172"/>
      <c r="Q151" s="172"/>
      <c r="R151" s="172"/>
      <c r="S151" s="172"/>
      <c r="T151" s="172"/>
      <c r="U151" s="172"/>
      <c r="V151" s="172"/>
      <c r="W151" s="172"/>
      <c r="X151" s="172"/>
      <c r="Y151" s="172"/>
      <c r="Z151" s="172"/>
      <c r="AA151" s="172"/>
    </row>
    <row r="152" spans="1:27" ht="16">
      <c r="A152" s="170" t="str">
        <f t="shared" ca="1" si="0"/>
        <v/>
      </c>
      <c r="B152" s="171" t="str">
        <f t="shared" ca="1" si="1"/>
        <v/>
      </c>
      <c r="C152" s="171" t="str">
        <f t="shared" ca="1" si="2"/>
        <v/>
      </c>
      <c r="D152" s="172">
        <f t="shared" ca="1" si="3"/>
        <v>0</v>
      </c>
      <c r="E152" s="172" t="s">
        <v>281</v>
      </c>
      <c r="F152" s="172"/>
      <c r="G152" s="174"/>
      <c r="H152" s="174"/>
      <c r="I152" s="172">
        <f ca="1">IFERROR(__xludf.DUMMYFUNCTION("""COMPUTED_VALUE"""),0)</f>
        <v>0</v>
      </c>
      <c r="J152" s="172"/>
      <c r="K152" s="172"/>
      <c r="L152" s="172"/>
      <c r="M152" s="172"/>
      <c r="N152" s="172"/>
      <c r="O152" s="172"/>
      <c r="P152" s="172"/>
      <c r="Q152" s="172"/>
      <c r="R152" s="172"/>
      <c r="S152" s="172"/>
      <c r="T152" s="172"/>
      <c r="U152" s="172"/>
      <c r="V152" s="172"/>
      <c r="W152" s="172"/>
      <c r="X152" s="172"/>
      <c r="Y152" s="172"/>
      <c r="Z152" s="172"/>
      <c r="AA152" s="172"/>
    </row>
    <row r="153" spans="1:27" ht="16">
      <c r="A153" s="170" t="str">
        <f t="shared" ca="1" si="0"/>
        <v/>
      </c>
      <c r="B153" s="171" t="str">
        <f t="shared" ca="1" si="1"/>
        <v/>
      </c>
      <c r="C153" s="171" t="str">
        <f t="shared" ca="1" si="2"/>
        <v/>
      </c>
      <c r="D153" s="172">
        <f t="shared" ca="1" si="3"/>
        <v>0</v>
      </c>
      <c r="E153" s="172" t="s">
        <v>281</v>
      </c>
      <c r="F153" s="172"/>
      <c r="G153" s="174"/>
      <c r="H153" s="174"/>
      <c r="I153" s="172">
        <f ca="1">IFERROR(__xludf.DUMMYFUNCTION("""COMPUTED_VALUE"""),0)</f>
        <v>0</v>
      </c>
      <c r="J153" s="172"/>
      <c r="K153" s="172"/>
      <c r="L153" s="172"/>
      <c r="M153" s="172"/>
      <c r="N153" s="172"/>
      <c r="O153" s="172"/>
      <c r="P153" s="172"/>
      <c r="Q153" s="172"/>
      <c r="R153" s="172"/>
      <c r="S153" s="172"/>
      <c r="T153" s="172"/>
      <c r="U153" s="172"/>
      <c r="V153" s="172"/>
      <c r="W153" s="172"/>
      <c r="X153" s="172"/>
      <c r="Y153" s="172"/>
      <c r="Z153" s="172"/>
      <c r="AA153" s="172"/>
    </row>
    <row r="154" spans="1:27" ht="16">
      <c r="A154" s="170" t="str">
        <f t="shared" ca="1" si="0"/>
        <v/>
      </c>
      <c r="B154" s="171" t="str">
        <f t="shared" ca="1" si="1"/>
        <v/>
      </c>
      <c r="C154" s="171" t="str">
        <f t="shared" ca="1" si="2"/>
        <v/>
      </c>
      <c r="D154" s="172">
        <f t="shared" ca="1" si="3"/>
        <v>0</v>
      </c>
      <c r="E154" s="172" t="s">
        <v>281</v>
      </c>
      <c r="F154" s="172"/>
      <c r="G154" s="174"/>
      <c r="H154" s="174"/>
      <c r="I154" s="172">
        <f ca="1">IFERROR(__xludf.DUMMYFUNCTION("""COMPUTED_VALUE"""),0)</f>
        <v>0</v>
      </c>
      <c r="J154" s="172"/>
      <c r="K154" s="172"/>
      <c r="L154" s="172"/>
      <c r="M154" s="172"/>
      <c r="N154" s="172"/>
      <c r="O154" s="172"/>
      <c r="P154" s="172"/>
      <c r="Q154" s="172"/>
      <c r="R154" s="172"/>
      <c r="S154" s="172"/>
      <c r="T154" s="172"/>
      <c r="U154" s="172"/>
      <c r="V154" s="172"/>
      <c r="W154" s="172"/>
      <c r="X154" s="172"/>
      <c r="Y154" s="172"/>
      <c r="Z154" s="172"/>
      <c r="AA154" s="172"/>
    </row>
    <row r="155" spans="1:27" ht="16">
      <c r="A155" s="170" t="str">
        <f t="shared" ca="1" si="0"/>
        <v/>
      </c>
      <c r="B155" s="171" t="str">
        <f t="shared" ca="1" si="1"/>
        <v/>
      </c>
      <c r="C155" s="171" t="str">
        <f t="shared" ca="1" si="2"/>
        <v/>
      </c>
      <c r="D155" s="172">
        <f t="shared" ca="1" si="3"/>
        <v>0</v>
      </c>
      <c r="E155" s="172" t="s">
        <v>281</v>
      </c>
      <c r="F155" s="172"/>
      <c r="G155" s="174"/>
      <c r="H155" s="174"/>
      <c r="I155" s="172">
        <f ca="1">IFERROR(__xludf.DUMMYFUNCTION("""COMPUTED_VALUE"""),0)</f>
        <v>0</v>
      </c>
      <c r="J155" s="172"/>
      <c r="K155" s="172"/>
      <c r="L155" s="172"/>
      <c r="M155" s="172"/>
      <c r="N155" s="172"/>
      <c r="O155" s="172"/>
      <c r="P155" s="172"/>
      <c r="Q155" s="172"/>
      <c r="R155" s="172"/>
      <c r="S155" s="172"/>
      <c r="T155" s="172"/>
      <c r="U155" s="172"/>
      <c r="V155" s="172"/>
      <c r="W155" s="172"/>
      <c r="X155" s="172"/>
      <c r="Y155" s="172"/>
      <c r="Z155" s="172"/>
      <c r="AA155" s="172"/>
    </row>
    <row r="156" spans="1:27" ht="16">
      <c r="A156" s="170" t="str">
        <f t="shared" ca="1" si="0"/>
        <v/>
      </c>
      <c r="B156" s="171" t="str">
        <f t="shared" ca="1" si="1"/>
        <v/>
      </c>
      <c r="C156" s="171" t="str">
        <f t="shared" ca="1" si="2"/>
        <v/>
      </c>
      <c r="D156" s="172">
        <f t="shared" ca="1" si="3"/>
        <v>0</v>
      </c>
      <c r="E156" s="172" t="s">
        <v>281</v>
      </c>
      <c r="F156" s="172"/>
      <c r="G156" s="174"/>
      <c r="H156" s="174"/>
      <c r="I156" s="172">
        <f ca="1">IFERROR(__xludf.DUMMYFUNCTION("""COMPUTED_VALUE"""),0)</f>
        <v>0</v>
      </c>
      <c r="J156" s="172"/>
      <c r="K156" s="172"/>
      <c r="L156" s="172"/>
      <c r="M156" s="172"/>
      <c r="N156" s="172"/>
      <c r="O156" s="172"/>
      <c r="P156" s="172"/>
      <c r="Q156" s="172"/>
      <c r="R156" s="172"/>
      <c r="S156" s="172"/>
      <c r="T156" s="172"/>
      <c r="U156" s="172"/>
      <c r="V156" s="172"/>
      <c r="W156" s="172"/>
      <c r="X156" s="172"/>
      <c r="Y156" s="172"/>
      <c r="Z156" s="172"/>
      <c r="AA156" s="172"/>
    </row>
    <row r="157" spans="1:27" ht="16">
      <c r="A157" s="170" t="str">
        <f t="shared" ca="1" si="0"/>
        <v/>
      </c>
      <c r="B157" s="171" t="str">
        <f t="shared" ca="1" si="1"/>
        <v/>
      </c>
      <c r="C157" s="171" t="str">
        <f t="shared" ca="1" si="2"/>
        <v/>
      </c>
      <c r="D157" s="172">
        <f t="shared" ca="1" si="3"/>
        <v>0</v>
      </c>
      <c r="E157" s="172" t="s">
        <v>281</v>
      </c>
      <c r="F157" s="172"/>
      <c r="G157" s="174"/>
      <c r="H157" s="174"/>
      <c r="I157" s="172">
        <f ca="1">IFERROR(__xludf.DUMMYFUNCTION("""COMPUTED_VALUE"""),0)</f>
        <v>0</v>
      </c>
      <c r="J157" s="172"/>
      <c r="K157" s="172"/>
      <c r="L157" s="172"/>
      <c r="M157" s="172"/>
      <c r="N157" s="172"/>
      <c r="O157" s="172"/>
      <c r="P157" s="172"/>
      <c r="Q157" s="172"/>
      <c r="R157" s="172"/>
      <c r="S157" s="172"/>
      <c r="T157" s="172"/>
      <c r="U157" s="172"/>
      <c r="V157" s="172"/>
      <c r="W157" s="172"/>
      <c r="X157" s="172"/>
      <c r="Y157" s="172"/>
      <c r="Z157" s="172"/>
      <c r="AA157" s="172"/>
    </row>
    <row r="158" spans="1:27" ht="16">
      <c r="A158" s="170" t="str">
        <f t="shared" ca="1" si="0"/>
        <v/>
      </c>
      <c r="B158" s="171" t="str">
        <f t="shared" ca="1" si="1"/>
        <v/>
      </c>
      <c r="C158" s="171" t="str">
        <f t="shared" ca="1" si="2"/>
        <v/>
      </c>
      <c r="D158" s="172">
        <f t="shared" ca="1" si="3"/>
        <v>0</v>
      </c>
      <c r="E158" s="172" t="s">
        <v>281</v>
      </c>
      <c r="F158" s="172"/>
      <c r="G158" s="174"/>
      <c r="H158" s="174"/>
      <c r="I158" s="172">
        <f ca="1">IFERROR(__xludf.DUMMYFUNCTION("""COMPUTED_VALUE"""),0)</f>
        <v>0</v>
      </c>
      <c r="J158" s="172"/>
      <c r="K158" s="172"/>
      <c r="L158" s="172"/>
      <c r="M158" s="172"/>
      <c r="N158" s="172"/>
      <c r="O158" s="172"/>
      <c r="P158" s="172"/>
      <c r="Q158" s="172"/>
      <c r="R158" s="172"/>
      <c r="S158" s="172"/>
      <c r="T158" s="172"/>
      <c r="U158" s="172"/>
      <c r="V158" s="172"/>
      <c r="W158" s="172"/>
      <c r="X158" s="172"/>
      <c r="Y158" s="172"/>
      <c r="Z158" s="172"/>
      <c r="AA158" s="172"/>
    </row>
    <row r="159" spans="1:27" ht="16">
      <c r="A159" s="170" t="str">
        <f t="shared" ca="1" si="0"/>
        <v/>
      </c>
      <c r="B159" s="171" t="str">
        <f t="shared" ca="1" si="1"/>
        <v/>
      </c>
      <c r="C159" s="171" t="str">
        <f t="shared" ca="1" si="2"/>
        <v/>
      </c>
      <c r="D159" s="172">
        <f t="shared" ca="1" si="3"/>
        <v>0</v>
      </c>
      <c r="E159" s="172" t="s">
        <v>281</v>
      </c>
      <c r="F159" s="172"/>
      <c r="G159" s="174"/>
      <c r="H159" s="174"/>
      <c r="I159" s="172">
        <f ca="1">IFERROR(__xludf.DUMMYFUNCTION("""COMPUTED_VALUE"""),0)</f>
        <v>0</v>
      </c>
      <c r="J159" s="172"/>
      <c r="K159" s="172"/>
      <c r="L159" s="172"/>
      <c r="M159" s="172"/>
      <c r="N159" s="172"/>
      <c r="O159" s="172"/>
      <c r="P159" s="172"/>
      <c r="Q159" s="172"/>
      <c r="R159" s="172"/>
      <c r="S159" s="172"/>
      <c r="T159" s="172"/>
      <c r="U159" s="172"/>
      <c r="V159" s="172"/>
      <c r="W159" s="172"/>
      <c r="X159" s="172"/>
      <c r="Y159" s="172"/>
      <c r="Z159" s="172"/>
      <c r="AA159" s="172"/>
    </row>
    <row r="160" spans="1:27" ht="16">
      <c r="A160" s="170" t="str">
        <f t="shared" ca="1" si="0"/>
        <v/>
      </c>
      <c r="B160" s="171" t="str">
        <f t="shared" ca="1" si="1"/>
        <v/>
      </c>
      <c r="C160" s="171" t="str">
        <f t="shared" ca="1" si="2"/>
        <v/>
      </c>
      <c r="D160" s="172">
        <f t="shared" ca="1" si="3"/>
        <v>0</v>
      </c>
      <c r="E160" s="172" t="s">
        <v>281</v>
      </c>
      <c r="F160" s="172"/>
      <c r="G160" s="174"/>
      <c r="H160" s="174"/>
      <c r="I160" s="172">
        <f ca="1">IFERROR(__xludf.DUMMYFUNCTION("""COMPUTED_VALUE"""),0)</f>
        <v>0</v>
      </c>
      <c r="J160" s="172"/>
      <c r="K160" s="172"/>
      <c r="L160" s="172"/>
      <c r="M160" s="172"/>
      <c r="N160" s="172"/>
      <c r="O160" s="172"/>
      <c r="P160" s="172"/>
      <c r="Q160" s="172"/>
      <c r="R160" s="172"/>
      <c r="S160" s="172"/>
      <c r="T160" s="172"/>
      <c r="U160" s="172"/>
      <c r="V160" s="172"/>
      <c r="W160" s="172"/>
      <c r="X160" s="172"/>
      <c r="Y160" s="172"/>
      <c r="Z160" s="172"/>
      <c r="AA160" s="172"/>
    </row>
    <row r="161" spans="1:27" ht="16">
      <c r="A161" s="170" t="str">
        <f t="shared" ca="1" si="0"/>
        <v/>
      </c>
      <c r="B161" s="171" t="str">
        <f t="shared" ca="1" si="1"/>
        <v/>
      </c>
      <c r="C161" s="171" t="str">
        <f t="shared" ca="1" si="2"/>
        <v/>
      </c>
      <c r="D161" s="172">
        <f t="shared" ca="1" si="3"/>
        <v>0</v>
      </c>
      <c r="E161" s="172" t="s">
        <v>281</v>
      </c>
      <c r="F161" s="172"/>
      <c r="G161" s="174"/>
      <c r="H161" s="174"/>
      <c r="I161" s="172">
        <f ca="1">IFERROR(__xludf.DUMMYFUNCTION("""COMPUTED_VALUE"""),0)</f>
        <v>0</v>
      </c>
      <c r="J161" s="172"/>
      <c r="K161" s="172"/>
      <c r="L161" s="172"/>
      <c r="M161" s="172"/>
      <c r="N161" s="172"/>
      <c r="O161" s="172"/>
      <c r="P161" s="172"/>
      <c r="Q161" s="172"/>
      <c r="R161" s="172"/>
      <c r="S161" s="172"/>
      <c r="T161" s="172"/>
      <c r="U161" s="172"/>
      <c r="V161" s="172"/>
      <c r="W161" s="172"/>
      <c r="X161" s="172"/>
      <c r="Y161" s="172"/>
      <c r="Z161" s="172"/>
      <c r="AA161" s="172"/>
    </row>
    <row r="162" spans="1:27" ht="16">
      <c r="A162" s="170" t="str">
        <f t="shared" ca="1" si="0"/>
        <v/>
      </c>
      <c r="B162" s="171" t="str">
        <f t="shared" ca="1" si="1"/>
        <v/>
      </c>
      <c r="C162" s="171" t="str">
        <f t="shared" ca="1" si="2"/>
        <v/>
      </c>
      <c r="D162" s="172">
        <f t="shared" ca="1" si="3"/>
        <v>0</v>
      </c>
      <c r="E162" s="172" t="s">
        <v>281</v>
      </c>
      <c r="F162" s="172"/>
      <c r="G162" s="174"/>
      <c r="H162" s="174"/>
      <c r="I162" s="172">
        <f ca="1">IFERROR(__xludf.DUMMYFUNCTION("""COMPUTED_VALUE"""),0)</f>
        <v>0</v>
      </c>
      <c r="J162" s="172"/>
      <c r="K162" s="172"/>
      <c r="L162" s="172"/>
      <c r="M162" s="172"/>
      <c r="N162" s="172"/>
      <c r="O162" s="172"/>
      <c r="P162" s="172"/>
      <c r="Q162" s="172"/>
      <c r="R162" s="172"/>
      <c r="S162" s="172"/>
      <c r="T162" s="172"/>
      <c r="U162" s="172"/>
      <c r="V162" s="172"/>
      <c r="W162" s="172"/>
      <c r="X162" s="172"/>
      <c r="Y162" s="172"/>
      <c r="Z162" s="172"/>
      <c r="AA162" s="172"/>
    </row>
    <row r="163" spans="1:27" ht="16">
      <c r="A163" s="170" t="str">
        <f t="shared" ca="1" si="0"/>
        <v/>
      </c>
      <c r="B163" s="171" t="str">
        <f t="shared" ca="1" si="1"/>
        <v/>
      </c>
      <c r="C163" s="171" t="str">
        <f t="shared" ca="1" si="2"/>
        <v/>
      </c>
      <c r="D163" s="172">
        <f t="shared" ca="1" si="3"/>
        <v>0</v>
      </c>
      <c r="E163" s="172" t="s">
        <v>281</v>
      </c>
      <c r="F163" s="172"/>
      <c r="G163" s="174"/>
      <c r="H163" s="174"/>
      <c r="I163" s="172">
        <f ca="1">IFERROR(__xludf.DUMMYFUNCTION("""COMPUTED_VALUE"""),0)</f>
        <v>0</v>
      </c>
      <c r="J163" s="172"/>
      <c r="K163" s="172"/>
      <c r="L163" s="172"/>
      <c r="M163" s="172"/>
      <c r="N163" s="172"/>
      <c r="O163" s="172"/>
      <c r="P163" s="172"/>
      <c r="Q163" s="172"/>
      <c r="R163" s="172"/>
      <c r="S163" s="172"/>
      <c r="T163" s="172"/>
      <c r="U163" s="172"/>
      <c r="V163" s="172"/>
      <c r="W163" s="172"/>
      <c r="X163" s="172"/>
      <c r="Y163" s="172"/>
      <c r="Z163" s="172"/>
      <c r="AA163" s="172"/>
    </row>
    <row r="164" spans="1:27" ht="16">
      <c r="A164" s="170" t="str">
        <f t="shared" ca="1" si="0"/>
        <v/>
      </c>
      <c r="B164" s="171" t="str">
        <f t="shared" ca="1" si="1"/>
        <v/>
      </c>
      <c r="C164" s="171" t="str">
        <f t="shared" ca="1" si="2"/>
        <v/>
      </c>
      <c r="D164" s="172">
        <f t="shared" ca="1" si="3"/>
        <v>0</v>
      </c>
      <c r="E164" s="172" t="s">
        <v>281</v>
      </c>
      <c r="F164" s="172"/>
      <c r="G164" s="174"/>
      <c r="H164" s="174"/>
      <c r="I164" s="172">
        <f ca="1">IFERROR(__xludf.DUMMYFUNCTION("""COMPUTED_VALUE"""),0)</f>
        <v>0</v>
      </c>
      <c r="J164" s="172"/>
      <c r="K164" s="172"/>
      <c r="L164" s="172"/>
      <c r="M164" s="172"/>
      <c r="N164" s="172"/>
      <c r="O164" s="172"/>
      <c r="P164" s="172"/>
      <c r="Q164" s="172"/>
      <c r="R164" s="172"/>
      <c r="S164" s="172"/>
      <c r="T164" s="172"/>
      <c r="U164" s="172"/>
      <c r="V164" s="172"/>
      <c r="W164" s="172"/>
      <c r="X164" s="172"/>
      <c r="Y164" s="172"/>
      <c r="Z164" s="172"/>
      <c r="AA164" s="172"/>
    </row>
    <row r="165" spans="1:27" ht="16">
      <c r="A165" s="170" t="str">
        <f t="shared" ca="1" si="0"/>
        <v/>
      </c>
      <c r="B165" s="171" t="str">
        <f t="shared" ca="1" si="1"/>
        <v/>
      </c>
      <c r="C165" s="171" t="str">
        <f t="shared" ca="1" si="2"/>
        <v/>
      </c>
      <c r="D165" s="172">
        <f t="shared" ca="1" si="3"/>
        <v>0</v>
      </c>
      <c r="E165" s="172" t="s">
        <v>281</v>
      </c>
      <c r="F165" s="172"/>
      <c r="G165" s="174"/>
      <c r="H165" s="174"/>
      <c r="I165" s="172">
        <f ca="1">IFERROR(__xludf.DUMMYFUNCTION("""COMPUTED_VALUE"""),0)</f>
        <v>0</v>
      </c>
      <c r="J165" s="172"/>
      <c r="K165" s="172"/>
      <c r="L165" s="172"/>
      <c r="M165" s="172"/>
      <c r="N165" s="172"/>
      <c r="O165" s="172"/>
      <c r="P165" s="172"/>
      <c r="Q165" s="172"/>
      <c r="R165" s="172"/>
      <c r="S165" s="172"/>
      <c r="T165" s="172"/>
      <c r="U165" s="172"/>
      <c r="V165" s="172"/>
      <c r="W165" s="172"/>
      <c r="X165" s="172"/>
      <c r="Y165" s="172"/>
      <c r="Z165" s="172"/>
      <c r="AA165" s="172"/>
    </row>
    <row r="166" spans="1:27" ht="16">
      <c r="A166" s="170" t="str">
        <f t="shared" ca="1" si="0"/>
        <v/>
      </c>
      <c r="B166" s="171" t="str">
        <f t="shared" ca="1" si="1"/>
        <v/>
      </c>
      <c r="C166" s="171" t="str">
        <f t="shared" ca="1" si="2"/>
        <v/>
      </c>
      <c r="D166" s="172">
        <f t="shared" ca="1" si="3"/>
        <v>0</v>
      </c>
      <c r="E166" s="172" t="s">
        <v>281</v>
      </c>
      <c r="F166" s="172"/>
      <c r="G166" s="174"/>
      <c r="H166" s="174"/>
      <c r="I166" s="172">
        <f ca="1">IFERROR(__xludf.DUMMYFUNCTION("""COMPUTED_VALUE"""),0)</f>
        <v>0</v>
      </c>
      <c r="J166" s="172"/>
      <c r="K166" s="172"/>
      <c r="L166" s="172"/>
      <c r="M166" s="172"/>
      <c r="N166" s="172"/>
      <c r="O166" s="172"/>
      <c r="P166" s="172"/>
      <c r="Q166" s="172"/>
      <c r="R166" s="172"/>
      <c r="S166" s="172"/>
      <c r="T166" s="172"/>
      <c r="U166" s="172"/>
      <c r="V166" s="172"/>
      <c r="W166" s="172"/>
      <c r="X166" s="172"/>
      <c r="Y166" s="172"/>
      <c r="Z166" s="172"/>
      <c r="AA166" s="172"/>
    </row>
    <row r="167" spans="1:27" ht="16">
      <c r="A167" s="170" t="str">
        <f t="shared" ca="1" si="0"/>
        <v/>
      </c>
      <c r="B167" s="171" t="str">
        <f t="shared" ca="1" si="1"/>
        <v/>
      </c>
      <c r="C167" s="171" t="str">
        <f t="shared" ca="1" si="2"/>
        <v/>
      </c>
      <c r="D167" s="172">
        <f t="shared" ca="1" si="3"/>
        <v>0</v>
      </c>
      <c r="E167" s="172" t="s">
        <v>281</v>
      </c>
      <c r="F167" s="172"/>
      <c r="G167" s="174"/>
      <c r="H167" s="174"/>
      <c r="I167" s="172">
        <f ca="1">IFERROR(__xludf.DUMMYFUNCTION("""COMPUTED_VALUE"""),0)</f>
        <v>0</v>
      </c>
      <c r="J167" s="172"/>
      <c r="K167" s="172"/>
      <c r="L167" s="172"/>
      <c r="M167" s="172"/>
      <c r="N167" s="172"/>
      <c r="O167" s="172"/>
      <c r="P167" s="172"/>
      <c r="Q167" s="172"/>
      <c r="R167" s="172"/>
      <c r="S167" s="172"/>
      <c r="T167" s="172"/>
      <c r="U167" s="172"/>
      <c r="V167" s="172"/>
      <c r="W167" s="172"/>
      <c r="X167" s="172"/>
      <c r="Y167" s="172"/>
      <c r="Z167" s="172"/>
      <c r="AA167" s="172"/>
    </row>
    <row r="168" spans="1:27" ht="16">
      <c r="A168" s="170" t="str">
        <f t="shared" ca="1" si="0"/>
        <v/>
      </c>
      <c r="B168" s="171" t="str">
        <f t="shared" ca="1" si="1"/>
        <v/>
      </c>
      <c r="C168" s="171" t="str">
        <f t="shared" ca="1" si="2"/>
        <v/>
      </c>
      <c r="D168" s="172">
        <f t="shared" ca="1" si="3"/>
        <v>0</v>
      </c>
      <c r="E168" s="172" t="s">
        <v>281</v>
      </c>
      <c r="F168" s="172"/>
      <c r="G168" s="174"/>
      <c r="H168" s="174"/>
      <c r="I168" s="172">
        <f ca="1">IFERROR(__xludf.DUMMYFUNCTION("""COMPUTED_VALUE"""),0)</f>
        <v>0</v>
      </c>
      <c r="J168" s="172"/>
      <c r="K168" s="172"/>
      <c r="L168" s="172"/>
      <c r="M168" s="172"/>
      <c r="N168" s="172"/>
      <c r="O168" s="172"/>
      <c r="P168" s="172"/>
      <c r="Q168" s="172"/>
      <c r="R168" s="172"/>
      <c r="S168" s="172"/>
      <c r="T168" s="172"/>
      <c r="U168" s="172"/>
      <c r="V168" s="172"/>
      <c r="W168" s="172"/>
      <c r="X168" s="172"/>
      <c r="Y168" s="172"/>
      <c r="Z168" s="172"/>
      <c r="AA168" s="172"/>
    </row>
    <row r="169" spans="1:27" ht="16">
      <c r="A169" s="170" t="str">
        <f t="shared" ca="1" si="0"/>
        <v/>
      </c>
      <c r="B169" s="171" t="str">
        <f t="shared" ca="1" si="1"/>
        <v/>
      </c>
      <c r="C169" s="171" t="str">
        <f t="shared" ca="1" si="2"/>
        <v/>
      </c>
      <c r="D169" s="172">
        <f t="shared" ca="1" si="3"/>
        <v>0</v>
      </c>
      <c r="E169" s="172" t="s">
        <v>281</v>
      </c>
      <c r="F169" s="172"/>
      <c r="G169" s="174"/>
      <c r="H169" s="174"/>
      <c r="I169" s="172">
        <f ca="1">IFERROR(__xludf.DUMMYFUNCTION("""COMPUTED_VALUE"""),0)</f>
        <v>0</v>
      </c>
      <c r="J169" s="172"/>
      <c r="K169" s="172"/>
      <c r="L169" s="172"/>
      <c r="M169" s="172"/>
      <c r="N169" s="172"/>
      <c r="O169" s="172"/>
      <c r="P169" s="172"/>
      <c r="Q169" s="172"/>
      <c r="R169" s="172"/>
      <c r="S169" s="172"/>
      <c r="T169" s="172"/>
      <c r="U169" s="172"/>
      <c r="V169" s="172"/>
      <c r="W169" s="172"/>
      <c r="X169" s="172"/>
      <c r="Y169" s="172"/>
      <c r="Z169" s="172"/>
      <c r="AA169" s="172"/>
    </row>
    <row r="170" spans="1:27" ht="16">
      <c r="A170" s="170" t="str">
        <f t="shared" ca="1" si="0"/>
        <v/>
      </c>
      <c r="B170" s="171" t="str">
        <f t="shared" ca="1" si="1"/>
        <v/>
      </c>
      <c r="C170" s="171" t="str">
        <f t="shared" ca="1" si="2"/>
        <v/>
      </c>
      <c r="D170" s="172">
        <f t="shared" ca="1" si="3"/>
        <v>0</v>
      </c>
      <c r="E170" s="172" t="s">
        <v>281</v>
      </c>
      <c r="F170" s="172"/>
      <c r="G170" s="174"/>
      <c r="H170" s="174"/>
      <c r="I170" s="172">
        <f ca="1">IFERROR(__xludf.DUMMYFUNCTION("""COMPUTED_VALUE"""),0)</f>
        <v>0</v>
      </c>
      <c r="J170" s="172"/>
      <c r="K170" s="172"/>
      <c r="L170" s="172"/>
      <c r="M170" s="172"/>
      <c r="N170" s="172"/>
      <c r="O170" s="172"/>
      <c r="P170" s="172"/>
      <c r="Q170" s="172"/>
      <c r="R170" s="172"/>
      <c r="S170" s="172"/>
      <c r="T170" s="172"/>
      <c r="U170" s="172"/>
      <c r="V170" s="172"/>
      <c r="W170" s="172"/>
      <c r="X170" s="172"/>
      <c r="Y170" s="172"/>
      <c r="Z170" s="172"/>
      <c r="AA170" s="172"/>
    </row>
    <row r="171" spans="1:27" ht="16">
      <c r="A171" s="170" t="str">
        <f t="shared" ca="1" si="0"/>
        <v/>
      </c>
      <c r="B171" s="171" t="str">
        <f t="shared" ca="1" si="1"/>
        <v/>
      </c>
      <c r="C171" s="171" t="str">
        <f t="shared" ca="1" si="2"/>
        <v/>
      </c>
      <c r="D171" s="172">
        <f t="shared" ca="1" si="3"/>
        <v>0</v>
      </c>
      <c r="E171" s="172" t="s">
        <v>281</v>
      </c>
      <c r="F171" s="172"/>
      <c r="G171" s="174"/>
      <c r="H171" s="174"/>
      <c r="I171" s="172">
        <f ca="1">IFERROR(__xludf.DUMMYFUNCTION("""COMPUTED_VALUE"""),0)</f>
        <v>0</v>
      </c>
      <c r="J171" s="172"/>
      <c r="K171" s="172"/>
      <c r="L171" s="172"/>
      <c r="M171" s="172"/>
      <c r="N171" s="172"/>
      <c r="O171" s="172"/>
      <c r="P171" s="172"/>
      <c r="Q171" s="172"/>
      <c r="R171" s="172"/>
      <c r="S171" s="172"/>
      <c r="T171" s="172"/>
      <c r="U171" s="172"/>
      <c r="V171" s="172"/>
      <c r="W171" s="172"/>
      <c r="X171" s="172"/>
      <c r="Y171" s="172"/>
      <c r="Z171" s="172"/>
      <c r="AA171" s="172"/>
    </row>
    <row r="172" spans="1:27" ht="16">
      <c r="A172" s="170" t="str">
        <f t="shared" ca="1" si="0"/>
        <v/>
      </c>
      <c r="B172" s="171" t="str">
        <f t="shared" ca="1" si="1"/>
        <v/>
      </c>
      <c r="C172" s="171" t="str">
        <f t="shared" ca="1" si="2"/>
        <v/>
      </c>
      <c r="D172" s="172">
        <f t="shared" ca="1" si="3"/>
        <v>0</v>
      </c>
      <c r="E172" s="172" t="s">
        <v>281</v>
      </c>
      <c r="F172" s="172"/>
      <c r="G172" s="174"/>
      <c r="H172" s="174"/>
      <c r="I172" s="172">
        <f ca="1">IFERROR(__xludf.DUMMYFUNCTION("""COMPUTED_VALUE"""),0)</f>
        <v>0</v>
      </c>
      <c r="J172" s="172"/>
      <c r="K172" s="172"/>
      <c r="L172" s="172"/>
      <c r="M172" s="172"/>
      <c r="N172" s="172"/>
      <c r="O172" s="172"/>
      <c r="P172" s="172"/>
      <c r="Q172" s="172"/>
      <c r="R172" s="172"/>
      <c r="S172" s="172"/>
      <c r="T172" s="172"/>
      <c r="U172" s="172"/>
      <c r="V172" s="172"/>
      <c r="W172" s="172"/>
      <c r="X172" s="172"/>
      <c r="Y172" s="172"/>
      <c r="Z172" s="172"/>
      <c r="AA172" s="172"/>
    </row>
    <row r="173" spans="1:27" ht="16">
      <c r="A173" s="170" t="str">
        <f t="shared" ca="1" si="0"/>
        <v/>
      </c>
      <c r="B173" s="171" t="str">
        <f t="shared" ca="1" si="1"/>
        <v/>
      </c>
      <c r="C173" s="171" t="str">
        <f t="shared" ca="1" si="2"/>
        <v/>
      </c>
      <c r="D173" s="172">
        <f t="shared" ca="1" si="3"/>
        <v>0</v>
      </c>
      <c r="E173" s="172" t="s">
        <v>281</v>
      </c>
      <c r="F173" s="172"/>
      <c r="G173" s="174"/>
      <c r="H173" s="174"/>
      <c r="I173" s="172">
        <f ca="1">IFERROR(__xludf.DUMMYFUNCTION("""COMPUTED_VALUE"""),0)</f>
        <v>0</v>
      </c>
      <c r="J173" s="172"/>
      <c r="K173" s="172"/>
      <c r="L173" s="172"/>
      <c r="M173" s="172"/>
      <c r="N173" s="172"/>
      <c r="O173" s="172"/>
      <c r="P173" s="172"/>
      <c r="Q173" s="172"/>
      <c r="R173" s="172"/>
      <c r="S173" s="172"/>
      <c r="T173" s="172"/>
      <c r="U173" s="172"/>
      <c r="V173" s="172"/>
      <c r="W173" s="172"/>
      <c r="X173" s="172"/>
      <c r="Y173" s="172"/>
      <c r="Z173" s="172"/>
      <c r="AA173" s="172"/>
    </row>
    <row r="174" spans="1:27" ht="16">
      <c r="A174" s="170" t="str">
        <f t="shared" ca="1" si="0"/>
        <v/>
      </c>
      <c r="B174" s="171" t="str">
        <f t="shared" ca="1" si="1"/>
        <v/>
      </c>
      <c r="C174" s="171" t="str">
        <f t="shared" ca="1" si="2"/>
        <v/>
      </c>
      <c r="D174" s="172">
        <f t="shared" ca="1" si="3"/>
        <v>0</v>
      </c>
      <c r="E174" s="172" t="s">
        <v>281</v>
      </c>
      <c r="F174" s="172"/>
      <c r="G174" s="174"/>
      <c r="H174" s="174"/>
      <c r="I174" s="172">
        <f ca="1">IFERROR(__xludf.DUMMYFUNCTION("""COMPUTED_VALUE"""),0)</f>
        <v>0</v>
      </c>
      <c r="J174" s="172"/>
      <c r="K174" s="172"/>
      <c r="L174" s="172"/>
      <c r="M174" s="172"/>
      <c r="N174" s="172"/>
      <c r="O174" s="172"/>
      <c r="P174" s="172"/>
      <c r="Q174" s="172"/>
      <c r="R174" s="172"/>
      <c r="S174" s="172"/>
      <c r="T174" s="172"/>
      <c r="U174" s="172"/>
      <c r="V174" s="172"/>
      <c r="W174" s="172"/>
      <c r="X174" s="172"/>
      <c r="Y174" s="172"/>
      <c r="Z174" s="172"/>
      <c r="AA174" s="172"/>
    </row>
    <row r="175" spans="1:27" ht="16">
      <c r="A175" s="170" t="str">
        <f t="shared" ca="1" si="0"/>
        <v/>
      </c>
      <c r="B175" s="171" t="str">
        <f t="shared" ca="1" si="1"/>
        <v/>
      </c>
      <c r="C175" s="171" t="str">
        <f t="shared" ca="1" si="2"/>
        <v/>
      </c>
      <c r="D175" s="172">
        <f t="shared" ca="1" si="3"/>
        <v>0</v>
      </c>
      <c r="E175" s="172" t="s">
        <v>281</v>
      </c>
      <c r="F175" s="172"/>
      <c r="G175" s="174"/>
      <c r="H175" s="174"/>
      <c r="I175" s="172">
        <f ca="1">IFERROR(__xludf.DUMMYFUNCTION("""COMPUTED_VALUE"""),0)</f>
        <v>0</v>
      </c>
      <c r="J175" s="172"/>
      <c r="K175" s="172"/>
      <c r="L175" s="172"/>
      <c r="M175" s="172"/>
      <c r="N175" s="172"/>
      <c r="O175" s="172"/>
      <c r="P175" s="172"/>
      <c r="Q175" s="172"/>
      <c r="R175" s="172"/>
      <c r="S175" s="172"/>
      <c r="T175" s="172"/>
      <c r="U175" s="172"/>
      <c r="V175" s="172"/>
      <c r="W175" s="172"/>
      <c r="X175" s="172"/>
      <c r="Y175" s="172"/>
      <c r="Z175" s="172"/>
      <c r="AA175" s="172"/>
    </row>
    <row r="176" spans="1:27" ht="16">
      <c r="A176" s="170" t="str">
        <f t="shared" ca="1" si="0"/>
        <v/>
      </c>
      <c r="B176" s="171" t="str">
        <f t="shared" ca="1" si="1"/>
        <v/>
      </c>
      <c r="C176" s="171" t="str">
        <f t="shared" ca="1" si="2"/>
        <v/>
      </c>
      <c r="D176" s="172">
        <f t="shared" ca="1" si="3"/>
        <v>0</v>
      </c>
      <c r="E176" s="172" t="s">
        <v>281</v>
      </c>
      <c r="F176" s="172"/>
      <c r="G176" s="174"/>
      <c r="H176" s="174"/>
      <c r="I176" s="172">
        <f ca="1">IFERROR(__xludf.DUMMYFUNCTION("""COMPUTED_VALUE"""),0)</f>
        <v>0</v>
      </c>
      <c r="J176" s="172"/>
      <c r="K176" s="172"/>
      <c r="L176" s="172"/>
      <c r="M176" s="172"/>
      <c r="N176" s="172"/>
      <c r="O176" s="172"/>
      <c r="P176" s="172"/>
      <c r="Q176" s="172"/>
      <c r="R176" s="172"/>
      <c r="S176" s="172"/>
      <c r="T176" s="172"/>
      <c r="U176" s="172"/>
      <c r="V176" s="172"/>
      <c r="W176" s="172"/>
      <c r="X176" s="172"/>
      <c r="Y176" s="172"/>
      <c r="Z176" s="172"/>
      <c r="AA176" s="172"/>
    </row>
    <row r="177" spans="1:27" ht="16">
      <c r="A177" s="170" t="str">
        <f t="shared" ca="1" si="0"/>
        <v/>
      </c>
      <c r="B177" s="171" t="str">
        <f t="shared" ca="1" si="1"/>
        <v/>
      </c>
      <c r="C177" s="171" t="str">
        <f t="shared" ca="1" si="2"/>
        <v/>
      </c>
      <c r="D177" s="172">
        <f t="shared" ca="1" si="3"/>
        <v>0</v>
      </c>
      <c r="E177" s="172" t="s">
        <v>281</v>
      </c>
      <c r="F177" s="172"/>
      <c r="G177" s="174"/>
      <c r="H177" s="174"/>
      <c r="I177" s="172">
        <f ca="1">IFERROR(__xludf.DUMMYFUNCTION("""COMPUTED_VALUE"""),0)</f>
        <v>0</v>
      </c>
      <c r="J177" s="172"/>
      <c r="K177" s="172"/>
      <c r="L177" s="172"/>
      <c r="M177" s="172"/>
      <c r="N177" s="172"/>
      <c r="O177" s="172"/>
      <c r="P177" s="172"/>
      <c r="Q177" s="172"/>
      <c r="R177" s="172"/>
      <c r="S177" s="172"/>
      <c r="T177" s="172"/>
      <c r="U177" s="172"/>
      <c r="V177" s="172"/>
      <c r="W177" s="172"/>
      <c r="X177" s="172"/>
      <c r="Y177" s="172"/>
      <c r="Z177" s="172"/>
      <c r="AA177" s="172"/>
    </row>
    <row r="178" spans="1:27" ht="16">
      <c r="A178" s="170" t="str">
        <f t="shared" ca="1" si="0"/>
        <v/>
      </c>
      <c r="B178" s="171" t="str">
        <f t="shared" ca="1" si="1"/>
        <v/>
      </c>
      <c r="C178" s="171" t="str">
        <f t="shared" ca="1" si="2"/>
        <v/>
      </c>
      <c r="D178" s="172">
        <f t="shared" ca="1" si="3"/>
        <v>0</v>
      </c>
      <c r="E178" s="172" t="s">
        <v>281</v>
      </c>
      <c r="F178" s="172"/>
      <c r="G178" s="174"/>
      <c r="H178" s="174"/>
      <c r="I178" s="172">
        <f ca="1">IFERROR(__xludf.DUMMYFUNCTION("""COMPUTED_VALUE"""),0)</f>
        <v>0</v>
      </c>
      <c r="J178" s="172"/>
      <c r="K178" s="172"/>
      <c r="L178" s="172"/>
      <c r="M178" s="172"/>
      <c r="N178" s="172"/>
      <c r="O178" s="172"/>
      <c r="P178" s="172"/>
      <c r="Q178" s="172"/>
      <c r="R178" s="172"/>
      <c r="S178" s="172"/>
      <c r="T178" s="172"/>
      <c r="U178" s="172"/>
      <c r="V178" s="172"/>
      <c r="W178" s="172"/>
      <c r="X178" s="172"/>
      <c r="Y178" s="172"/>
      <c r="Z178" s="172"/>
      <c r="AA178" s="172"/>
    </row>
    <row r="179" spans="1:27" ht="16">
      <c r="A179" s="170" t="str">
        <f t="shared" ca="1" si="0"/>
        <v/>
      </c>
      <c r="B179" s="171" t="str">
        <f t="shared" ca="1" si="1"/>
        <v/>
      </c>
      <c r="C179" s="171" t="str">
        <f t="shared" ca="1" si="2"/>
        <v/>
      </c>
      <c r="D179" s="172">
        <f t="shared" ca="1" si="3"/>
        <v>0</v>
      </c>
      <c r="E179" s="172" t="s">
        <v>281</v>
      </c>
      <c r="F179" s="172"/>
      <c r="G179" s="174"/>
      <c r="H179" s="174"/>
      <c r="I179" s="172">
        <f ca="1">IFERROR(__xludf.DUMMYFUNCTION("""COMPUTED_VALUE"""),0)</f>
        <v>0</v>
      </c>
      <c r="J179" s="172"/>
      <c r="K179" s="172"/>
      <c r="L179" s="172"/>
      <c r="M179" s="172"/>
      <c r="N179" s="172"/>
      <c r="O179" s="172"/>
      <c r="P179" s="172"/>
      <c r="Q179" s="172"/>
      <c r="R179" s="172"/>
      <c r="S179" s="172"/>
      <c r="T179" s="172"/>
      <c r="U179" s="172"/>
      <c r="V179" s="172"/>
      <c r="W179" s="172"/>
      <c r="X179" s="172"/>
      <c r="Y179" s="172"/>
      <c r="Z179" s="172"/>
      <c r="AA179" s="172"/>
    </row>
    <row r="180" spans="1:27" ht="16">
      <c r="A180" s="170" t="str">
        <f t="shared" ca="1" si="0"/>
        <v/>
      </c>
      <c r="B180" s="171" t="str">
        <f t="shared" ca="1" si="1"/>
        <v/>
      </c>
      <c r="C180" s="171" t="str">
        <f t="shared" ca="1" si="2"/>
        <v/>
      </c>
      <c r="D180" s="172">
        <f t="shared" ca="1" si="3"/>
        <v>0</v>
      </c>
      <c r="E180" s="172" t="s">
        <v>281</v>
      </c>
      <c r="F180" s="172"/>
      <c r="G180" s="174"/>
      <c r="H180" s="174"/>
      <c r="I180" s="172">
        <f ca="1">IFERROR(__xludf.DUMMYFUNCTION("""COMPUTED_VALUE"""),0)</f>
        <v>0</v>
      </c>
      <c r="J180" s="172"/>
      <c r="K180" s="172"/>
      <c r="L180" s="172"/>
      <c r="M180" s="172"/>
      <c r="N180" s="172"/>
      <c r="O180" s="172"/>
      <c r="P180" s="172"/>
      <c r="Q180" s="172"/>
      <c r="R180" s="172"/>
      <c r="S180" s="172"/>
      <c r="T180" s="172"/>
      <c r="U180" s="172"/>
      <c r="V180" s="172"/>
      <c r="W180" s="172"/>
      <c r="X180" s="172"/>
      <c r="Y180" s="172"/>
      <c r="Z180" s="172"/>
      <c r="AA180" s="172"/>
    </row>
    <row r="181" spans="1:27" ht="16">
      <c r="A181" s="170" t="str">
        <f t="shared" ca="1" si="0"/>
        <v/>
      </c>
      <c r="B181" s="171" t="str">
        <f t="shared" ca="1" si="1"/>
        <v/>
      </c>
      <c r="C181" s="171" t="str">
        <f t="shared" ca="1" si="2"/>
        <v/>
      </c>
      <c r="D181" s="172">
        <f t="shared" ca="1" si="3"/>
        <v>0</v>
      </c>
      <c r="E181" s="172" t="s">
        <v>281</v>
      </c>
      <c r="F181" s="172"/>
      <c r="G181" s="174"/>
      <c r="H181" s="174"/>
      <c r="I181" s="172">
        <f ca="1">IFERROR(__xludf.DUMMYFUNCTION("""COMPUTED_VALUE"""),0)</f>
        <v>0</v>
      </c>
      <c r="J181" s="172"/>
      <c r="K181" s="172"/>
      <c r="L181" s="172"/>
      <c r="M181" s="172"/>
      <c r="N181" s="172"/>
      <c r="O181" s="172"/>
      <c r="P181" s="172"/>
      <c r="Q181" s="172"/>
      <c r="R181" s="172"/>
      <c r="S181" s="172"/>
      <c r="T181" s="172"/>
      <c r="U181" s="172"/>
      <c r="V181" s="172"/>
      <c r="W181" s="172"/>
      <c r="X181" s="172"/>
      <c r="Y181" s="172"/>
      <c r="Z181" s="172"/>
      <c r="AA181" s="172"/>
    </row>
    <row r="182" spans="1:27" ht="16">
      <c r="A182" s="170" t="str">
        <f t="shared" ca="1" si="0"/>
        <v/>
      </c>
      <c r="B182" s="171" t="str">
        <f t="shared" ca="1" si="1"/>
        <v/>
      </c>
      <c r="C182" s="171" t="str">
        <f t="shared" ca="1" si="2"/>
        <v/>
      </c>
      <c r="D182" s="172">
        <f t="shared" ca="1" si="3"/>
        <v>0</v>
      </c>
      <c r="E182" s="172" t="s">
        <v>281</v>
      </c>
      <c r="F182" s="172"/>
      <c r="G182" s="174"/>
      <c r="H182" s="174"/>
      <c r="I182" s="172">
        <f ca="1">IFERROR(__xludf.DUMMYFUNCTION("""COMPUTED_VALUE"""),0)</f>
        <v>0</v>
      </c>
      <c r="J182" s="172"/>
      <c r="K182" s="172"/>
      <c r="L182" s="172"/>
      <c r="M182" s="172"/>
      <c r="N182" s="172"/>
      <c r="O182" s="172"/>
      <c r="P182" s="172"/>
      <c r="Q182" s="172"/>
      <c r="R182" s="172"/>
      <c r="S182" s="172"/>
      <c r="T182" s="172"/>
      <c r="U182" s="172"/>
      <c r="V182" s="172"/>
      <c r="W182" s="172"/>
      <c r="X182" s="172"/>
      <c r="Y182" s="172"/>
      <c r="Z182" s="172"/>
      <c r="AA182" s="172"/>
    </row>
    <row r="183" spans="1:27" ht="16">
      <c r="A183" s="170" t="str">
        <f t="shared" ca="1" si="0"/>
        <v/>
      </c>
      <c r="B183" s="171" t="str">
        <f t="shared" ca="1" si="1"/>
        <v/>
      </c>
      <c r="C183" s="171" t="str">
        <f t="shared" ca="1" si="2"/>
        <v/>
      </c>
      <c r="D183" s="172">
        <f t="shared" ca="1" si="3"/>
        <v>0</v>
      </c>
      <c r="E183" s="172" t="s">
        <v>281</v>
      </c>
      <c r="F183" s="172"/>
      <c r="G183" s="174"/>
      <c r="H183" s="174"/>
      <c r="I183" s="172">
        <f ca="1">IFERROR(__xludf.DUMMYFUNCTION("""COMPUTED_VALUE"""),0)</f>
        <v>0</v>
      </c>
      <c r="J183" s="172"/>
      <c r="K183" s="172"/>
      <c r="L183" s="172"/>
      <c r="M183" s="172"/>
      <c r="N183" s="172"/>
      <c r="O183" s="172"/>
      <c r="P183" s="172"/>
      <c r="Q183" s="172"/>
      <c r="R183" s="172"/>
      <c r="S183" s="172"/>
      <c r="T183" s="172"/>
      <c r="U183" s="172"/>
      <c r="V183" s="172"/>
      <c r="W183" s="172"/>
      <c r="X183" s="172"/>
      <c r="Y183" s="172"/>
      <c r="Z183" s="172"/>
      <c r="AA183" s="172"/>
    </row>
    <row r="184" spans="1:27" ht="16">
      <c r="A184" s="170" t="str">
        <f t="shared" ca="1" si="0"/>
        <v/>
      </c>
      <c r="B184" s="171" t="str">
        <f t="shared" ca="1" si="1"/>
        <v/>
      </c>
      <c r="C184" s="171" t="str">
        <f t="shared" ca="1" si="2"/>
        <v/>
      </c>
      <c r="D184" s="172">
        <f t="shared" ca="1" si="3"/>
        <v>0</v>
      </c>
      <c r="E184" s="172" t="s">
        <v>281</v>
      </c>
      <c r="F184" s="172"/>
      <c r="G184" s="174"/>
      <c r="H184" s="174"/>
      <c r="I184" s="172">
        <f ca="1">IFERROR(__xludf.DUMMYFUNCTION("""COMPUTED_VALUE"""),0)</f>
        <v>0</v>
      </c>
      <c r="J184" s="172"/>
      <c r="K184" s="172"/>
      <c r="L184" s="172"/>
      <c r="M184" s="172"/>
      <c r="N184" s="172"/>
      <c r="O184" s="172"/>
      <c r="P184" s="172"/>
      <c r="Q184" s="172"/>
      <c r="R184" s="172"/>
      <c r="S184" s="172"/>
      <c r="T184" s="172"/>
      <c r="U184" s="172"/>
      <c r="V184" s="172"/>
      <c r="W184" s="172"/>
      <c r="X184" s="172"/>
      <c r="Y184" s="172"/>
      <c r="Z184" s="172"/>
      <c r="AA184" s="172"/>
    </row>
    <row r="185" spans="1:27" ht="16">
      <c r="A185" s="170" t="str">
        <f t="shared" ca="1" si="0"/>
        <v/>
      </c>
      <c r="B185" s="171" t="str">
        <f t="shared" ca="1" si="1"/>
        <v/>
      </c>
      <c r="C185" s="171" t="str">
        <f t="shared" ca="1" si="2"/>
        <v/>
      </c>
      <c r="D185" s="172">
        <f t="shared" ca="1" si="3"/>
        <v>0</v>
      </c>
      <c r="E185" s="172" t="s">
        <v>281</v>
      </c>
      <c r="F185" s="172"/>
      <c r="G185" s="174"/>
      <c r="H185" s="174"/>
      <c r="I185" s="172">
        <f ca="1">IFERROR(__xludf.DUMMYFUNCTION("""COMPUTED_VALUE"""),0)</f>
        <v>0</v>
      </c>
      <c r="J185" s="172"/>
      <c r="K185" s="172"/>
      <c r="L185" s="172"/>
      <c r="M185" s="172"/>
      <c r="N185" s="172"/>
      <c r="O185" s="172"/>
      <c r="P185" s="172"/>
      <c r="Q185" s="172"/>
      <c r="R185" s="172"/>
      <c r="S185" s="172"/>
      <c r="T185" s="172"/>
      <c r="U185" s="172"/>
      <c r="V185" s="172"/>
      <c r="W185" s="172"/>
      <c r="X185" s="172"/>
      <c r="Y185" s="172"/>
      <c r="Z185" s="172"/>
      <c r="AA185" s="172"/>
    </row>
    <row r="186" spans="1:27" ht="16">
      <c r="A186" s="170" t="str">
        <f t="shared" ca="1" si="0"/>
        <v/>
      </c>
      <c r="B186" s="171" t="str">
        <f t="shared" ca="1" si="1"/>
        <v/>
      </c>
      <c r="C186" s="171" t="str">
        <f t="shared" ca="1" si="2"/>
        <v/>
      </c>
      <c r="D186" s="172">
        <f t="shared" ca="1" si="3"/>
        <v>0</v>
      </c>
      <c r="E186" s="172" t="s">
        <v>281</v>
      </c>
      <c r="F186" s="172"/>
      <c r="G186" s="174"/>
      <c r="H186" s="174"/>
      <c r="I186" s="172">
        <f ca="1">IFERROR(__xludf.DUMMYFUNCTION("""COMPUTED_VALUE"""),0)</f>
        <v>0</v>
      </c>
      <c r="J186" s="172"/>
      <c r="K186" s="172"/>
      <c r="L186" s="172"/>
      <c r="M186" s="172"/>
      <c r="N186" s="172"/>
      <c r="O186" s="172"/>
      <c r="P186" s="172"/>
      <c r="Q186" s="172"/>
      <c r="R186" s="172"/>
      <c r="S186" s="172"/>
      <c r="T186" s="172"/>
      <c r="U186" s="172"/>
      <c r="V186" s="172"/>
      <c r="W186" s="172"/>
      <c r="X186" s="172"/>
      <c r="Y186" s="172"/>
      <c r="Z186" s="172"/>
      <c r="AA186" s="172"/>
    </row>
    <row r="187" spans="1:27" ht="16">
      <c r="A187" s="170" t="str">
        <f t="shared" ca="1" si="0"/>
        <v/>
      </c>
      <c r="B187" s="171" t="str">
        <f t="shared" ca="1" si="1"/>
        <v/>
      </c>
      <c r="C187" s="171" t="str">
        <f t="shared" ca="1" si="2"/>
        <v/>
      </c>
      <c r="D187" s="172">
        <f t="shared" ca="1" si="3"/>
        <v>0</v>
      </c>
      <c r="E187" s="172" t="s">
        <v>281</v>
      </c>
      <c r="F187" s="172"/>
      <c r="G187" s="174"/>
      <c r="H187" s="174"/>
      <c r="I187" s="172">
        <f ca="1">IFERROR(__xludf.DUMMYFUNCTION("""COMPUTED_VALUE"""),0)</f>
        <v>0</v>
      </c>
      <c r="J187" s="172"/>
      <c r="K187" s="172"/>
      <c r="L187" s="172"/>
      <c r="M187" s="172"/>
      <c r="N187" s="172"/>
      <c r="O187" s="172"/>
      <c r="P187" s="172"/>
      <c r="Q187" s="172"/>
      <c r="R187" s="172"/>
      <c r="S187" s="172"/>
      <c r="T187" s="172"/>
      <c r="U187" s="172"/>
      <c r="V187" s="172"/>
      <c r="W187" s="172"/>
      <c r="X187" s="172"/>
      <c r="Y187" s="172"/>
      <c r="Z187" s="172"/>
      <c r="AA187" s="172"/>
    </row>
    <row r="188" spans="1:27" ht="16">
      <c r="A188" s="170" t="str">
        <f t="shared" ca="1" si="0"/>
        <v/>
      </c>
      <c r="B188" s="171" t="str">
        <f t="shared" ca="1" si="1"/>
        <v/>
      </c>
      <c r="C188" s="171" t="str">
        <f t="shared" ca="1" si="2"/>
        <v/>
      </c>
      <c r="D188" s="172">
        <f t="shared" ca="1" si="3"/>
        <v>0</v>
      </c>
      <c r="E188" s="172" t="s">
        <v>281</v>
      </c>
      <c r="F188" s="172"/>
      <c r="G188" s="174"/>
      <c r="H188" s="174"/>
      <c r="I188" s="172">
        <f ca="1">IFERROR(__xludf.DUMMYFUNCTION("""COMPUTED_VALUE"""),0)</f>
        <v>0</v>
      </c>
      <c r="J188" s="172"/>
      <c r="K188" s="172"/>
      <c r="L188" s="172"/>
      <c r="M188" s="172"/>
      <c r="N188" s="172"/>
      <c r="O188" s="172"/>
      <c r="P188" s="172"/>
      <c r="Q188" s="172"/>
      <c r="R188" s="172"/>
      <c r="S188" s="172"/>
      <c r="T188" s="172"/>
      <c r="U188" s="172"/>
      <c r="V188" s="172"/>
      <c r="W188" s="172"/>
      <c r="X188" s="172"/>
      <c r="Y188" s="172"/>
      <c r="Z188" s="172"/>
      <c r="AA188" s="172"/>
    </row>
    <row r="189" spans="1:27" ht="16">
      <c r="A189" s="170" t="str">
        <f t="shared" ca="1" si="0"/>
        <v/>
      </c>
      <c r="B189" s="171" t="str">
        <f t="shared" ca="1" si="1"/>
        <v/>
      </c>
      <c r="C189" s="171" t="str">
        <f t="shared" ca="1" si="2"/>
        <v/>
      </c>
      <c r="D189" s="172">
        <f t="shared" ca="1" si="3"/>
        <v>0</v>
      </c>
      <c r="E189" s="172" t="s">
        <v>281</v>
      </c>
      <c r="F189" s="172"/>
      <c r="G189" s="174"/>
      <c r="H189" s="174"/>
      <c r="I189" s="172">
        <f ca="1">IFERROR(__xludf.DUMMYFUNCTION("""COMPUTED_VALUE"""),0)</f>
        <v>0</v>
      </c>
      <c r="J189" s="172"/>
      <c r="K189" s="172"/>
      <c r="L189" s="172"/>
      <c r="M189" s="172"/>
      <c r="N189" s="172"/>
      <c r="O189" s="172"/>
      <c r="P189" s="172"/>
      <c r="Q189" s="172"/>
      <c r="R189" s="172"/>
      <c r="S189" s="172"/>
      <c r="T189" s="172"/>
      <c r="U189" s="172"/>
      <c r="V189" s="172"/>
      <c r="W189" s="172"/>
      <c r="X189" s="172"/>
      <c r="Y189" s="172"/>
      <c r="Z189" s="172"/>
      <c r="AA189" s="172"/>
    </row>
    <row r="190" spans="1:27" ht="17">
      <c r="A190" s="168"/>
      <c r="B190" s="171" t="str">
        <f t="shared" ca="1" si="1"/>
        <v/>
      </c>
      <c r="C190" s="171" t="str">
        <f t="shared" ca="1" si="2"/>
        <v/>
      </c>
      <c r="D190" s="172">
        <f t="shared" ca="1" si="3"/>
        <v>0</v>
      </c>
      <c r="E190" s="172" t="s">
        <v>281</v>
      </c>
      <c r="F190" s="172"/>
      <c r="G190" s="175"/>
      <c r="H190" s="175"/>
      <c r="I190" s="172">
        <f ca="1">IFERROR(__xludf.DUMMYFUNCTION("""COMPUTED_VALUE"""),0)</f>
        <v>0</v>
      </c>
      <c r="J190" s="172"/>
      <c r="K190" s="172"/>
      <c r="L190" s="172"/>
      <c r="M190" s="172"/>
      <c r="N190" s="172"/>
      <c r="O190" s="172"/>
      <c r="P190" s="172"/>
      <c r="Q190" s="172"/>
      <c r="R190" s="172"/>
      <c r="S190" s="172"/>
      <c r="T190" s="172"/>
      <c r="U190" s="172"/>
      <c r="V190" s="172"/>
      <c r="W190" s="172"/>
      <c r="X190" s="172"/>
      <c r="Y190" s="172"/>
      <c r="Z190" s="172"/>
      <c r="AA190" s="172"/>
    </row>
    <row r="191" spans="1:27" ht="17">
      <c r="A191" s="168"/>
      <c r="B191" s="171" t="str">
        <f t="shared" ca="1" si="1"/>
        <v/>
      </c>
      <c r="C191" s="171" t="str">
        <f t="shared" ca="1" si="2"/>
        <v/>
      </c>
      <c r="D191" s="172">
        <f t="shared" ca="1" si="3"/>
        <v>0</v>
      </c>
      <c r="E191" s="172" t="s">
        <v>281</v>
      </c>
      <c r="F191" s="172"/>
      <c r="G191" s="175"/>
      <c r="H191" s="175"/>
      <c r="I191" s="172">
        <f ca="1">IFERROR(__xludf.DUMMYFUNCTION("""COMPUTED_VALUE"""),0)</f>
        <v>0</v>
      </c>
      <c r="J191" s="172"/>
      <c r="K191" s="172"/>
      <c r="L191" s="172"/>
      <c r="M191" s="172"/>
      <c r="N191" s="172"/>
      <c r="O191" s="172"/>
      <c r="P191" s="172"/>
      <c r="Q191" s="172"/>
      <c r="R191" s="172"/>
      <c r="S191" s="172"/>
      <c r="T191" s="172"/>
      <c r="U191" s="172"/>
      <c r="V191" s="172"/>
      <c r="W191" s="172"/>
      <c r="X191" s="172"/>
      <c r="Y191" s="172"/>
      <c r="Z191" s="172"/>
      <c r="AA191" s="172"/>
    </row>
    <row r="192" spans="1:27" ht="17">
      <c r="A192" s="168"/>
      <c r="B192" s="171" t="str">
        <f t="shared" ca="1" si="1"/>
        <v/>
      </c>
      <c r="C192" s="171" t="str">
        <f t="shared" ca="1" si="2"/>
        <v/>
      </c>
      <c r="D192" s="172">
        <f t="shared" ca="1" si="3"/>
        <v>0</v>
      </c>
      <c r="E192" s="172" t="s">
        <v>281</v>
      </c>
      <c r="F192" s="172"/>
      <c r="G192" s="175"/>
      <c r="H192" s="175"/>
      <c r="I192" s="172">
        <f ca="1">IFERROR(__xludf.DUMMYFUNCTION("""COMPUTED_VALUE"""),0)</f>
        <v>0</v>
      </c>
      <c r="J192" s="172"/>
      <c r="K192" s="172"/>
      <c r="L192" s="172"/>
      <c r="M192" s="172"/>
      <c r="N192" s="172"/>
      <c r="O192" s="172"/>
      <c r="P192" s="172"/>
      <c r="Q192" s="172"/>
      <c r="R192" s="172"/>
      <c r="S192" s="172"/>
      <c r="T192" s="172"/>
      <c r="U192" s="172"/>
      <c r="V192" s="172"/>
      <c r="W192" s="172"/>
      <c r="X192" s="172"/>
      <c r="Y192" s="172"/>
      <c r="Z192" s="172"/>
      <c r="AA192" s="172"/>
    </row>
    <row r="193" spans="1:27" ht="17">
      <c r="A193" s="168"/>
      <c r="B193" s="171" t="str">
        <f t="shared" ca="1" si="1"/>
        <v/>
      </c>
      <c r="C193" s="171" t="str">
        <f t="shared" ca="1" si="2"/>
        <v/>
      </c>
      <c r="D193" s="172">
        <f t="shared" ca="1" si="3"/>
        <v>0</v>
      </c>
      <c r="E193" s="172" t="s">
        <v>281</v>
      </c>
      <c r="F193" s="172"/>
      <c r="G193" s="175"/>
      <c r="H193" s="175"/>
      <c r="I193" s="172">
        <f ca="1">IFERROR(__xludf.DUMMYFUNCTION("""COMPUTED_VALUE"""),0)</f>
        <v>0</v>
      </c>
      <c r="J193" s="172"/>
      <c r="K193" s="172"/>
      <c r="L193" s="172"/>
      <c r="M193" s="172"/>
      <c r="N193" s="172"/>
      <c r="O193" s="172"/>
      <c r="P193" s="172"/>
      <c r="Q193" s="172"/>
      <c r="R193" s="172"/>
      <c r="S193" s="172"/>
      <c r="T193" s="172"/>
      <c r="U193" s="172"/>
      <c r="V193" s="172"/>
      <c r="W193" s="172"/>
      <c r="X193" s="172"/>
      <c r="Y193" s="172"/>
      <c r="Z193" s="172"/>
      <c r="AA193" s="172"/>
    </row>
    <row r="194" spans="1:27" ht="17">
      <c r="A194" s="168"/>
      <c r="B194" s="171" t="str">
        <f t="shared" ca="1" si="1"/>
        <v/>
      </c>
      <c r="C194" s="171" t="str">
        <f t="shared" ca="1" si="2"/>
        <v/>
      </c>
      <c r="D194" s="172">
        <f t="shared" ca="1" si="3"/>
        <v>0</v>
      </c>
      <c r="E194" s="172" t="s">
        <v>281</v>
      </c>
      <c r="F194" s="172"/>
      <c r="G194" s="175"/>
      <c r="H194" s="175"/>
      <c r="I194" s="172">
        <f ca="1">IFERROR(__xludf.DUMMYFUNCTION("""COMPUTED_VALUE"""),0)</f>
        <v>0</v>
      </c>
      <c r="J194" s="172"/>
      <c r="K194" s="172"/>
      <c r="L194" s="172"/>
      <c r="M194" s="172"/>
      <c r="N194" s="172"/>
      <c r="O194" s="172"/>
      <c r="P194" s="172"/>
      <c r="Q194" s="172"/>
      <c r="R194" s="172"/>
      <c r="S194" s="172"/>
      <c r="T194" s="172"/>
      <c r="U194" s="172"/>
      <c r="V194" s="172"/>
      <c r="W194" s="172"/>
      <c r="X194" s="172"/>
      <c r="Y194" s="172"/>
      <c r="Z194" s="172"/>
      <c r="AA194" s="172"/>
    </row>
    <row r="195" spans="1:27" ht="17">
      <c r="A195" s="168"/>
      <c r="B195" s="171" t="str">
        <f t="shared" ca="1" si="1"/>
        <v/>
      </c>
      <c r="C195" s="171" t="str">
        <f t="shared" ca="1" si="2"/>
        <v/>
      </c>
      <c r="D195" s="172">
        <f t="shared" ca="1" si="3"/>
        <v>0</v>
      </c>
      <c r="E195" s="172" t="s">
        <v>281</v>
      </c>
      <c r="F195" s="172"/>
      <c r="G195" s="175"/>
      <c r="H195" s="175"/>
      <c r="I195" s="172">
        <f ca="1">IFERROR(__xludf.DUMMYFUNCTION("""COMPUTED_VALUE"""),0)</f>
        <v>0</v>
      </c>
      <c r="J195" s="172"/>
      <c r="K195" s="172"/>
      <c r="L195" s="172"/>
      <c r="M195" s="172"/>
      <c r="N195" s="172"/>
      <c r="O195" s="172"/>
      <c r="P195" s="172"/>
      <c r="Q195" s="172"/>
      <c r="R195" s="172"/>
      <c r="S195" s="172"/>
      <c r="T195" s="172"/>
      <c r="U195" s="172"/>
      <c r="V195" s="172"/>
      <c r="W195" s="172"/>
      <c r="X195" s="172"/>
      <c r="Y195" s="172"/>
      <c r="Z195" s="172"/>
      <c r="AA195" s="172"/>
    </row>
    <row r="196" spans="1:27" ht="17">
      <c r="A196" s="168"/>
      <c r="B196" s="171" t="str">
        <f t="shared" ca="1" si="1"/>
        <v/>
      </c>
      <c r="C196" s="171" t="str">
        <f t="shared" ca="1" si="2"/>
        <v/>
      </c>
      <c r="D196" s="172">
        <f t="shared" ca="1" si="3"/>
        <v>0</v>
      </c>
      <c r="E196" s="172" t="s">
        <v>281</v>
      </c>
      <c r="F196" s="172"/>
      <c r="G196" s="175"/>
      <c r="H196" s="175"/>
      <c r="I196" s="172">
        <f ca="1">IFERROR(__xludf.DUMMYFUNCTION("""COMPUTED_VALUE"""),0)</f>
        <v>0</v>
      </c>
      <c r="J196" s="172"/>
      <c r="K196" s="172"/>
      <c r="L196" s="172"/>
      <c r="M196" s="172"/>
      <c r="N196" s="172"/>
      <c r="O196" s="172"/>
      <c r="P196" s="172"/>
      <c r="Q196" s="172"/>
      <c r="R196" s="172"/>
      <c r="S196" s="172"/>
      <c r="T196" s="172"/>
      <c r="U196" s="172"/>
      <c r="V196" s="172"/>
      <c r="W196" s="172"/>
      <c r="X196" s="172"/>
      <c r="Y196" s="172"/>
      <c r="Z196" s="172"/>
      <c r="AA196" s="172"/>
    </row>
    <row r="197" spans="1:27" ht="17">
      <c r="A197" s="168"/>
      <c r="B197" s="171" t="str">
        <f t="shared" ca="1" si="1"/>
        <v/>
      </c>
      <c r="C197" s="171" t="str">
        <f t="shared" ca="1" si="2"/>
        <v/>
      </c>
      <c r="D197" s="172">
        <f t="shared" ca="1" si="3"/>
        <v>0</v>
      </c>
      <c r="E197" s="172" t="s">
        <v>281</v>
      </c>
      <c r="F197" s="172"/>
      <c r="G197" s="175"/>
      <c r="H197" s="175"/>
      <c r="I197" s="172">
        <f ca="1">IFERROR(__xludf.DUMMYFUNCTION("""COMPUTED_VALUE"""),0)</f>
        <v>0</v>
      </c>
      <c r="J197" s="172"/>
      <c r="K197" s="172"/>
      <c r="L197" s="172"/>
      <c r="M197" s="172"/>
      <c r="N197" s="172"/>
      <c r="O197" s="172"/>
      <c r="P197" s="172"/>
      <c r="Q197" s="172"/>
      <c r="R197" s="172"/>
      <c r="S197" s="172"/>
      <c r="T197" s="172"/>
      <c r="U197" s="172"/>
      <c r="V197" s="172"/>
      <c r="W197" s="172"/>
      <c r="X197" s="172"/>
      <c r="Y197" s="172"/>
      <c r="Z197" s="172"/>
      <c r="AA197" s="172"/>
    </row>
    <row r="198" spans="1:27" ht="17">
      <c r="A198" s="168"/>
      <c r="B198" s="171" t="str">
        <f t="shared" ca="1" si="1"/>
        <v/>
      </c>
      <c r="C198" s="171" t="str">
        <f t="shared" ca="1" si="2"/>
        <v/>
      </c>
      <c r="D198" s="172">
        <f t="shared" ca="1" si="3"/>
        <v>0</v>
      </c>
      <c r="E198" s="172" t="s">
        <v>281</v>
      </c>
      <c r="F198" s="172"/>
      <c r="G198" s="175"/>
      <c r="H198" s="175"/>
      <c r="I198" s="172">
        <f ca="1">IFERROR(__xludf.DUMMYFUNCTION("""COMPUTED_VALUE"""),0)</f>
        <v>0</v>
      </c>
      <c r="J198" s="172"/>
      <c r="K198" s="172"/>
      <c r="L198" s="172"/>
      <c r="M198" s="172"/>
      <c r="N198" s="172"/>
      <c r="O198" s="172"/>
      <c r="P198" s="172"/>
      <c r="Q198" s="172"/>
      <c r="R198" s="172"/>
      <c r="S198" s="172"/>
      <c r="T198" s="172"/>
      <c r="U198" s="172"/>
      <c r="V198" s="172"/>
      <c r="W198" s="172"/>
      <c r="X198" s="172"/>
      <c r="Y198" s="172"/>
      <c r="Z198" s="172"/>
      <c r="AA198" s="172"/>
    </row>
    <row r="199" spans="1:27" ht="17">
      <c r="A199" s="168"/>
      <c r="B199" s="171" t="str">
        <f t="shared" ca="1" si="1"/>
        <v/>
      </c>
      <c r="C199" s="171" t="str">
        <f t="shared" ca="1" si="2"/>
        <v/>
      </c>
      <c r="D199" s="172">
        <f t="shared" ca="1" si="3"/>
        <v>0</v>
      </c>
      <c r="E199" s="172" t="s">
        <v>281</v>
      </c>
      <c r="F199" s="172"/>
      <c r="G199" s="175"/>
      <c r="H199" s="175"/>
      <c r="I199" s="172">
        <f ca="1">IFERROR(__xludf.DUMMYFUNCTION("""COMPUTED_VALUE"""),0)</f>
        <v>0</v>
      </c>
      <c r="J199" s="172"/>
      <c r="K199" s="172"/>
      <c r="L199" s="172"/>
      <c r="M199" s="172"/>
      <c r="N199" s="172"/>
      <c r="O199" s="172"/>
      <c r="P199" s="172"/>
      <c r="Q199" s="172"/>
      <c r="R199" s="172"/>
      <c r="S199" s="172"/>
      <c r="T199" s="172"/>
      <c r="U199" s="172"/>
      <c r="V199" s="172"/>
      <c r="W199" s="172"/>
      <c r="X199" s="172"/>
      <c r="Y199" s="172"/>
      <c r="Z199" s="172"/>
      <c r="AA199" s="172"/>
    </row>
    <row r="200" spans="1:27" ht="17">
      <c r="A200" s="168"/>
      <c r="B200" s="171" t="str">
        <f t="shared" ca="1" si="1"/>
        <v/>
      </c>
      <c r="C200" s="171" t="str">
        <f t="shared" ca="1" si="2"/>
        <v/>
      </c>
      <c r="D200" s="172">
        <f t="shared" ca="1" si="3"/>
        <v>0</v>
      </c>
      <c r="E200" s="172" t="s">
        <v>281</v>
      </c>
      <c r="F200" s="172"/>
      <c r="G200" s="175"/>
      <c r="H200" s="175"/>
      <c r="I200" s="172">
        <f ca="1">IFERROR(__xludf.DUMMYFUNCTION("""COMPUTED_VALUE"""),0)</f>
        <v>0</v>
      </c>
      <c r="J200" s="172"/>
      <c r="K200" s="172"/>
      <c r="L200" s="172"/>
      <c r="M200" s="172"/>
      <c r="N200" s="172"/>
      <c r="O200" s="172"/>
      <c r="P200" s="172"/>
      <c r="Q200" s="172"/>
      <c r="R200" s="172"/>
      <c r="S200" s="172"/>
      <c r="T200" s="172"/>
      <c r="U200" s="172"/>
      <c r="V200" s="172"/>
      <c r="W200" s="172"/>
      <c r="X200" s="172"/>
      <c r="Y200" s="172"/>
      <c r="Z200" s="172"/>
      <c r="AA200" s="172"/>
    </row>
    <row r="201" spans="1:27" ht="17">
      <c r="A201" s="168"/>
      <c r="B201" s="171" t="str">
        <f t="shared" ca="1" si="1"/>
        <v/>
      </c>
      <c r="C201" s="171" t="str">
        <f t="shared" ca="1" si="2"/>
        <v/>
      </c>
      <c r="D201" s="172">
        <f t="shared" ca="1" si="3"/>
        <v>0</v>
      </c>
      <c r="E201" s="172" t="s">
        <v>281</v>
      </c>
      <c r="F201" s="172"/>
      <c r="G201" s="175"/>
      <c r="H201" s="175"/>
      <c r="I201" s="172">
        <f ca="1">IFERROR(__xludf.DUMMYFUNCTION("""COMPUTED_VALUE"""),0)</f>
        <v>0</v>
      </c>
      <c r="J201" s="172"/>
      <c r="K201" s="172"/>
      <c r="L201" s="172"/>
      <c r="M201" s="172"/>
      <c r="N201" s="172"/>
      <c r="O201" s="172"/>
      <c r="P201" s="172"/>
      <c r="Q201" s="172"/>
      <c r="R201" s="172"/>
      <c r="S201" s="172"/>
      <c r="T201" s="172"/>
      <c r="U201" s="172"/>
      <c r="V201" s="172"/>
      <c r="W201" s="172"/>
      <c r="X201" s="172"/>
      <c r="Y201" s="172"/>
      <c r="Z201" s="172"/>
      <c r="AA201" s="172"/>
    </row>
    <row r="202" spans="1:27" ht="17">
      <c r="A202" s="168"/>
      <c r="B202" s="171" t="str">
        <f t="shared" ca="1" si="1"/>
        <v/>
      </c>
      <c r="C202" s="171" t="str">
        <f t="shared" ca="1" si="2"/>
        <v/>
      </c>
      <c r="D202" s="172">
        <f t="shared" ca="1" si="3"/>
        <v>0</v>
      </c>
      <c r="E202" s="172" t="s">
        <v>281</v>
      </c>
      <c r="F202" s="172"/>
      <c r="G202" s="175"/>
      <c r="H202" s="175"/>
      <c r="I202" s="172">
        <f ca="1">IFERROR(__xludf.DUMMYFUNCTION("""COMPUTED_VALUE"""),0)</f>
        <v>0</v>
      </c>
      <c r="J202" s="172"/>
      <c r="K202" s="172"/>
      <c r="L202" s="172"/>
      <c r="M202" s="172"/>
      <c r="N202" s="172"/>
      <c r="O202" s="172"/>
      <c r="P202" s="172"/>
      <c r="Q202" s="172"/>
      <c r="R202" s="172"/>
      <c r="S202" s="172"/>
      <c r="T202" s="172"/>
      <c r="U202" s="172"/>
      <c r="V202" s="172"/>
      <c r="W202" s="172"/>
      <c r="X202" s="172"/>
      <c r="Y202" s="172"/>
      <c r="Z202" s="172"/>
      <c r="AA202" s="172"/>
    </row>
    <row r="203" spans="1:27" ht="17">
      <c r="A203" s="168"/>
      <c r="B203" s="171" t="str">
        <f t="shared" ca="1" si="1"/>
        <v/>
      </c>
      <c r="C203" s="171" t="str">
        <f t="shared" ca="1" si="2"/>
        <v/>
      </c>
      <c r="D203" s="172">
        <f t="shared" ca="1" si="3"/>
        <v>0</v>
      </c>
      <c r="E203" s="172" t="s">
        <v>281</v>
      </c>
      <c r="F203" s="172"/>
      <c r="G203" s="175"/>
      <c r="H203" s="175"/>
      <c r="I203" s="172">
        <f ca="1">IFERROR(__xludf.DUMMYFUNCTION("""COMPUTED_VALUE"""),0)</f>
        <v>0</v>
      </c>
      <c r="J203" s="172"/>
      <c r="K203" s="172"/>
      <c r="L203" s="172"/>
      <c r="M203" s="172"/>
      <c r="N203" s="172"/>
      <c r="O203" s="172"/>
      <c r="P203" s="172"/>
      <c r="Q203" s="172"/>
      <c r="R203" s="172"/>
      <c r="S203" s="172"/>
      <c r="T203" s="172"/>
      <c r="U203" s="172"/>
      <c r="V203" s="172"/>
      <c r="W203" s="172"/>
      <c r="X203" s="172"/>
      <c r="Y203" s="172"/>
      <c r="Z203" s="172"/>
      <c r="AA203" s="172"/>
    </row>
    <row r="204" spans="1:27" ht="17">
      <c r="A204" s="168"/>
      <c r="B204" s="171" t="str">
        <f t="shared" ca="1" si="1"/>
        <v/>
      </c>
      <c r="C204" s="171" t="str">
        <f t="shared" ca="1" si="2"/>
        <v/>
      </c>
      <c r="D204" s="172">
        <f t="shared" ca="1" si="3"/>
        <v>0</v>
      </c>
      <c r="E204" s="172" t="s">
        <v>281</v>
      </c>
      <c r="F204" s="172"/>
      <c r="G204" s="175"/>
      <c r="H204" s="175"/>
      <c r="I204" s="172">
        <f ca="1">IFERROR(__xludf.DUMMYFUNCTION("""COMPUTED_VALUE"""),0)</f>
        <v>0</v>
      </c>
      <c r="J204" s="172"/>
      <c r="K204" s="172"/>
      <c r="L204" s="172"/>
      <c r="M204" s="172"/>
      <c r="N204" s="172"/>
      <c r="O204" s="172"/>
      <c r="P204" s="172"/>
      <c r="Q204" s="172"/>
      <c r="R204" s="172"/>
      <c r="S204" s="172"/>
      <c r="T204" s="172"/>
      <c r="U204" s="172"/>
      <c r="V204" s="172"/>
      <c r="W204" s="172"/>
      <c r="X204" s="172"/>
      <c r="Y204" s="172"/>
      <c r="Z204" s="172"/>
      <c r="AA204" s="172"/>
    </row>
    <row r="205" spans="1:27" ht="17">
      <c r="A205" s="168"/>
      <c r="B205" s="171" t="str">
        <f t="shared" ca="1" si="1"/>
        <v/>
      </c>
      <c r="C205" s="171" t="str">
        <f t="shared" ca="1" si="2"/>
        <v/>
      </c>
      <c r="D205" s="172">
        <f t="shared" ca="1" si="3"/>
        <v>0</v>
      </c>
      <c r="E205" s="172" t="s">
        <v>281</v>
      </c>
      <c r="F205" s="172"/>
      <c r="G205" s="175"/>
      <c r="H205" s="175"/>
      <c r="I205" s="172">
        <f ca="1">IFERROR(__xludf.DUMMYFUNCTION("""COMPUTED_VALUE"""),0)</f>
        <v>0</v>
      </c>
      <c r="J205" s="172"/>
      <c r="K205" s="172"/>
      <c r="L205" s="172"/>
      <c r="M205" s="172"/>
      <c r="N205" s="172"/>
      <c r="O205" s="172"/>
      <c r="P205" s="172"/>
      <c r="Q205" s="172"/>
      <c r="R205" s="172"/>
      <c r="S205" s="172"/>
      <c r="T205" s="172"/>
      <c r="U205" s="172"/>
      <c r="V205" s="172"/>
      <c r="W205" s="172"/>
      <c r="X205" s="172"/>
      <c r="Y205" s="172"/>
      <c r="Z205" s="172"/>
      <c r="AA205" s="172"/>
    </row>
    <row r="206" spans="1:27" ht="17">
      <c r="A206" s="168"/>
      <c r="B206" s="171" t="str">
        <f t="shared" ca="1" si="1"/>
        <v/>
      </c>
      <c r="C206" s="171" t="str">
        <f t="shared" ca="1" si="2"/>
        <v/>
      </c>
      <c r="D206" s="172">
        <f t="shared" ca="1" si="3"/>
        <v>0</v>
      </c>
      <c r="E206" s="172" t="s">
        <v>281</v>
      </c>
      <c r="F206" s="172"/>
      <c r="G206" s="175"/>
      <c r="H206" s="175"/>
      <c r="I206" s="172">
        <f ca="1">IFERROR(__xludf.DUMMYFUNCTION("""COMPUTED_VALUE"""),0)</f>
        <v>0</v>
      </c>
      <c r="J206" s="172"/>
      <c r="K206" s="172"/>
      <c r="L206" s="172"/>
      <c r="M206" s="172"/>
      <c r="N206" s="172"/>
      <c r="O206" s="172"/>
      <c r="P206" s="172"/>
      <c r="Q206" s="172"/>
      <c r="R206" s="172"/>
      <c r="S206" s="172"/>
      <c r="T206" s="172"/>
      <c r="U206" s="172"/>
      <c r="V206" s="172"/>
      <c r="W206" s="172"/>
      <c r="X206" s="172"/>
      <c r="Y206" s="172"/>
      <c r="Z206" s="172"/>
      <c r="AA206" s="172"/>
    </row>
    <row r="207" spans="1:27" ht="17">
      <c r="A207" s="168"/>
      <c r="B207" s="171" t="str">
        <f t="shared" ca="1" si="1"/>
        <v/>
      </c>
      <c r="C207" s="171" t="str">
        <f t="shared" ca="1" si="2"/>
        <v/>
      </c>
      <c r="D207" s="172">
        <f t="shared" ca="1" si="3"/>
        <v>0</v>
      </c>
      <c r="E207" s="172" t="s">
        <v>281</v>
      </c>
      <c r="F207" s="172"/>
      <c r="G207" s="175"/>
      <c r="H207" s="175"/>
      <c r="I207" s="172">
        <f ca="1">IFERROR(__xludf.DUMMYFUNCTION("""COMPUTED_VALUE"""),0)</f>
        <v>0</v>
      </c>
      <c r="J207" s="172"/>
      <c r="K207" s="172"/>
      <c r="L207" s="172"/>
      <c r="M207" s="172"/>
      <c r="N207" s="172"/>
      <c r="O207" s="172"/>
      <c r="P207" s="172"/>
      <c r="Q207" s="172"/>
      <c r="R207" s="172"/>
      <c r="S207" s="172"/>
      <c r="T207" s="172"/>
      <c r="U207" s="172"/>
      <c r="V207" s="172"/>
      <c r="W207" s="172"/>
      <c r="X207" s="172"/>
      <c r="Y207" s="172"/>
      <c r="Z207" s="172"/>
      <c r="AA207" s="172"/>
    </row>
    <row r="208" spans="1:27" ht="17">
      <c r="A208" s="168"/>
      <c r="B208" s="171" t="str">
        <f t="shared" ca="1" si="1"/>
        <v/>
      </c>
      <c r="C208" s="171" t="str">
        <f t="shared" ca="1" si="2"/>
        <v/>
      </c>
      <c r="D208" s="172">
        <f t="shared" ca="1" si="3"/>
        <v>0</v>
      </c>
      <c r="E208" s="172" t="s">
        <v>281</v>
      </c>
      <c r="F208" s="172"/>
      <c r="G208" s="175"/>
      <c r="H208" s="175"/>
      <c r="I208" s="172">
        <f ca="1">IFERROR(__xludf.DUMMYFUNCTION("""COMPUTED_VALUE"""),0)</f>
        <v>0</v>
      </c>
      <c r="J208" s="172"/>
      <c r="K208" s="172"/>
      <c r="L208" s="172"/>
      <c r="M208" s="172"/>
      <c r="N208" s="172"/>
      <c r="O208" s="172"/>
      <c r="P208" s="172"/>
      <c r="Q208" s="172"/>
      <c r="R208" s="172"/>
      <c r="S208" s="172"/>
      <c r="T208" s="172"/>
      <c r="U208" s="172"/>
      <c r="V208" s="172"/>
      <c r="W208" s="172"/>
      <c r="X208" s="172"/>
      <c r="Y208" s="172"/>
      <c r="Z208" s="172"/>
      <c r="AA208" s="172"/>
    </row>
    <row r="209" spans="1:27" ht="17">
      <c r="A209" s="168"/>
      <c r="B209" s="171" t="str">
        <f t="shared" ca="1" si="1"/>
        <v/>
      </c>
      <c r="C209" s="171" t="str">
        <f t="shared" ca="1" si="2"/>
        <v/>
      </c>
      <c r="D209" s="172">
        <f t="shared" ca="1" si="3"/>
        <v>0</v>
      </c>
      <c r="E209" s="172" t="s">
        <v>281</v>
      </c>
      <c r="F209" s="172"/>
      <c r="G209" s="175"/>
      <c r="H209" s="175"/>
      <c r="I209" s="172">
        <f ca="1">IFERROR(__xludf.DUMMYFUNCTION("""COMPUTED_VALUE"""),0)</f>
        <v>0</v>
      </c>
      <c r="J209" s="172"/>
      <c r="K209" s="172"/>
      <c r="L209" s="172"/>
      <c r="M209" s="172"/>
      <c r="N209" s="172"/>
      <c r="O209" s="172"/>
      <c r="P209" s="172"/>
      <c r="Q209" s="172"/>
      <c r="R209" s="172"/>
      <c r="S209" s="172"/>
      <c r="T209" s="172"/>
      <c r="U209" s="172"/>
      <c r="V209" s="172"/>
      <c r="W209" s="172"/>
      <c r="X209" s="172"/>
      <c r="Y209" s="172"/>
      <c r="Z209" s="172"/>
      <c r="AA209" s="172"/>
    </row>
    <row r="210" spans="1:27" ht="17">
      <c r="A210" s="168"/>
      <c r="B210" s="171" t="str">
        <f t="shared" ca="1" si="1"/>
        <v/>
      </c>
      <c r="C210" s="171" t="str">
        <f t="shared" ca="1" si="2"/>
        <v/>
      </c>
      <c r="D210" s="172">
        <f t="shared" ca="1" si="3"/>
        <v>0</v>
      </c>
      <c r="E210" s="172" t="s">
        <v>281</v>
      </c>
      <c r="F210" s="172"/>
      <c r="G210" s="175"/>
      <c r="H210" s="175"/>
      <c r="I210" s="172">
        <f ca="1">IFERROR(__xludf.DUMMYFUNCTION("""COMPUTED_VALUE"""),0)</f>
        <v>0</v>
      </c>
      <c r="J210" s="172"/>
      <c r="K210" s="172"/>
      <c r="L210" s="172"/>
      <c r="M210" s="172"/>
      <c r="N210" s="172"/>
      <c r="O210" s="172"/>
      <c r="P210" s="172"/>
      <c r="Q210" s="172"/>
      <c r="R210" s="172"/>
      <c r="S210" s="172"/>
      <c r="T210" s="172"/>
      <c r="U210" s="172"/>
      <c r="V210" s="172"/>
      <c r="W210" s="172"/>
      <c r="X210" s="172"/>
      <c r="Y210" s="172"/>
      <c r="Z210" s="172"/>
      <c r="AA210" s="172"/>
    </row>
    <row r="211" spans="1:27" ht="17">
      <c r="A211" s="168"/>
      <c r="B211" s="171" t="str">
        <f t="shared" ca="1" si="1"/>
        <v/>
      </c>
      <c r="C211" s="171" t="str">
        <f t="shared" ca="1" si="2"/>
        <v/>
      </c>
      <c r="D211" s="172">
        <f t="shared" ca="1" si="3"/>
        <v>0</v>
      </c>
      <c r="E211" s="172" t="s">
        <v>281</v>
      </c>
      <c r="F211" s="172"/>
      <c r="G211" s="175"/>
      <c r="H211" s="175"/>
      <c r="I211" s="172">
        <f ca="1">IFERROR(__xludf.DUMMYFUNCTION("""COMPUTED_VALUE"""),0)</f>
        <v>0</v>
      </c>
      <c r="J211" s="172"/>
      <c r="K211" s="172"/>
      <c r="L211" s="172"/>
      <c r="M211" s="172"/>
      <c r="N211" s="172"/>
      <c r="O211" s="172"/>
      <c r="P211" s="172"/>
      <c r="Q211" s="172"/>
      <c r="R211" s="172"/>
      <c r="S211" s="172"/>
      <c r="T211" s="172"/>
      <c r="U211" s="172"/>
      <c r="V211" s="172"/>
      <c r="W211" s="172"/>
      <c r="X211" s="172"/>
      <c r="Y211" s="172"/>
      <c r="Z211" s="172"/>
      <c r="AA211" s="172"/>
    </row>
    <row r="212" spans="1:27" ht="17">
      <c r="A212" s="168"/>
      <c r="B212" s="171" t="str">
        <f t="shared" ca="1" si="1"/>
        <v/>
      </c>
      <c r="C212" s="171" t="str">
        <f t="shared" ca="1" si="2"/>
        <v/>
      </c>
      <c r="D212" s="172">
        <f t="shared" ca="1" si="3"/>
        <v>0</v>
      </c>
      <c r="E212" s="172" t="s">
        <v>281</v>
      </c>
      <c r="F212" s="172"/>
      <c r="G212" s="175"/>
      <c r="H212" s="175"/>
      <c r="I212" s="172">
        <f ca="1">IFERROR(__xludf.DUMMYFUNCTION("""COMPUTED_VALUE"""),0)</f>
        <v>0</v>
      </c>
      <c r="J212" s="172"/>
      <c r="K212" s="172"/>
      <c r="L212" s="172"/>
      <c r="M212" s="172"/>
      <c r="N212" s="172"/>
      <c r="O212" s="172"/>
      <c r="P212" s="172"/>
      <c r="Q212" s="172"/>
      <c r="R212" s="172"/>
      <c r="S212" s="172"/>
      <c r="T212" s="172"/>
      <c r="U212" s="172"/>
      <c r="V212" s="172"/>
      <c r="W212" s="172"/>
      <c r="X212" s="172"/>
      <c r="Y212" s="172"/>
      <c r="Z212" s="172"/>
      <c r="AA212" s="172"/>
    </row>
    <row r="213" spans="1:27" ht="17">
      <c r="A213" s="168"/>
      <c r="B213" s="171" t="str">
        <f t="shared" ca="1" si="1"/>
        <v/>
      </c>
      <c r="C213" s="171" t="str">
        <f t="shared" ca="1" si="2"/>
        <v/>
      </c>
      <c r="D213" s="172">
        <f t="shared" ca="1" si="3"/>
        <v>0</v>
      </c>
      <c r="E213" s="172" t="s">
        <v>281</v>
      </c>
      <c r="F213" s="172"/>
      <c r="G213" s="175"/>
      <c r="H213" s="175"/>
      <c r="I213" s="172">
        <f ca="1">IFERROR(__xludf.DUMMYFUNCTION("""COMPUTED_VALUE"""),0)</f>
        <v>0</v>
      </c>
      <c r="J213" s="172"/>
      <c r="K213" s="172"/>
      <c r="L213" s="172"/>
      <c r="M213" s="172"/>
      <c r="N213" s="172"/>
      <c r="O213" s="172"/>
      <c r="P213" s="172"/>
      <c r="Q213" s="172"/>
      <c r="R213" s="172"/>
      <c r="S213" s="172"/>
      <c r="T213" s="172"/>
      <c r="U213" s="172"/>
      <c r="V213" s="172"/>
      <c r="W213" s="172"/>
      <c r="X213" s="172"/>
      <c r="Y213" s="172"/>
      <c r="Z213" s="172"/>
      <c r="AA213" s="172"/>
    </row>
    <row r="214" spans="1:27" ht="17">
      <c r="A214" s="168"/>
      <c r="B214" s="171" t="str">
        <f t="shared" ca="1" si="1"/>
        <v/>
      </c>
      <c r="C214" s="171" t="str">
        <f t="shared" ca="1" si="2"/>
        <v/>
      </c>
      <c r="D214" s="172">
        <f t="shared" ca="1" si="3"/>
        <v>0</v>
      </c>
      <c r="E214" s="172" t="s">
        <v>281</v>
      </c>
      <c r="F214" s="172"/>
      <c r="G214" s="175"/>
      <c r="H214" s="175"/>
      <c r="I214" s="172">
        <f ca="1">IFERROR(__xludf.DUMMYFUNCTION("""COMPUTED_VALUE"""),0)</f>
        <v>0</v>
      </c>
      <c r="J214" s="172"/>
      <c r="K214" s="172"/>
      <c r="L214" s="172"/>
      <c r="M214" s="172"/>
      <c r="N214" s="172"/>
      <c r="O214" s="172"/>
      <c r="P214" s="172"/>
      <c r="Q214" s="172"/>
      <c r="R214" s="172"/>
      <c r="S214" s="172"/>
      <c r="T214" s="172"/>
      <c r="U214" s="172"/>
      <c r="V214" s="172"/>
      <c r="W214" s="172"/>
      <c r="X214" s="172"/>
      <c r="Y214" s="172"/>
      <c r="Z214" s="172"/>
      <c r="AA214" s="172"/>
    </row>
    <row r="215" spans="1:27" ht="17">
      <c r="A215" s="168"/>
      <c r="B215" s="171" t="str">
        <f t="shared" ca="1" si="1"/>
        <v/>
      </c>
      <c r="C215" s="171" t="str">
        <f t="shared" ca="1" si="2"/>
        <v/>
      </c>
      <c r="D215" s="172">
        <f t="shared" ca="1" si="3"/>
        <v>0</v>
      </c>
      <c r="E215" s="172" t="s">
        <v>281</v>
      </c>
      <c r="F215" s="172"/>
      <c r="G215" s="175"/>
      <c r="H215" s="175"/>
      <c r="I215" s="172">
        <f ca="1">IFERROR(__xludf.DUMMYFUNCTION("""COMPUTED_VALUE"""),0)</f>
        <v>0</v>
      </c>
      <c r="J215" s="172"/>
      <c r="K215" s="172"/>
      <c r="L215" s="172"/>
      <c r="M215" s="172"/>
      <c r="N215" s="172"/>
      <c r="O215" s="172"/>
      <c r="P215" s="172"/>
      <c r="Q215" s="172"/>
      <c r="R215" s="172"/>
      <c r="S215" s="172"/>
      <c r="T215" s="172"/>
      <c r="U215" s="172"/>
      <c r="V215" s="172"/>
      <c r="W215" s="172"/>
      <c r="X215" s="172"/>
      <c r="Y215" s="172"/>
      <c r="Z215" s="172"/>
      <c r="AA215" s="172"/>
    </row>
    <row r="216" spans="1:27" ht="17">
      <c r="A216" s="168"/>
      <c r="B216" s="171" t="str">
        <f t="shared" ca="1" si="1"/>
        <v/>
      </c>
      <c r="C216" s="171" t="str">
        <f t="shared" ca="1" si="2"/>
        <v/>
      </c>
      <c r="D216" s="172">
        <f t="shared" ca="1" si="3"/>
        <v>0</v>
      </c>
      <c r="E216" s="172" t="s">
        <v>281</v>
      </c>
      <c r="F216" s="172"/>
      <c r="G216" s="175"/>
      <c r="H216" s="175"/>
      <c r="I216" s="172">
        <f ca="1">IFERROR(__xludf.DUMMYFUNCTION("""COMPUTED_VALUE"""),0)</f>
        <v>0</v>
      </c>
      <c r="J216" s="172"/>
      <c r="K216" s="172"/>
      <c r="L216" s="172"/>
      <c r="M216" s="172"/>
      <c r="N216" s="172"/>
      <c r="O216" s="172"/>
      <c r="P216" s="172"/>
      <c r="Q216" s="172"/>
      <c r="R216" s="172"/>
      <c r="S216" s="172"/>
      <c r="T216" s="172"/>
      <c r="U216" s="172"/>
      <c r="V216" s="172"/>
      <c r="W216" s="172"/>
      <c r="X216" s="172"/>
      <c r="Y216" s="172"/>
      <c r="Z216" s="172"/>
      <c r="AA216" s="172"/>
    </row>
    <row r="217" spans="1:27" ht="17">
      <c r="A217" s="168"/>
      <c r="B217" s="171" t="str">
        <f t="shared" ca="1" si="1"/>
        <v/>
      </c>
      <c r="C217" s="171" t="str">
        <f t="shared" ca="1" si="2"/>
        <v/>
      </c>
      <c r="D217" s="172">
        <f t="shared" ca="1" si="3"/>
        <v>0</v>
      </c>
      <c r="E217" s="172" t="s">
        <v>281</v>
      </c>
      <c r="F217" s="172"/>
      <c r="G217" s="175"/>
      <c r="H217" s="175"/>
      <c r="I217" s="172">
        <f ca="1">IFERROR(__xludf.DUMMYFUNCTION("""COMPUTED_VALUE"""),0)</f>
        <v>0</v>
      </c>
      <c r="J217" s="172"/>
      <c r="K217" s="172"/>
      <c r="L217" s="172"/>
      <c r="M217" s="172"/>
      <c r="N217" s="172"/>
      <c r="O217" s="172"/>
      <c r="P217" s="172"/>
      <c r="Q217" s="172"/>
      <c r="R217" s="172"/>
      <c r="S217" s="172"/>
      <c r="T217" s="172"/>
      <c r="U217" s="172"/>
      <c r="V217" s="172"/>
      <c r="W217" s="172"/>
      <c r="X217" s="172"/>
      <c r="Y217" s="172"/>
      <c r="Z217" s="172"/>
      <c r="AA217" s="172"/>
    </row>
    <row r="218" spans="1:27" ht="17">
      <c r="A218" s="168"/>
      <c r="B218" s="171" t="str">
        <f t="shared" ca="1" si="1"/>
        <v/>
      </c>
      <c r="C218" s="171" t="str">
        <f t="shared" ca="1" si="2"/>
        <v/>
      </c>
      <c r="D218" s="172">
        <f t="shared" ca="1" si="3"/>
        <v>0</v>
      </c>
      <c r="E218" s="172" t="s">
        <v>281</v>
      </c>
      <c r="F218" s="172"/>
      <c r="G218" s="175"/>
      <c r="H218" s="175"/>
      <c r="I218" s="172">
        <f ca="1">IFERROR(__xludf.DUMMYFUNCTION("""COMPUTED_VALUE"""),0)</f>
        <v>0</v>
      </c>
      <c r="J218" s="172"/>
      <c r="K218" s="172"/>
      <c r="L218" s="172"/>
      <c r="M218" s="172"/>
      <c r="N218" s="172"/>
      <c r="O218" s="172"/>
      <c r="P218" s="172"/>
      <c r="Q218" s="172"/>
      <c r="R218" s="172"/>
      <c r="S218" s="172"/>
      <c r="T218" s="172"/>
      <c r="U218" s="172"/>
      <c r="V218" s="172"/>
      <c r="W218" s="172"/>
      <c r="X218" s="172"/>
      <c r="Y218" s="172"/>
      <c r="Z218" s="172"/>
      <c r="AA218" s="172"/>
    </row>
    <row r="219" spans="1:27" ht="17">
      <c r="A219" s="168"/>
      <c r="B219" s="171" t="str">
        <f t="shared" ca="1" si="1"/>
        <v/>
      </c>
      <c r="C219" s="171" t="str">
        <f t="shared" ca="1" si="2"/>
        <v/>
      </c>
      <c r="D219" s="172">
        <f t="shared" ca="1" si="3"/>
        <v>0</v>
      </c>
      <c r="E219" s="172" t="s">
        <v>281</v>
      </c>
      <c r="G219" s="175"/>
      <c r="H219" s="175"/>
      <c r="I219" s="168">
        <f ca="1">IFERROR(__xludf.DUMMYFUNCTION("""COMPUTED_VALUE"""),0)</f>
        <v>0</v>
      </c>
      <c r="J219" s="168"/>
    </row>
    <row r="220" spans="1:27" ht="36">
      <c r="A220" s="168"/>
      <c r="B220" s="171" t="str">
        <f t="shared" ca="1" si="1"/>
        <v/>
      </c>
      <c r="C220" s="171" t="str">
        <f t="shared" ca="1" si="2"/>
        <v/>
      </c>
      <c r="D220" s="172">
        <f t="shared" ca="1" si="3"/>
        <v>0</v>
      </c>
      <c r="G220" s="175" t="str">
        <f ca="1">IFERROR(__xludf.DUMMYFUNCTION("""COMPUTED_VALUE"""),"DTSA 5001 - Probability Theory: Applications for Data Science")</f>
        <v>DTSA 5001 - Probability Theory: Applications for Data Science</v>
      </c>
      <c r="H220" s="175"/>
      <c r="I220" s="168">
        <f ca="1">IFERROR(__xludf.DUMMYFUNCTION("""COMPUTED_VALUE"""),0)</f>
        <v>0</v>
      </c>
      <c r="J220" s="168">
        <f ca="1">IFERROR(__xludf.DUMMYFUNCTION("""COMPUTED_VALUE"""),3)</f>
        <v>3</v>
      </c>
    </row>
    <row r="221" spans="1:27" ht="36">
      <c r="A221" s="168"/>
      <c r="B221" s="171" t="str">
        <f t="shared" ca="1" si="1"/>
        <v/>
      </c>
      <c r="C221" s="171" t="str">
        <f t="shared" ca="1" si="2"/>
        <v/>
      </c>
      <c r="D221" s="172">
        <f t="shared" ca="1" si="3"/>
        <v>0</v>
      </c>
      <c r="G221" s="175" t="str">
        <f ca="1">IFERROR(__xludf.DUMMYFUNCTION("""COMPUTED_VALUE"""),"DTSA 5001 - Probability Theory: Applications for Data Science")</f>
        <v>DTSA 5001 - Probability Theory: Applications for Data Science</v>
      </c>
      <c r="H221" s="175"/>
      <c r="I221" s="168">
        <f ca="1">IFERROR(__xludf.DUMMYFUNCTION("""COMPUTED_VALUE"""),0)</f>
        <v>0</v>
      </c>
      <c r="J221" s="168">
        <f ca="1">IFERROR(__xludf.DUMMYFUNCTION("""COMPUTED_VALUE"""),3)</f>
        <v>3</v>
      </c>
    </row>
    <row r="222" spans="1:27" ht="36">
      <c r="A222" s="168"/>
      <c r="B222" s="171" t="str">
        <f t="shared" ca="1" si="1"/>
        <v/>
      </c>
      <c r="C222" s="171" t="str">
        <f t="shared" ca="1" si="2"/>
        <v/>
      </c>
      <c r="D222" s="172">
        <f t="shared" ca="1" si="3"/>
        <v>0</v>
      </c>
      <c r="G222" s="175" t="str">
        <f ca="1">IFERROR(__xludf.DUMMYFUNCTION("""COMPUTED_VALUE"""),"DTSA 5001 - Probability Theory: Applications for Data Science")</f>
        <v>DTSA 5001 - Probability Theory: Applications for Data Science</v>
      </c>
      <c r="H222" s="175"/>
      <c r="I222" s="168">
        <f ca="1">IFERROR(__xludf.DUMMYFUNCTION("""COMPUTED_VALUE"""),0)</f>
        <v>0</v>
      </c>
      <c r="J222" s="168">
        <f ca="1">IFERROR(__xludf.DUMMYFUNCTION("""COMPUTED_VALUE"""),3)</f>
        <v>3</v>
      </c>
    </row>
    <row r="223" spans="1:27" ht="36">
      <c r="A223" s="168"/>
      <c r="B223" s="171" t="str">
        <f t="shared" ca="1" si="1"/>
        <v/>
      </c>
      <c r="C223" s="171" t="str">
        <f t="shared" ca="1" si="2"/>
        <v/>
      </c>
      <c r="D223" s="172">
        <f t="shared" ca="1" si="3"/>
        <v>0</v>
      </c>
      <c r="G223" s="175" t="str">
        <f ca="1">IFERROR(__xludf.DUMMYFUNCTION("""COMPUTED_VALUE"""),"DTSA 5001 - Probability Theory: Applications for Data Science")</f>
        <v>DTSA 5001 - Probability Theory: Applications for Data Science</v>
      </c>
      <c r="H223" s="175"/>
      <c r="I223" s="168">
        <f ca="1">IFERROR(__xludf.DUMMYFUNCTION("""COMPUTED_VALUE"""),0)</f>
        <v>0</v>
      </c>
      <c r="J223" s="168">
        <f ca="1">IFERROR(__xludf.DUMMYFUNCTION("""COMPUTED_VALUE"""),3)</f>
        <v>3</v>
      </c>
    </row>
    <row r="224" spans="1:27" ht="36">
      <c r="A224" s="168"/>
      <c r="B224" s="171" t="str">
        <f t="shared" ca="1" si="1"/>
        <v/>
      </c>
      <c r="C224" s="171" t="str">
        <f t="shared" ca="1" si="2"/>
        <v/>
      </c>
      <c r="D224" s="172">
        <f t="shared" ca="1" si="3"/>
        <v>0</v>
      </c>
      <c r="G224" s="175" t="str">
        <f ca="1">IFERROR(__xludf.DUMMYFUNCTION("""COMPUTED_VALUE"""),"DTSA 5002 - Statistical Inference for Estimation in Data Science")</f>
        <v>DTSA 5002 - Statistical Inference for Estimation in Data Science</v>
      </c>
      <c r="H224" s="175"/>
      <c r="I224" s="168">
        <f ca="1">IFERROR(__xludf.DUMMYFUNCTION("""COMPUTED_VALUE"""),0)</f>
        <v>0</v>
      </c>
      <c r="J224" s="168">
        <f ca="1">IFERROR(__xludf.DUMMYFUNCTION("""COMPUTED_VALUE"""),4)</f>
        <v>4</v>
      </c>
    </row>
    <row r="225" spans="1:10" ht="54">
      <c r="A225" s="168"/>
      <c r="B225" s="171" t="str">
        <f t="shared" ca="1" si="1"/>
        <v/>
      </c>
      <c r="C225" s="171" t="str">
        <f t="shared" ca="1" si="2"/>
        <v/>
      </c>
      <c r="D225" s="172">
        <f t="shared" ca="1" si="3"/>
        <v>0</v>
      </c>
      <c r="G225" s="175" t="str">
        <f ca="1">IFERROR(__xludf.DUMMYFUNCTION("""COMPUTED_VALUE"""),"DTSA 5003 - Statistical Inference &amp; Hypothesis Testing in Data Science Applications")</f>
        <v>DTSA 5003 - Statistical Inference &amp; Hypothesis Testing in Data Science Applications</v>
      </c>
      <c r="H225" s="175"/>
      <c r="I225" s="168">
        <f ca="1">IFERROR(__xludf.DUMMYFUNCTION("""COMPUTED_VALUE"""),0)</f>
        <v>0</v>
      </c>
      <c r="J225" s="168">
        <f ca="1">IFERROR(__xludf.DUMMYFUNCTION("""COMPUTED_VALUE"""),5)</f>
        <v>5</v>
      </c>
    </row>
    <row r="226" spans="1:10" ht="36">
      <c r="A226" s="168"/>
      <c r="B226" s="171" t="str">
        <f t="shared" ca="1" si="1"/>
        <v/>
      </c>
      <c r="C226" s="171" t="str">
        <f t="shared" ca="1" si="2"/>
        <v/>
      </c>
      <c r="D226" s="172">
        <f t="shared" ca="1" si="3"/>
        <v>0</v>
      </c>
      <c r="G226" s="175" t="str">
        <f ca="1">IFERROR(__xludf.DUMMYFUNCTION("""COMPUTED_VALUE"""),"DTSA 5011 - Modern Regression Analysis in R")</f>
        <v>DTSA 5011 - Modern Regression Analysis in R</v>
      </c>
      <c r="H226" s="175"/>
      <c r="I226" s="168">
        <f ca="1">IFERROR(__xludf.DUMMYFUNCTION("""COMPUTED_VALUE"""),0)</f>
        <v>0</v>
      </c>
      <c r="J226" s="168">
        <f ca="1">IFERROR(__xludf.DUMMYFUNCTION("""COMPUTED_VALUE"""),13)</f>
        <v>13</v>
      </c>
    </row>
    <row r="227" spans="1:10" ht="36">
      <c r="A227" s="168"/>
      <c r="B227" s="171" t="str">
        <f t="shared" ca="1" si="1"/>
        <v/>
      </c>
      <c r="C227" s="171" t="str">
        <f t="shared" ca="1" si="2"/>
        <v/>
      </c>
      <c r="D227" s="172">
        <f t="shared" ca="1" si="3"/>
        <v>0</v>
      </c>
      <c r="G227" s="175" t="str">
        <f ca="1">IFERROR(__xludf.DUMMYFUNCTION("""COMPUTED_VALUE"""),"DTSA 5011 - Modern Regression Analysis in R")</f>
        <v>DTSA 5011 - Modern Regression Analysis in R</v>
      </c>
      <c r="H227" s="175"/>
      <c r="I227" s="168">
        <f ca="1">IFERROR(__xludf.DUMMYFUNCTION("""COMPUTED_VALUE"""),0)</f>
        <v>0</v>
      </c>
      <c r="J227" s="168">
        <f ca="1">IFERROR(__xludf.DUMMYFUNCTION("""COMPUTED_VALUE"""),13)</f>
        <v>13</v>
      </c>
    </row>
    <row r="228" spans="1:10" ht="36">
      <c r="A228" s="168"/>
      <c r="B228" s="171" t="str">
        <f t="shared" ca="1" si="1"/>
        <v/>
      </c>
      <c r="C228" s="171" t="str">
        <f t="shared" ca="1" si="2"/>
        <v/>
      </c>
      <c r="D228" s="172">
        <f t="shared" ca="1" si="3"/>
        <v>0</v>
      </c>
      <c r="G228" s="175" t="str">
        <f ca="1">IFERROR(__xludf.DUMMYFUNCTION("""COMPUTED_VALUE"""),"DTSA 5012 - ANOVA and Experimental Design")</f>
        <v>DTSA 5012 - ANOVA and Experimental Design</v>
      </c>
      <c r="H228" s="175"/>
      <c r="I228" s="168">
        <f ca="1">IFERROR(__xludf.DUMMYFUNCTION("""COMPUTED_VALUE"""),0)</f>
        <v>0</v>
      </c>
      <c r="J228" s="168">
        <f ca="1">IFERROR(__xludf.DUMMYFUNCTION("""COMPUTED_VALUE"""),14)</f>
        <v>14</v>
      </c>
    </row>
    <row r="229" spans="1:10" ht="36">
      <c r="A229" s="168"/>
      <c r="B229" s="171" t="str">
        <f t="shared" ca="1" si="1"/>
        <v/>
      </c>
      <c r="C229" s="171" t="str">
        <f t="shared" ca="1" si="2"/>
        <v/>
      </c>
      <c r="D229" s="172">
        <f t="shared" ca="1" si="3"/>
        <v>0</v>
      </c>
      <c r="G229" s="175" t="str">
        <f ca="1">IFERROR(__xludf.DUMMYFUNCTION("""COMPUTED_VALUE"""),"DTSA 5013 - Generalized Linear Models and Nonparametric Regression")</f>
        <v>DTSA 5013 - Generalized Linear Models and Nonparametric Regression</v>
      </c>
      <c r="H229" s="175"/>
      <c r="I229" s="168">
        <f ca="1">IFERROR(__xludf.DUMMYFUNCTION("""COMPUTED_VALUE"""),0)</f>
        <v>0</v>
      </c>
      <c r="J229" s="168">
        <f ca="1">IFERROR(__xludf.DUMMYFUNCTION("""COMPUTED_VALUE"""),15)</f>
        <v>15</v>
      </c>
    </row>
    <row r="230" spans="1:10" ht="17">
      <c r="A230" s="168"/>
      <c r="B230" s="171" t="str">
        <f t="shared" ca="1" si="1"/>
        <v/>
      </c>
      <c r="C230" s="171" t="str">
        <f t="shared" ca="1" si="2"/>
        <v/>
      </c>
      <c r="G230" s="175"/>
      <c r="H230" s="175"/>
      <c r="I230" s="168"/>
      <c r="J230" s="168"/>
    </row>
    <row r="231" spans="1:10" ht="17">
      <c r="A231" s="168"/>
      <c r="B231" s="171" t="str">
        <f t="shared" ca="1" si="1"/>
        <v/>
      </c>
      <c r="C231" s="171" t="str">
        <f t="shared" ca="1" si="2"/>
        <v/>
      </c>
      <c r="G231" s="175"/>
      <c r="H231" s="175"/>
      <c r="I231" s="168"/>
      <c r="J231" s="168"/>
    </row>
    <row r="232" spans="1:10" ht="17">
      <c r="A232" s="168"/>
      <c r="B232" s="171" t="str">
        <f t="shared" ca="1" si="1"/>
        <v/>
      </c>
      <c r="C232" s="171" t="str">
        <f t="shared" ca="1" si="2"/>
        <v/>
      </c>
      <c r="G232" s="175"/>
      <c r="H232" s="175"/>
      <c r="I232" s="168"/>
      <c r="J232" s="168"/>
    </row>
    <row r="233" spans="1:10" ht="17">
      <c r="A233" s="168"/>
      <c r="B233" s="171" t="str">
        <f t="shared" ca="1" si="1"/>
        <v/>
      </c>
      <c r="C233" s="171" t="str">
        <f t="shared" ca="1" si="2"/>
        <v/>
      </c>
      <c r="G233" s="175"/>
      <c r="H233" s="175"/>
      <c r="I233" s="168"/>
      <c r="J233" s="168"/>
    </row>
    <row r="234" spans="1:10" ht="17">
      <c r="A234" s="168"/>
      <c r="B234" s="171" t="str">
        <f t="shared" ca="1" si="1"/>
        <v/>
      </c>
      <c r="C234" s="171" t="str">
        <f t="shared" ca="1" si="2"/>
        <v/>
      </c>
      <c r="G234" s="175"/>
      <c r="H234" s="175"/>
      <c r="I234" s="168"/>
      <c r="J234" s="168"/>
    </row>
    <row r="235" spans="1:10" ht="17">
      <c r="A235" s="168"/>
      <c r="B235" s="171" t="str">
        <f t="shared" ca="1" si="1"/>
        <v/>
      </c>
      <c r="C235" s="171" t="str">
        <f t="shared" ca="1" si="2"/>
        <v/>
      </c>
      <c r="G235" s="175"/>
      <c r="H235" s="175"/>
      <c r="I235" s="168"/>
      <c r="J235" s="168"/>
    </row>
    <row r="236" spans="1:10" ht="17">
      <c r="A236" s="168"/>
      <c r="B236" s="171" t="str">
        <f t="shared" ca="1" si="1"/>
        <v/>
      </c>
      <c r="C236" s="171" t="str">
        <f t="shared" ca="1" si="2"/>
        <v/>
      </c>
      <c r="G236" s="175"/>
      <c r="H236" s="175"/>
      <c r="I236" s="168"/>
      <c r="J236" s="168"/>
    </row>
    <row r="237" spans="1:10" ht="17">
      <c r="A237" s="168"/>
      <c r="B237" s="171" t="str">
        <f t="shared" ca="1" si="1"/>
        <v/>
      </c>
      <c r="C237" s="171" t="str">
        <f t="shared" ca="1" si="2"/>
        <v/>
      </c>
      <c r="G237" s="175"/>
      <c r="H237" s="175"/>
      <c r="I237" s="168"/>
      <c r="J237" s="168"/>
    </row>
    <row r="238" spans="1:10" ht="17">
      <c r="A238" s="168"/>
      <c r="B238" s="171" t="str">
        <f t="shared" ca="1" si="1"/>
        <v/>
      </c>
      <c r="C238" s="171" t="str">
        <f t="shared" ca="1" si="2"/>
        <v/>
      </c>
      <c r="G238" s="175"/>
      <c r="H238" s="175"/>
      <c r="I238" s="168"/>
      <c r="J238" s="168"/>
    </row>
    <row r="239" spans="1:10" ht="17">
      <c r="A239" s="168"/>
      <c r="B239" s="171" t="str">
        <f t="shared" ca="1" si="1"/>
        <v/>
      </c>
      <c r="C239" s="171" t="str">
        <f t="shared" ca="1" si="2"/>
        <v/>
      </c>
      <c r="G239" s="175"/>
      <c r="H239" s="175"/>
      <c r="I239" s="168"/>
      <c r="J239" s="168"/>
    </row>
    <row r="240" spans="1:10" ht="17">
      <c r="A240" s="168"/>
      <c r="B240" s="171" t="str">
        <f t="shared" ca="1" si="1"/>
        <v/>
      </c>
      <c r="C240" s="171" t="str">
        <f t="shared" ca="1" si="2"/>
        <v/>
      </c>
      <c r="G240" s="175"/>
      <c r="H240" s="175"/>
      <c r="I240" s="168"/>
      <c r="J240" s="168"/>
    </row>
    <row r="241" spans="1:10" ht="17">
      <c r="A241" s="168"/>
      <c r="B241" s="171" t="str">
        <f t="shared" ca="1" si="1"/>
        <v/>
      </c>
      <c r="C241" s="171" t="str">
        <f t="shared" ca="1" si="2"/>
        <v/>
      </c>
      <c r="G241" s="175"/>
      <c r="H241" s="175"/>
      <c r="I241" s="168"/>
      <c r="J241" s="168"/>
    </row>
    <row r="242" spans="1:10" ht="17">
      <c r="A242" s="168"/>
      <c r="B242" s="171" t="str">
        <f t="shared" ca="1" si="1"/>
        <v/>
      </c>
      <c r="C242" s="171" t="str">
        <f t="shared" ca="1" si="2"/>
        <v/>
      </c>
      <c r="G242" s="175"/>
      <c r="H242" s="175"/>
      <c r="I242" s="168"/>
      <c r="J242" s="168"/>
    </row>
    <row r="243" spans="1:10" ht="17">
      <c r="A243" s="168"/>
      <c r="B243" s="171" t="str">
        <f t="shared" ca="1" si="1"/>
        <v/>
      </c>
      <c r="C243" s="171" t="str">
        <f t="shared" ca="1" si="2"/>
        <v/>
      </c>
      <c r="G243" s="175"/>
      <c r="H243" s="175"/>
      <c r="I243" s="168"/>
      <c r="J243" s="168"/>
    </row>
    <row r="244" spans="1:10" ht="17">
      <c r="A244" s="168"/>
      <c r="B244" s="171" t="str">
        <f t="shared" ca="1" si="1"/>
        <v/>
      </c>
      <c r="C244" s="171" t="str">
        <f t="shared" ca="1" si="2"/>
        <v/>
      </c>
      <c r="G244" s="175"/>
      <c r="H244" s="175"/>
      <c r="I244" s="168"/>
      <c r="J244" s="168"/>
    </row>
    <row r="245" spans="1:10" ht="17">
      <c r="A245" s="168"/>
      <c r="B245" s="171" t="str">
        <f t="shared" ca="1" si="1"/>
        <v/>
      </c>
      <c r="C245" s="171" t="str">
        <f t="shared" ca="1" si="2"/>
        <v/>
      </c>
      <c r="G245" s="175"/>
      <c r="H245" s="175"/>
      <c r="I245" s="168"/>
      <c r="J245" s="168"/>
    </row>
    <row r="246" spans="1:10" ht="17">
      <c r="A246" s="168"/>
      <c r="B246" s="171" t="str">
        <f t="shared" ca="1" si="1"/>
        <v/>
      </c>
      <c r="C246" s="171" t="str">
        <f t="shared" ca="1" si="2"/>
        <v/>
      </c>
      <c r="G246" s="175"/>
      <c r="H246" s="175"/>
      <c r="I246" s="168"/>
      <c r="J246" s="168"/>
    </row>
    <row r="247" spans="1:10" ht="17">
      <c r="A247" s="168"/>
      <c r="B247" s="171" t="str">
        <f t="shared" ca="1" si="1"/>
        <v/>
      </c>
      <c r="C247" s="171" t="str">
        <f t="shared" ca="1" si="2"/>
        <v/>
      </c>
      <c r="G247" s="175"/>
      <c r="H247" s="175"/>
      <c r="I247" s="168"/>
      <c r="J247" s="168"/>
    </row>
    <row r="248" spans="1:10" ht="17">
      <c r="A248" s="168"/>
      <c r="B248" s="171" t="str">
        <f t="shared" ca="1" si="1"/>
        <v/>
      </c>
      <c r="C248" s="171" t="str">
        <f t="shared" ca="1" si="2"/>
        <v/>
      </c>
      <c r="G248" s="175"/>
      <c r="H248" s="175"/>
      <c r="I248" s="168"/>
      <c r="J248" s="168"/>
    </row>
    <row r="249" spans="1:10" ht="17">
      <c r="A249" s="168"/>
      <c r="B249" s="171" t="str">
        <f t="shared" ca="1" si="1"/>
        <v/>
      </c>
      <c r="C249" s="171" t="str">
        <f t="shared" ca="1" si="2"/>
        <v/>
      </c>
      <c r="G249" s="175"/>
      <c r="H249" s="175"/>
      <c r="I249" s="168"/>
      <c r="J249" s="168"/>
    </row>
    <row r="250" spans="1:10" ht="17">
      <c r="A250" s="168"/>
      <c r="B250" s="171" t="str">
        <f t="shared" ca="1" si="1"/>
        <v/>
      </c>
      <c r="C250" s="171" t="str">
        <f t="shared" ca="1" si="2"/>
        <v/>
      </c>
      <c r="G250" s="175"/>
      <c r="H250" s="175"/>
      <c r="I250" s="168"/>
      <c r="J250" s="168"/>
    </row>
    <row r="251" spans="1:10" ht="17">
      <c r="A251" s="168"/>
      <c r="B251" s="171" t="str">
        <f t="shared" ca="1" si="1"/>
        <v/>
      </c>
      <c r="C251" s="171" t="str">
        <f t="shared" ca="1" si="2"/>
        <v/>
      </c>
      <c r="G251" s="175"/>
      <c r="H251" s="175"/>
      <c r="I251" s="168"/>
      <c r="J251" s="168"/>
    </row>
    <row r="252" spans="1:10" ht="17">
      <c r="A252" s="168"/>
      <c r="B252" s="171" t="str">
        <f t="shared" ca="1" si="1"/>
        <v/>
      </c>
      <c r="C252" s="171" t="str">
        <f t="shared" ca="1" si="2"/>
        <v/>
      </c>
      <c r="G252" s="175"/>
      <c r="H252" s="175"/>
      <c r="I252" s="168"/>
      <c r="J252" s="168"/>
    </row>
    <row r="253" spans="1:10" ht="17">
      <c r="A253" s="168"/>
      <c r="B253" s="171" t="str">
        <f t="shared" ca="1" si="1"/>
        <v/>
      </c>
      <c r="C253" s="171" t="str">
        <f t="shared" ca="1" si="2"/>
        <v/>
      </c>
      <c r="G253" s="175"/>
      <c r="H253" s="175"/>
      <c r="I253" s="168"/>
      <c r="J253" s="168"/>
    </row>
    <row r="254" spans="1:10" ht="17">
      <c r="A254" s="168"/>
      <c r="B254" s="171" t="str">
        <f t="shared" ca="1" si="1"/>
        <v/>
      </c>
      <c r="C254" s="171" t="str">
        <f t="shared" ca="1" si="2"/>
        <v/>
      </c>
      <c r="G254" s="175"/>
      <c r="H254" s="175"/>
      <c r="I254" s="168"/>
      <c r="J254" s="168"/>
    </row>
    <row r="255" spans="1:10" ht="17">
      <c r="A255" s="168"/>
      <c r="B255" s="171" t="str">
        <f t="shared" ca="1" si="1"/>
        <v/>
      </c>
      <c r="C255" s="171" t="str">
        <f t="shared" ca="1" si="2"/>
        <v/>
      </c>
      <c r="G255" s="175"/>
      <c r="H255" s="175"/>
      <c r="I255" s="168"/>
      <c r="J255" s="168"/>
    </row>
    <row r="256" spans="1:10" ht="17">
      <c r="A256" s="168"/>
      <c r="B256" s="171" t="str">
        <f t="shared" ca="1" si="1"/>
        <v/>
      </c>
      <c r="C256" s="171" t="str">
        <f t="shared" ca="1" si="2"/>
        <v/>
      </c>
      <c r="G256" s="175"/>
      <c r="H256" s="175"/>
      <c r="I256" s="168"/>
      <c r="J256" s="168"/>
    </row>
    <row r="257" spans="1:10" ht="17">
      <c r="A257" s="168"/>
      <c r="B257" s="171" t="str">
        <f t="shared" ref="B257:B311" ca="1" si="4">IFERROR(_xludf.IFS(
  NOT(ISBLANK(INDIRECT("'Outside Review Form Responses'!C" &amp; ROW()))), INDIRECT("'Outside Review Form Responses'!C" &amp; ROW())
),"")</f>
        <v/>
      </c>
      <c r="C257" s="171" t="str">
        <f t="shared" ref="C257:C263" ca="1" si="5">IF(ISBLANK(INDIRECT("'Outside Review Form Responses'!C" &amp; ROW())), "", INDIRECT("'Outside Review Form Responses'!J" &amp; ROW()))</f>
        <v/>
      </c>
      <c r="G257" s="175"/>
      <c r="H257" s="175"/>
      <c r="I257" s="168"/>
      <c r="J257" s="168"/>
    </row>
    <row r="258" spans="1:10" ht="17">
      <c r="A258" s="168"/>
      <c r="B258" s="171" t="str">
        <f t="shared" ca="1" si="4"/>
        <v/>
      </c>
      <c r="C258" s="171" t="str">
        <f t="shared" ca="1" si="5"/>
        <v/>
      </c>
      <c r="G258" s="175"/>
      <c r="H258" s="175"/>
      <c r="I258" s="168"/>
      <c r="J258" s="168"/>
    </row>
    <row r="259" spans="1:10" ht="17">
      <c r="A259" s="168"/>
      <c r="B259" s="171" t="str">
        <f t="shared" ca="1" si="4"/>
        <v/>
      </c>
      <c r="C259" s="171" t="str">
        <f t="shared" ca="1" si="5"/>
        <v/>
      </c>
      <c r="G259" s="175"/>
      <c r="H259" s="175"/>
      <c r="I259" s="168"/>
      <c r="J259" s="168"/>
    </row>
    <row r="260" spans="1:10" ht="17">
      <c r="A260" s="168"/>
      <c r="B260" s="171" t="str">
        <f t="shared" ca="1" si="4"/>
        <v/>
      </c>
      <c r="C260" s="171" t="str">
        <f t="shared" ca="1" si="5"/>
        <v/>
      </c>
      <c r="G260" s="175"/>
      <c r="H260" s="175"/>
      <c r="I260" s="168"/>
      <c r="J260" s="168"/>
    </row>
    <row r="261" spans="1:10" ht="17">
      <c r="A261" s="168"/>
      <c r="B261" s="171" t="str">
        <f t="shared" ca="1" si="4"/>
        <v/>
      </c>
      <c r="C261" s="171" t="str">
        <f t="shared" ca="1" si="5"/>
        <v/>
      </c>
      <c r="G261" s="175"/>
      <c r="H261" s="175"/>
      <c r="I261" s="168"/>
      <c r="J261" s="168"/>
    </row>
    <row r="262" spans="1:10" ht="17">
      <c r="A262" s="168"/>
      <c r="B262" s="171" t="str">
        <f t="shared" ca="1" si="4"/>
        <v/>
      </c>
      <c r="C262" s="171" t="str">
        <f t="shared" ca="1" si="5"/>
        <v/>
      </c>
      <c r="G262" s="175"/>
      <c r="H262" s="175"/>
      <c r="I262" s="168"/>
      <c r="J262" s="168"/>
    </row>
    <row r="263" spans="1:10" ht="17">
      <c r="A263" s="168"/>
      <c r="B263" s="171" t="str">
        <f t="shared" ca="1" si="4"/>
        <v/>
      </c>
      <c r="C263" s="171" t="str">
        <f t="shared" ca="1" si="5"/>
        <v/>
      </c>
      <c r="G263" s="175"/>
      <c r="H263" s="175"/>
      <c r="I263" s="168"/>
      <c r="J263" s="168"/>
    </row>
    <row r="264" spans="1:10" ht="17">
      <c r="A264" s="168"/>
      <c r="B264" s="171" t="str">
        <f t="shared" ca="1" si="4"/>
        <v/>
      </c>
      <c r="C264" s="171">
        <f t="shared" ref="C264:C281" ca="1" si="6">INDIRECT("'Outside Review Form Responses'!J" &amp; ROW())</f>
        <v>0</v>
      </c>
      <c r="G264" s="175"/>
      <c r="H264" s="175"/>
      <c r="I264" s="168"/>
      <c r="J264" s="168"/>
    </row>
    <row r="265" spans="1:10" ht="17">
      <c r="A265" s="168"/>
      <c r="B265" s="171" t="str">
        <f t="shared" ca="1" si="4"/>
        <v/>
      </c>
      <c r="C265" s="171">
        <f t="shared" ca="1" si="6"/>
        <v>0</v>
      </c>
      <c r="G265" s="175"/>
      <c r="H265" s="175"/>
      <c r="I265" s="168"/>
      <c r="J265" s="168"/>
    </row>
    <row r="266" spans="1:10" ht="17">
      <c r="A266" s="168"/>
      <c r="B266" s="171" t="str">
        <f t="shared" ca="1" si="4"/>
        <v/>
      </c>
      <c r="C266" s="171">
        <f t="shared" ca="1" si="6"/>
        <v>0</v>
      </c>
      <c r="G266" s="175"/>
      <c r="H266" s="175"/>
      <c r="I266" s="168"/>
      <c r="J266" s="168"/>
    </row>
    <row r="267" spans="1:10" ht="17">
      <c r="A267" s="168"/>
      <c r="B267" s="171" t="str">
        <f t="shared" ca="1" si="4"/>
        <v/>
      </c>
      <c r="C267" s="171">
        <f t="shared" ca="1" si="6"/>
        <v>0</v>
      </c>
      <c r="G267" s="175"/>
      <c r="H267" s="175"/>
      <c r="I267" s="168"/>
      <c r="J267" s="168"/>
    </row>
    <row r="268" spans="1:10" ht="17">
      <c r="A268" s="168"/>
      <c r="B268" s="171" t="str">
        <f t="shared" ca="1" si="4"/>
        <v/>
      </c>
      <c r="C268" s="171">
        <f t="shared" ca="1" si="6"/>
        <v>0</v>
      </c>
      <c r="G268" s="175"/>
      <c r="H268" s="175"/>
      <c r="I268" s="168"/>
      <c r="J268" s="168"/>
    </row>
    <row r="269" spans="1:10" ht="17">
      <c r="A269" s="168"/>
      <c r="B269" s="171" t="str">
        <f t="shared" ca="1" si="4"/>
        <v/>
      </c>
      <c r="C269" s="171">
        <f t="shared" ca="1" si="6"/>
        <v>0</v>
      </c>
      <c r="G269" s="175"/>
      <c r="H269" s="175"/>
      <c r="I269" s="168"/>
      <c r="J269" s="168"/>
    </row>
    <row r="270" spans="1:10" ht="17">
      <c r="A270" s="168"/>
      <c r="B270" s="171" t="str">
        <f t="shared" ca="1" si="4"/>
        <v/>
      </c>
      <c r="C270" s="171">
        <f t="shared" ca="1" si="6"/>
        <v>0</v>
      </c>
      <c r="G270" s="175"/>
      <c r="H270" s="175"/>
      <c r="I270" s="168"/>
      <c r="J270" s="168"/>
    </row>
    <row r="271" spans="1:10" ht="17">
      <c r="A271" s="168"/>
      <c r="B271" s="171" t="str">
        <f t="shared" ca="1" si="4"/>
        <v/>
      </c>
      <c r="C271" s="171">
        <f t="shared" ca="1" si="6"/>
        <v>0</v>
      </c>
      <c r="G271" s="175"/>
      <c r="H271" s="175"/>
      <c r="I271" s="168"/>
      <c r="J271" s="168"/>
    </row>
    <row r="272" spans="1:10" ht="17">
      <c r="A272" s="168"/>
      <c r="B272" s="171" t="str">
        <f t="shared" ca="1" si="4"/>
        <v/>
      </c>
      <c r="C272" s="171">
        <f t="shared" ca="1" si="6"/>
        <v>0</v>
      </c>
      <c r="G272" s="175"/>
      <c r="H272" s="175"/>
      <c r="I272" s="168"/>
      <c r="J272" s="168"/>
    </row>
    <row r="273" spans="1:10" ht="17">
      <c r="A273" s="168"/>
      <c r="B273" s="171" t="str">
        <f t="shared" ca="1" si="4"/>
        <v/>
      </c>
      <c r="C273" s="171">
        <f t="shared" ca="1" si="6"/>
        <v>0</v>
      </c>
      <c r="G273" s="175"/>
      <c r="H273" s="175"/>
      <c r="I273" s="168"/>
      <c r="J273" s="168"/>
    </row>
    <row r="274" spans="1:10" ht="17">
      <c r="A274" s="168"/>
      <c r="B274" s="171" t="str">
        <f t="shared" ca="1" si="4"/>
        <v/>
      </c>
      <c r="C274" s="171">
        <f t="shared" ca="1" si="6"/>
        <v>0</v>
      </c>
      <c r="G274" s="175"/>
      <c r="H274" s="175"/>
      <c r="I274" s="168"/>
      <c r="J274" s="168"/>
    </row>
    <row r="275" spans="1:10" ht="17">
      <c r="A275" s="168"/>
      <c r="B275" s="171" t="str">
        <f t="shared" ca="1" si="4"/>
        <v/>
      </c>
      <c r="C275" s="171">
        <f t="shared" ca="1" si="6"/>
        <v>0</v>
      </c>
      <c r="G275" s="175"/>
      <c r="H275" s="175"/>
      <c r="I275" s="168"/>
      <c r="J275" s="168"/>
    </row>
    <row r="276" spans="1:10" ht="17">
      <c r="A276" s="168"/>
      <c r="B276" s="171" t="str">
        <f t="shared" ca="1" si="4"/>
        <v/>
      </c>
      <c r="C276" s="171">
        <f t="shared" ca="1" si="6"/>
        <v>0</v>
      </c>
      <c r="G276" s="175"/>
      <c r="H276" s="175"/>
      <c r="I276" s="168"/>
      <c r="J276" s="168"/>
    </row>
    <row r="277" spans="1:10" ht="17">
      <c r="A277" s="168"/>
      <c r="B277" s="171" t="str">
        <f t="shared" ca="1" si="4"/>
        <v/>
      </c>
      <c r="C277" s="171">
        <f t="shared" ca="1" si="6"/>
        <v>0</v>
      </c>
      <c r="G277" s="175"/>
      <c r="H277" s="175"/>
      <c r="I277" s="168"/>
      <c r="J277" s="168"/>
    </row>
    <row r="278" spans="1:10" ht="17">
      <c r="A278" s="168"/>
      <c r="B278" s="171" t="str">
        <f t="shared" ca="1" si="4"/>
        <v/>
      </c>
      <c r="C278" s="171">
        <f t="shared" ca="1" si="6"/>
        <v>0</v>
      </c>
      <c r="G278" s="175"/>
      <c r="H278" s="175"/>
      <c r="I278" s="168"/>
      <c r="J278" s="168"/>
    </row>
    <row r="279" spans="1:10" ht="17">
      <c r="A279" s="168"/>
      <c r="B279" s="171" t="str">
        <f t="shared" ca="1" si="4"/>
        <v/>
      </c>
      <c r="C279" s="171">
        <f t="shared" ca="1" si="6"/>
        <v>0</v>
      </c>
      <c r="G279" s="175"/>
      <c r="H279" s="175"/>
      <c r="I279" s="168"/>
      <c r="J279" s="168"/>
    </row>
    <row r="280" spans="1:10" ht="17">
      <c r="A280" s="168"/>
      <c r="B280" s="171" t="str">
        <f t="shared" ca="1" si="4"/>
        <v/>
      </c>
      <c r="C280" s="171">
        <f t="shared" ca="1" si="6"/>
        <v>0</v>
      </c>
      <c r="G280" s="175"/>
      <c r="H280" s="175"/>
      <c r="I280" s="168"/>
      <c r="J280" s="168"/>
    </row>
    <row r="281" spans="1:10" ht="17">
      <c r="A281" s="168"/>
      <c r="B281" s="171" t="str">
        <f t="shared" ca="1" si="4"/>
        <v/>
      </c>
      <c r="C281" s="171">
        <f t="shared" ca="1" si="6"/>
        <v>0</v>
      </c>
      <c r="G281" s="175"/>
      <c r="H281" s="175"/>
      <c r="I281" s="168"/>
      <c r="J281" s="168"/>
    </row>
    <row r="282" spans="1:10" ht="17">
      <c r="A282" s="168"/>
      <c r="B282" s="171" t="str">
        <f t="shared" ca="1" si="4"/>
        <v/>
      </c>
      <c r="C282" s="168"/>
      <c r="G282" s="175"/>
      <c r="H282" s="175"/>
      <c r="I282" s="168"/>
      <c r="J282" s="168"/>
    </row>
    <row r="283" spans="1:10" ht="17">
      <c r="A283" s="168"/>
      <c r="B283" s="171" t="str">
        <f t="shared" ca="1" si="4"/>
        <v/>
      </c>
      <c r="C283" s="168"/>
      <c r="G283" s="175"/>
      <c r="H283" s="175"/>
      <c r="I283" s="168"/>
      <c r="J283" s="168"/>
    </row>
    <row r="284" spans="1:10" ht="17">
      <c r="A284" s="168"/>
      <c r="B284" s="171" t="str">
        <f t="shared" ca="1" si="4"/>
        <v/>
      </c>
      <c r="C284" s="168"/>
      <c r="G284" s="175"/>
      <c r="H284" s="175"/>
      <c r="I284" s="168"/>
      <c r="J284" s="168"/>
    </row>
    <row r="285" spans="1:10" ht="17">
      <c r="A285" s="168"/>
      <c r="B285" s="171" t="str">
        <f t="shared" ca="1" si="4"/>
        <v/>
      </c>
      <c r="C285" s="168"/>
      <c r="G285" s="175"/>
      <c r="H285" s="175"/>
      <c r="I285" s="168"/>
      <c r="J285" s="168"/>
    </row>
    <row r="286" spans="1:10" ht="17">
      <c r="A286" s="168"/>
      <c r="B286" s="171" t="str">
        <f t="shared" ca="1" si="4"/>
        <v/>
      </c>
      <c r="C286" s="168"/>
      <c r="G286" s="175"/>
      <c r="H286" s="175"/>
      <c r="I286" s="168"/>
      <c r="J286" s="168"/>
    </row>
    <row r="287" spans="1:10" ht="17">
      <c r="A287" s="168"/>
      <c r="B287" s="171" t="str">
        <f t="shared" ca="1" si="4"/>
        <v/>
      </c>
      <c r="C287" s="168"/>
      <c r="G287" s="175"/>
      <c r="H287" s="175"/>
      <c r="I287" s="168"/>
      <c r="J287" s="168"/>
    </row>
    <row r="288" spans="1:10" ht="17">
      <c r="A288" s="168"/>
      <c r="B288" s="171" t="str">
        <f t="shared" ca="1" si="4"/>
        <v/>
      </c>
      <c r="C288" s="168"/>
      <c r="G288" s="175"/>
      <c r="H288" s="175"/>
      <c r="I288" s="168"/>
      <c r="J288" s="168"/>
    </row>
    <row r="289" spans="1:10" ht="17">
      <c r="A289" s="168"/>
      <c r="B289" s="171" t="str">
        <f t="shared" ca="1" si="4"/>
        <v/>
      </c>
      <c r="C289" s="168"/>
      <c r="G289" s="175"/>
      <c r="H289" s="175"/>
      <c r="I289" s="168"/>
      <c r="J289" s="168"/>
    </row>
    <row r="290" spans="1:10" ht="17">
      <c r="A290" s="168"/>
      <c r="B290" s="171" t="str">
        <f t="shared" ca="1" si="4"/>
        <v/>
      </c>
      <c r="C290" s="168"/>
      <c r="G290" s="175"/>
      <c r="H290" s="175"/>
      <c r="I290" s="168"/>
      <c r="J290" s="168"/>
    </row>
    <row r="291" spans="1:10" ht="17">
      <c r="A291" s="168"/>
      <c r="B291" s="171" t="str">
        <f t="shared" ca="1" si="4"/>
        <v/>
      </c>
      <c r="C291" s="168"/>
      <c r="G291" s="175"/>
      <c r="H291" s="175"/>
      <c r="I291" s="168"/>
      <c r="J291" s="168"/>
    </row>
    <row r="292" spans="1:10" ht="17">
      <c r="A292" s="168"/>
      <c r="B292" s="171" t="str">
        <f t="shared" ca="1" si="4"/>
        <v/>
      </c>
      <c r="C292" s="168"/>
      <c r="G292" s="175"/>
      <c r="H292" s="175"/>
      <c r="I292" s="168"/>
      <c r="J292" s="168"/>
    </row>
    <row r="293" spans="1:10" ht="17">
      <c r="A293" s="168"/>
      <c r="B293" s="171" t="str">
        <f t="shared" ca="1" si="4"/>
        <v/>
      </c>
      <c r="C293" s="168"/>
      <c r="G293" s="175"/>
      <c r="H293" s="175"/>
      <c r="I293" s="168"/>
      <c r="J293" s="168"/>
    </row>
    <row r="294" spans="1:10" ht="17">
      <c r="A294" s="168"/>
      <c r="B294" s="171" t="str">
        <f t="shared" ca="1" si="4"/>
        <v/>
      </c>
      <c r="C294" s="168"/>
      <c r="G294" s="175"/>
      <c r="H294" s="175"/>
      <c r="I294" s="168"/>
      <c r="J294" s="168"/>
    </row>
    <row r="295" spans="1:10" ht="17">
      <c r="A295" s="168"/>
      <c r="B295" s="171" t="str">
        <f t="shared" ca="1" si="4"/>
        <v/>
      </c>
      <c r="C295" s="168"/>
      <c r="G295" s="175"/>
      <c r="H295" s="175"/>
      <c r="I295" s="168"/>
      <c r="J295" s="168"/>
    </row>
    <row r="296" spans="1:10" ht="17">
      <c r="A296" s="168"/>
      <c r="B296" s="171" t="str">
        <f t="shared" ca="1" si="4"/>
        <v/>
      </c>
      <c r="C296" s="168"/>
      <c r="G296" s="175"/>
      <c r="H296" s="175"/>
      <c r="I296" s="168"/>
      <c r="J296" s="168"/>
    </row>
    <row r="297" spans="1:10" ht="17">
      <c r="A297" s="168"/>
      <c r="B297" s="171" t="str">
        <f t="shared" ca="1" si="4"/>
        <v/>
      </c>
      <c r="C297" s="168"/>
      <c r="G297" s="175"/>
      <c r="H297" s="175"/>
      <c r="I297" s="168"/>
      <c r="J297" s="168"/>
    </row>
    <row r="298" spans="1:10" ht="17">
      <c r="A298" s="168"/>
      <c r="B298" s="171" t="str">
        <f t="shared" ca="1" si="4"/>
        <v/>
      </c>
      <c r="C298" s="168"/>
      <c r="G298" s="175"/>
      <c r="H298" s="175"/>
      <c r="I298" s="168"/>
      <c r="J298" s="168"/>
    </row>
    <row r="299" spans="1:10" ht="17">
      <c r="A299" s="168"/>
      <c r="B299" s="171" t="str">
        <f t="shared" ca="1" si="4"/>
        <v/>
      </c>
      <c r="C299" s="168"/>
      <c r="G299" s="175"/>
      <c r="H299" s="175"/>
      <c r="I299" s="168"/>
      <c r="J299" s="168"/>
    </row>
    <row r="300" spans="1:10" ht="17">
      <c r="A300" s="168"/>
      <c r="B300" s="171" t="str">
        <f t="shared" ca="1" si="4"/>
        <v/>
      </c>
      <c r="C300" s="168"/>
      <c r="G300" s="175"/>
      <c r="H300" s="175"/>
      <c r="I300" s="168"/>
      <c r="J300" s="168"/>
    </row>
    <row r="301" spans="1:10" ht="17">
      <c r="A301" s="168"/>
      <c r="B301" s="171" t="str">
        <f t="shared" ca="1" si="4"/>
        <v/>
      </c>
      <c r="C301" s="168"/>
      <c r="G301" s="175"/>
      <c r="H301" s="175"/>
      <c r="I301" s="168"/>
      <c r="J301" s="168"/>
    </row>
    <row r="302" spans="1:10" ht="17">
      <c r="A302" s="168"/>
      <c r="B302" s="171" t="str">
        <f t="shared" ca="1" si="4"/>
        <v/>
      </c>
      <c r="C302" s="168"/>
      <c r="G302" s="175"/>
      <c r="H302" s="175"/>
      <c r="I302" s="168"/>
      <c r="J302" s="168"/>
    </row>
    <row r="303" spans="1:10" ht="17">
      <c r="A303" s="168"/>
      <c r="B303" s="171" t="str">
        <f t="shared" ca="1" si="4"/>
        <v/>
      </c>
      <c r="C303" s="168"/>
      <c r="G303" s="175"/>
      <c r="H303" s="175"/>
      <c r="I303" s="168"/>
      <c r="J303" s="168"/>
    </row>
    <row r="304" spans="1:10" ht="17">
      <c r="A304" s="168"/>
      <c r="B304" s="171" t="str">
        <f t="shared" ca="1" si="4"/>
        <v/>
      </c>
      <c r="C304" s="168"/>
      <c r="G304" s="175"/>
      <c r="H304" s="175"/>
      <c r="I304" s="168"/>
      <c r="J304" s="168"/>
    </row>
    <row r="305" spans="1:10" ht="17">
      <c r="A305" s="168"/>
      <c r="B305" s="171" t="str">
        <f t="shared" ca="1" si="4"/>
        <v/>
      </c>
      <c r="C305" s="168"/>
      <c r="G305" s="175"/>
      <c r="H305" s="175"/>
      <c r="I305" s="168"/>
      <c r="J305" s="168"/>
    </row>
    <row r="306" spans="1:10" ht="17">
      <c r="A306" s="168"/>
      <c r="B306" s="171" t="str">
        <f t="shared" ca="1" si="4"/>
        <v/>
      </c>
      <c r="C306" s="168"/>
      <c r="G306" s="175"/>
      <c r="H306" s="175"/>
      <c r="I306" s="168"/>
      <c r="J306" s="168"/>
    </row>
    <row r="307" spans="1:10" ht="17">
      <c r="A307" s="168"/>
      <c r="B307" s="171" t="str">
        <f t="shared" ca="1" si="4"/>
        <v/>
      </c>
      <c r="C307" s="168"/>
      <c r="G307" s="175"/>
      <c r="H307" s="175"/>
      <c r="I307" s="168"/>
      <c r="J307" s="168"/>
    </row>
    <row r="308" spans="1:10" ht="17">
      <c r="A308" s="168"/>
      <c r="B308" s="171" t="str">
        <f t="shared" ca="1" si="4"/>
        <v/>
      </c>
      <c r="C308" s="168"/>
      <c r="G308" s="175"/>
      <c r="H308" s="175"/>
      <c r="I308" s="168"/>
      <c r="J308" s="168"/>
    </row>
    <row r="309" spans="1:10" ht="17">
      <c r="A309" s="168"/>
      <c r="B309" s="171" t="str">
        <f t="shared" ca="1" si="4"/>
        <v/>
      </c>
      <c r="C309" s="168"/>
      <c r="G309" s="175"/>
      <c r="H309" s="175"/>
      <c r="I309" s="168"/>
      <c r="J309" s="168"/>
    </row>
    <row r="310" spans="1:10" ht="17">
      <c r="A310" s="168"/>
      <c r="B310" s="171" t="str">
        <f t="shared" ca="1" si="4"/>
        <v/>
      </c>
      <c r="C310" s="168"/>
      <c r="G310" s="175"/>
      <c r="H310" s="175"/>
      <c r="I310" s="168"/>
      <c r="J310" s="168"/>
    </row>
    <row r="311" spans="1:10" ht="17">
      <c r="A311" s="168"/>
      <c r="B311" s="171" t="str">
        <f t="shared" ca="1" si="4"/>
        <v/>
      </c>
      <c r="C311" s="168"/>
      <c r="G311" s="175"/>
      <c r="H311" s="175"/>
      <c r="I311" s="168"/>
      <c r="J311" s="168"/>
    </row>
    <row r="312" spans="1:10" ht="17">
      <c r="A312" s="168"/>
      <c r="B312" s="168"/>
      <c r="C312" s="168"/>
      <c r="G312" s="175"/>
      <c r="H312" s="175"/>
      <c r="I312" s="168"/>
      <c r="J312" s="168"/>
    </row>
    <row r="313" spans="1:10" ht="17">
      <c r="A313" s="168"/>
      <c r="B313" s="168"/>
      <c r="C313" s="168"/>
      <c r="G313" s="175"/>
      <c r="H313" s="175"/>
      <c r="I313" s="168"/>
      <c r="J313" s="168"/>
    </row>
    <row r="314" spans="1:10" ht="17">
      <c r="A314" s="168"/>
      <c r="B314" s="168"/>
      <c r="C314" s="168"/>
      <c r="G314" s="175"/>
      <c r="H314" s="175"/>
      <c r="I314" s="168"/>
      <c r="J314" s="168"/>
    </row>
    <row r="315" spans="1:10" ht="17">
      <c r="A315" s="168"/>
      <c r="B315" s="168"/>
      <c r="C315" s="168"/>
      <c r="G315" s="175"/>
      <c r="H315" s="175"/>
      <c r="I315" s="168"/>
      <c r="J315" s="168"/>
    </row>
    <row r="316" spans="1:10" ht="17">
      <c r="A316" s="168"/>
      <c r="B316" s="168"/>
      <c r="C316" s="168"/>
      <c r="G316" s="175"/>
      <c r="H316" s="175"/>
      <c r="I316" s="168"/>
      <c r="J316" s="168"/>
    </row>
    <row r="317" spans="1:10" ht="17">
      <c r="A317" s="168"/>
      <c r="B317" s="168"/>
      <c r="C317" s="168"/>
      <c r="G317" s="175"/>
      <c r="H317" s="175"/>
      <c r="I317" s="168"/>
      <c r="J317" s="168"/>
    </row>
    <row r="318" spans="1:10" ht="17">
      <c r="A318" s="168"/>
      <c r="B318" s="168"/>
      <c r="C318" s="168"/>
      <c r="G318" s="175"/>
      <c r="H318" s="175"/>
      <c r="I318" s="168"/>
      <c r="J318" s="168"/>
    </row>
    <row r="319" spans="1:10" ht="17">
      <c r="A319" s="168"/>
      <c r="B319" s="168"/>
      <c r="C319" s="168"/>
      <c r="G319" s="175"/>
      <c r="H319" s="175"/>
      <c r="I319" s="168"/>
      <c r="J319" s="168"/>
    </row>
    <row r="320" spans="1:10" ht="17">
      <c r="A320" s="168"/>
      <c r="B320" s="168"/>
      <c r="C320" s="168"/>
      <c r="G320" s="175"/>
      <c r="H320" s="175"/>
      <c r="I320" s="168"/>
      <c r="J320" s="168"/>
    </row>
    <row r="321" spans="1:10" ht="17">
      <c r="A321" s="168"/>
      <c r="B321" s="168"/>
      <c r="C321" s="168"/>
      <c r="G321" s="175"/>
      <c r="H321" s="175"/>
      <c r="I321" s="168"/>
      <c r="J321" s="168"/>
    </row>
    <row r="322" spans="1:10" ht="17">
      <c r="A322" s="168"/>
      <c r="B322" s="168"/>
      <c r="C322" s="168"/>
      <c r="G322" s="175"/>
      <c r="H322" s="175"/>
      <c r="I322" s="168"/>
      <c r="J322" s="168"/>
    </row>
    <row r="323" spans="1:10" ht="17">
      <c r="A323" s="168"/>
      <c r="B323" s="168"/>
      <c r="C323" s="168"/>
      <c r="G323" s="175"/>
      <c r="H323" s="175"/>
      <c r="I323" s="168"/>
      <c r="J323" s="168"/>
    </row>
    <row r="324" spans="1:10" ht="17">
      <c r="A324" s="168"/>
      <c r="B324" s="168"/>
      <c r="C324" s="168"/>
      <c r="G324" s="175"/>
      <c r="H324" s="175"/>
      <c r="I324" s="168"/>
      <c r="J324" s="168"/>
    </row>
    <row r="325" spans="1:10" ht="17">
      <c r="A325" s="168"/>
      <c r="B325" s="168"/>
      <c r="C325" s="168"/>
      <c r="G325" s="175"/>
      <c r="H325" s="175"/>
      <c r="I325" s="168"/>
      <c r="J325" s="168"/>
    </row>
    <row r="326" spans="1:10" ht="17">
      <c r="A326" s="168"/>
      <c r="B326" s="168"/>
      <c r="C326" s="168"/>
      <c r="G326" s="175"/>
      <c r="H326" s="175"/>
      <c r="I326" s="168"/>
      <c r="J326" s="168"/>
    </row>
    <row r="327" spans="1:10" ht="17">
      <c r="A327" s="168"/>
      <c r="B327" s="168"/>
      <c r="C327" s="168"/>
      <c r="G327" s="175"/>
      <c r="H327" s="175"/>
      <c r="I327" s="168"/>
      <c r="J327" s="168"/>
    </row>
    <row r="328" spans="1:10" ht="17">
      <c r="A328" s="168"/>
      <c r="B328" s="168"/>
      <c r="C328" s="168"/>
      <c r="G328" s="175"/>
      <c r="H328" s="175"/>
      <c r="I328" s="168"/>
      <c r="J328" s="168"/>
    </row>
    <row r="329" spans="1:10" ht="17">
      <c r="A329" s="168"/>
      <c r="B329" s="168"/>
      <c r="C329" s="168"/>
      <c r="G329" s="175"/>
      <c r="H329" s="175"/>
      <c r="I329" s="168"/>
      <c r="J329" s="168"/>
    </row>
    <row r="330" spans="1:10" ht="17">
      <c r="A330" s="168"/>
      <c r="B330" s="168"/>
      <c r="C330" s="168"/>
      <c r="G330" s="175"/>
      <c r="H330" s="175"/>
      <c r="I330" s="168"/>
      <c r="J330" s="168"/>
    </row>
    <row r="331" spans="1:10" ht="17">
      <c r="A331" s="168"/>
      <c r="B331" s="168"/>
      <c r="C331" s="168"/>
      <c r="G331" s="175"/>
      <c r="H331" s="175"/>
      <c r="I331" s="168"/>
      <c r="J331" s="168"/>
    </row>
    <row r="332" spans="1:10" ht="17">
      <c r="A332" s="168"/>
      <c r="B332" s="168"/>
      <c r="C332" s="168"/>
      <c r="G332" s="175"/>
      <c r="H332" s="175"/>
      <c r="I332" s="168"/>
      <c r="J332" s="168"/>
    </row>
    <row r="333" spans="1:10" ht="17">
      <c r="A333" s="168"/>
      <c r="B333" s="168"/>
      <c r="C333" s="168"/>
      <c r="G333" s="175"/>
      <c r="H333" s="175"/>
      <c r="I333" s="168"/>
      <c r="J333" s="168"/>
    </row>
    <row r="334" spans="1:10" ht="17">
      <c r="A334" s="168"/>
      <c r="B334" s="168"/>
      <c r="C334" s="168"/>
      <c r="G334" s="175"/>
      <c r="H334" s="175"/>
      <c r="I334" s="168"/>
      <c r="J334" s="168"/>
    </row>
    <row r="335" spans="1:10" ht="17">
      <c r="A335" s="168"/>
      <c r="B335" s="168"/>
      <c r="C335" s="168"/>
      <c r="G335" s="175"/>
      <c r="H335" s="175"/>
      <c r="I335" s="168"/>
      <c r="J335" s="168"/>
    </row>
    <row r="336" spans="1:10" ht="17">
      <c r="A336" s="168"/>
      <c r="B336" s="168"/>
      <c r="C336" s="168"/>
      <c r="G336" s="175"/>
      <c r="H336" s="175"/>
      <c r="I336" s="168"/>
      <c r="J336" s="168"/>
    </row>
    <row r="337" spans="1:10" ht="17">
      <c r="A337" s="168"/>
      <c r="B337" s="168"/>
      <c r="C337" s="168"/>
      <c r="G337" s="175"/>
      <c r="H337" s="175"/>
      <c r="I337" s="168"/>
      <c r="J337" s="168"/>
    </row>
    <row r="338" spans="1:10" ht="17">
      <c r="A338" s="168"/>
      <c r="B338" s="168"/>
      <c r="C338" s="168"/>
      <c r="G338" s="175"/>
      <c r="H338" s="175"/>
      <c r="I338" s="168"/>
      <c r="J338" s="168"/>
    </row>
    <row r="339" spans="1:10" ht="17">
      <c r="A339" s="168"/>
      <c r="B339" s="168"/>
      <c r="C339" s="168"/>
      <c r="G339" s="175"/>
      <c r="H339" s="175"/>
      <c r="I339" s="168"/>
      <c r="J339" s="168"/>
    </row>
    <row r="340" spans="1:10" ht="17">
      <c r="A340" s="168"/>
      <c r="B340" s="168"/>
      <c r="C340" s="168"/>
      <c r="G340" s="175"/>
      <c r="H340" s="175"/>
      <c r="I340" s="168"/>
      <c r="J340" s="168"/>
    </row>
    <row r="341" spans="1:10" ht="17">
      <c r="A341" s="168"/>
      <c r="B341" s="168"/>
      <c r="C341" s="168"/>
      <c r="G341" s="175"/>
      <c r="H341" s="175"/>
      <c r="I341" s="168"/>
      <c r="J341" s="168"/>
    </row>
    <row r="342" spans="1:10" ht="17">
      <c r="A342" s="168"/>
      <c r="B342" s="168"/>
      <c r="C342" s="168"/>
      <c r="G342" s="175"/>
      <c r="H342" s="175"/>
      <c r="I342" s="168"/>
      <c r="J342" s="168"/>
    </row>
    <row r="343" spans="1:10" ht="17">
      <c r="A343" s="168"/>
      <c r="B343" s="168"/>
      <c r="C343" s="168"/>
      <c r="G343" s="175"/>
      <c r="H343" s="175"/>
      <c r="I343" s="168"/>
      <c r="J343" s="168"/>
    </row>
    <row r="344" spans="1:10" ht="17">
      <c r="A344" s="168"/>
      <c r="B344" s="168"/>
      <c r="C344" s="168"/>
      <c r="G344" s="175"/>
      <c r="H344" s="175"/>
      <c r="I344" s="168"/>
      <c r="J344" s="168"/>
    </row>
    <row r="345" spans="1:10" ht="17">
      <c r="A345" s="168"/>
      <c r="B345" s="168"/>
      <c r="C345" s="168"/>
      <c r="G345" s="175"/>
      <c r="H345" s="175"/>
      <c r="I345" s="168"/>
      <c r="J345" s="168"/>
    </row>
    <row r="346" spans="1:10" ht="17">
      <c r="A346" s="168"/>
      <c r="B346" s="168"/>
      <c r="C346" s="168"/>
      <c r="G346" s="175"/>
      <c r="H346" s="175"/>
      <c r="I346" s="168"/>
      <c r="J346" s="168"/>
    </row>
    <row r="347" spans="1:10" ht="17">
      <c r="A347" s="168"/>
      <c r="B347" s="168"/>
      <c r="C347" s="168"/>
      <c r="G347" s="175"/>
      <c r="H347" s="175"/>
      <c r="I347" s="168"/>
      <c r="J347" s="168"/>
    </row>
    <row r="348" spans="1:10" ht="17">
      <c r="A348" s="168"/>
      <c r="B348" s="168"/>
      <c r="C348" s="168"/>
      <c r="G348" s="175"/>
      <c r="H348" s="175"/>
      <c r="I348" s="168"/>
      <c r="J348" s="168"/>
    </row>
    <row r="349" spans="1:10" ht="17">
      <c r="A349" s="168"/>
      <c r="B349" s="168"/>
      <c r="C349" s="168"/>
      <c r="G349" s="175"/>
      <c r="H349" s="175"/>
      <c r="I349" s="168"/>
      <c r="J349" s="168"/>
    </row>
    <row r="350" spans="1:10" ht="17">
      <c r="A350" s="168"/>
      <c r="B350" s="168"/>
      <c r="C350" s="168"/>
      <c r="G350" s="175"/>
      <c r="H350" s="175"/>
      <c r="I350" s="168"/>
      <c r="J350" s="168"/>
    </row>
    <row r="351" spans="1:10" ht="17">
      <c r="A351" s="168"/>
      <c r="B351" s="168"/>
      <c r="C351" s="168"/>
      <c r="G351" s="175"/>
      <c r="H351" s="175"/>
      <c r="I351" s="168"/>
      <c r="J351" s="168"/>
    </row>
    <row r="352" spans="1:10" ht="17">
      <c r="A352" s="168"/>
      <c r="B352" s="168"/>
      <c r="C352" s="168"/>
      <c r="G352" s="175"/>
      <c r="H352" s="175"/>
      <c r="I352" s="168"/>
      <c r="J352" s="168"/>
    </row>
    <row r="353" spans="1:10" ht="17">
      <c r="A353" s="168"/>
      <c r="B353" s="168"/>
      <c r="C353" s="168"/>
      <c r="G353" s="175"/>
      <c r="H353" s="175"/>
      <c r="I353" s="168"/>
      <c r="J353" s="168"/>
    </row>
    <row r="354" spans="1:10" ht="17">
      <c r="A354" s="168"/>
      <c r="B354" s="168"/>
      <c r="C354" s="168"/>
      <c r="G354" s="175"/>
      <c r="H354" s="175"/>
      <c r="I354" s="168"/>
      <c r="J354" s="168"/>
    </row>
    <row r="355" spans="1:10" ht="17">
      <c r="A355" s="168"/>
      <c r="B355" s="168"/>
      <c r="C355" s="168"/>
      <c r="G355" s="175"/>
      <c r="H355" s="175"/>
      <c r="I355" s="168"/>
      <c r="J355" s="168"/>
    </row>
    <row r="356" spans="1:10" ht="17">
      <c r="A356" s="168"/>
      <c r="B356" s="168"/>
      <c r="C356" s="168"/>
      <c r="G356" s="175"/>
      <c r="H356" s="175"/>
      <c r="I356" s="168"/>
      <c r="J356" s="168"/>
    </row>
    <row r="357" spans="1:10" ht="17">
      <c r="A357" s="168"/>
      <c r="B357" s="168"/>
      <c r="C357" s="168"/>
      <c r="G357" s="175"/>
      <c r="H357" s="175"/>
      <c r="I357" s="168"/>
      <c r="J357" s="168"/>
    </row>
    <row r="358" spans="1:10" ht="17">
      <c r="A358" s="168"/>
      <c r="B358" s="168"/>
      <c r="C358" s="168"/>
      <c r="G358" s="175"/>
      <c r="H358" s="175"/>
      <c r="I358" s="168"/>
      <c r="J358" s="168"/>
    </row>
    <row r="359" spans="1:10" ht="17">
      <c r="A359" s="168"/>
      <c r="B359" s="168"/>
      <c r="C359" s="168"/>
      <c r="G359" s="175"/>
      <c r="H359" s="175"/>
      <c r="I359" s="168"/>
      <c r="J359" s="168"/>
    </row>
    <row r="360" spans="1:10" ht="17">
      <c r="A360" s="168"/>
      <c r="B360" s="168"/>
      <c r="C360" s="168"/>
      <c r="G360" s="175"/>
      <c r="H360" s="175"/>
      <c r="I360" s="168"/>
      <c r="J360" s="168"/>
    </row>
    <row r="361" spans="1:10" ht="17">
      <c r="A361" s="168"/>
      <c r="B361" s="168"/>
      <c r="C361" s="168"/>
      <c r="G361" s="175"/>
      <c r="H361" s="175"/>
      <c r="I361" s="168"/>
      <c r="J361" s="168"/>
    </row>
    <row r="362" spans="1:10" ht="17">
      <c r="A362" s="168"/>
      <c r="B362" s="168"/>
      <c r="C362" s="168"/>
      <c r="G362" s="175"/>
      <c r="H362" s="175"/>
      <c r="I362" s="168"/>
      <c r="J362" s="168"/>
    </row>
    <row r="363" spans="1:10" ht="17">
      <c r="A363" s="168"/>
      <c r="B363" s="168"/>
      <c r="C363" s="168"/>
      <c r="G363" s="175"/>
      <c r="H363" s="175"/>
      <c r="I363" s="168"/>
      <c r="J363" s="168"/>
    </row>
    <row r="364" spans="1:10" ht="17">
      <c r="A364" s="168"/>
      <c r="B364" s="168"/>
      <c r="C364" s="168"/>
      <c r="G364" s="175"/>
      <c r="H364" s="175"/>
      <c r="I364" s="168"/>
      <c r="J364" s="168"/>
    </row>
    <row r="365" spans="1:10" ht="17">
      <c r="A365" s="168"/>
      <c r="B365" s="168"/>
      <c r="C365" s="168"/>
      <c r="G365" s="175"/>
      <c r="H365" s="175"/>
      <c r="I365" s="168"/>
      <c r="J365" s="168"/>
    </row>
    <row r="366" spans="1:10" ht="17">
      <c r="A366" s="168"/>
      <c r="B366" s="168"/>
      <c r="C366" s="168"/>
      <c r="G366" s="175"/>
      <c r="H366" s="175"/>
      <c r="I366" s="168"/>
      <c r="J366" s="168"/>
    </row>
    <row r="367" spans="1:10" ht="17">
      <c r="A367" s="168"/>
      <c r="B367" s="168"/>
      <c r="C367" s="168"/>
      <c r="G367" s="175"/>
      <c r="H367" s="175"/>
      <c r="I367" s="168"/>
      <c r="J367" s="168"/>
    </row>
    <row r="368" spans="1:10" ht="17">
      <c r="A368" s="168"/>
      <c r="B368" s="168"/>
      <c r="C368" s="168"/>
      <c r="G368" s="175"/>
      <c r="H368" s="175"/>
      <c r="I368" s="168"/>
      <c r="J368" s="168"/>
    </row>
    <row r="369" spans="1:10" ht="17">
      <c r="A369" s="168"/>
      <c r="B369" s="168"/>
      <c r="C369" s="168"/>
      <c r="G369" s="175"/>
      <c r="H369" s="175"/>
      <c r="I369" s="168"/>
      <c r="J369" s="168"/>
    </row>
    <row r="370" spans="1:10" ht="17">
      <c r="A370" s="168"/>
      <c r="B370" s="168"/>
      <c r="C370" s="168"/>
      <c r="G370" s="175"/>
      <c r="H370" s="175"/>
      <c r="I370" s="168"/>
      <c r="J370" s="168"/>
    </row>
    <row r="371" spans="1:10" ht="17">
      <c r="A371" s="168"/>
      <c r="B371" s="168"/>
      <c r="C371" s="168"/>
      <c r="G371" s="175"/>
      <c r="H371" s="175"/>
      <c r="I371" s="168"/>
      <c r="J371" s="168"/>
    </row>
    <row r="372" spans="1:10" ht="17">
      <c r="A372" s="168"/>
      <c r="B372" s="168"/>
      <c r="C372" s="168"/>
      <c r="G372" s="175"/>
      <c r="H372" s="175"/>
      <c r="I372" s="168"/>
      <c r="J372" s="168"/>
    </row>
    <row r="373" spans="1:10" ht="17">
      <c r="A373" s="168"/>
      <c r="B373" s="168"/>
      <c r="C373" s="168"/>
      <c r="G373" s="175"/>
      <c r="H373" s="175"/>
      <c r="I373" s="168"/>
      <c r="J373" s="168"/>
    </row>
    <row r="374" spans="1:10" ht="17">
      <c r="A374" s="168"/>
      <c r="B374" s="168"/>
      <c r="C374" s="168"/>
      <c r="G374" s="175"/>
      <c r="H374" s="175"/>
      <c r="I374" s="168"/>
      <c r="J374" s="168"/>
    </row>
    <row r="375" spans="1:10" ht="17">
      <c r="A375" s="168"/>
      <c r="B375" s="168"/>
      <c r="C375" s="168"/>
      <c r="G375" s="175"/>
      <c r="H375" s="175"/>
      <c r="I375" s="168"/>
      <c r="J375" s="168"/>
    </row>
    <row r="376" spans="1:10" ht="17">
      <c r="A376" s="168"/>
      <c r="B376" s="168"/>
      <c r="C376" s="168"/>
      <c r="G376" s="175"/>
      <c r="H376" s="175"/>
      <c r="I376" s="168"/>
      <c r="J376" s="168"/>
    </row>
    <row r="377" spans="1:10" ht="17">
      <c r="A377" s="168"/>
      <c r="B377" s="168"/>
      <c r="C377" s="168"/>
      <c r="G377" s="175"/>
      <c r="H377" s="175"/>
      <c r="I377" s="168"/>
      <c r="J377" s="168"/>
    </row>
    <row r="378" spans="1:10" ht="17">
      <c r="A378" s="168"/>
      <c r="B378" s="168"/>
      <c r="C378" s="168"/>
      <c r="G378" s="175"/>
      <c r="H378" s="175"/>
      <c r="I378" s="168"/>
      <c r="J378" s="168"/>
    </row>
    <row r="379" spans="1:10" ht="17">
      <c r="A379" s="168"/>
      <c r="B379" s="168"/>
      <c r="C379" s="168"/>
      <c r="G379" s="175"/>
      <c r="H379" s="175"/>
      <c r="I379" s="168"/>
      <c r="J379" s="168"/>
    </row>
    <row r="380" spans="1:10" ht="17">
      <c r="A380" s="168"/>
      <c r="B380" s="168"/>
      <c r="C380" s="168"/>
      <c r="G380" s="175"/>
      <c r="H380" s="175"/>
      <c r="I380" s="168"/>
      <c r="J380" s="168"/>
    </row>
    <row r="381" spans="1:10" ht="17">
      <c r="A381" s="168"/>
      <c r="B381" s="168"/>
      <c r="C381" s="168"/>
      <c r="G381" s="175"/>
      <c r="H381" s="175"/>
      <c r="I381" s="168"/>
      <c r="J381" s="168"/>
    </row>
    <row r="382" spans="1:10" ht="17">
      <c r="A382" s="168"/>
      <c r="B382" s="168"/>
      <c r="C382" s="168"/>
      <c r="G382" s="175"/>
      <c r="H382" s="175"/>
      <c r="I382" s="168"/>
      <c r="J382" s="168"/>
    </row>
    <row r="383" spans="1:10" ht="17">
      <c r="A383" s="168"/>
      <c r="B383" s="168"/>
      <c r="C383" s="168"/>
      <c r="G383" s="175"/>
      <c r="H383" s="175"/>
      <c r="I383" s="168"/>
      <c r="J383" s="168"/>
    </row>
    <row r="384" spans="1:10" ht="17">
      <c r="A384" s="168"/>
      <c r="B384" s="168"/>
      <c r="C384" s="168"/>
      <c r="G384" s="175"/>
      <c r="H384" s="175"/>
      <c r="I384" s="168"/>
      <c r="J384" s="168"/>
    </row>
    <row r="385" spans="1:10" ht="17">
      <c r="A385" s="168"/>
      <c r="B385" s="168"/>
      <c r="C385" s="168"/>
      <c r="G385" s="175"/>
      <c r="H385" s="175"/>
      <c r="I385" s="168"/>
      <c r="J385" s="168"/>
    </row>
    <row r="386" spans="1:10" ht="17">
      <c r="A386" s="168"/>
      <c r="B386" s="168"/>
      <c r="C386" s="168"/>
      <c r="G386" s="175"/>
      <c r="H386" s="175"/>
      <c r="I386" s="168"/>
      <c r="J386" s="168"/>
    </row>
    <row r="387" spans="1:10" ht="17">
      <c r="A387" s="168"/>
      <c r="B387" s="168"/>
      <c r="C387" s="168"/>
      <c r="G387" s="175"/>
      <c r="H387" s="175"/>
      <c r="I387" s="168"/>
      <c r="J387" s="168"/>
    </row>
    <row r="388" spans="1:10" ht="17">
      <c r="A388" s="168"/>
      <c r="B388" s="168"/>
      <c r="C388" s="168"/>
      <c r="G388" s="175"/>
      <c r="H388" s="175"/>
      <c r="I388" s="168"/>
      <c r="J388" s="168"/>
    </row>
    <row r="389" spans="1:10" ht="17">
      <c r="A389" s="168"/>
      <c r="B389" s="168"/>
      <c r="C389" s="168"/>
      <c r="G389" s="175"/>
      <c r="H389" s="175"/>
      <c r="I389" s="168"/>
      <c r="J389" s="168"/>
    </row>
    <row r="390" spans="1:10" ht="17">
      <c r="A390" s="168"/>
      <c r="B390" s="168"/>
      <c r="C390" s="168"/>
      <c r="G390" s="175"/>
      <c r="H390" s="175"/>
      <c r="I390" s="168"/>
      <c r="J390" s="168"/>
    </row>
    <row r="391" spans="1:10" ht="17">
      <c r="A391" s="168"/>
      <c r="B391" s="168"/>
      <c r="C391" s="168"/>
      <c r="G391" s="175"/>
      <c r="H391" s="175"/>
      <c r="I391" s="168"/>
      <c r="J391" s="168"/>
    </row>
    <row r="392" spans="1:10" ht="17">
      <c r="A392" s="168"/>
      <c r="B392" s="168"/>
      <c r="C392" s="168"/>
      <c r="G392" s="175"/>
      <c r="H392" s="175"/>
      <c r="I392" s="168"/>
      <c r="J392" s="168"/>
    </row>
    <row r="393" spans="1:10" ht="17">
      <c r="A393" s="168"/>
      <c r="B393" s="168"/>
      <c r="C393" s="168"/>
      <c r="G393" s="175"/>
      <c r="H393" s="175"/>
      <c r="I393" s="168"/>
      <c r="J393" s="168"/>
    </row>
    <row r="394" spans="1:10" ht="17">
      <c r="A394" s="168"/>
      <c r="B394" s="168"/>
      <c r="C394" s="168"/>
      <c r="G394" s="175"/>
      <c r="H394" s="175"/>
      <c r="I394" s="168"/>
      <c r="J394" s="168"/>
    </row>
    <row r="395" spans="1:10" ht="17">
      <c r="A395" s="168"/>
      <c r="B395" s="168"/>
      <c r="C395" s="168"/>
      <c r="G395" s="175"/>
      <c r="H395" s="175"/>
      <c r="I395" s="168"/>
      <c r="J395" s="168"/>
    </row>
    <row r="396" spans="1:10" ht="17">
      <c r="A396" s="168"/>
      <c r="B396" s="168"/>
      <c r="C396" s="168"/>
      <c r="G396" s="175"/>
      <c r="H396" s="175"/>
      <c r="I396" s="168"/>
      <c r="J396" s="168"/>
    </row>
    <row r="397" spans="1:10" ht="17">
      <c r="A397" s="168"/>
      <c r="B397" s="168"/>
      <c r="C397" s="168"/>
      <c r="G397" s="175"/>
      <c r="H397" s="175"/>
      <c r="I397" s="168"/>
      <c r="J397" s="168"/>
    </row>
    <row r="398" spans="1:10" ht="17">
      <c r="A398" s="168"/>
      <c r="B398" s="168"/>
      <c r="C398" s="168"/>
      <c r="G398" s="175"/>
      <c r="H398" s="175"/>
      <c r="I398" s="168"/>
      <c r="J398" s="168"/>
    </row>
    <row r="399" spans="1:10" ht="17">
      <c r="A399" s="168"/>
      <c r="B399" s="168"/>
      <c r="C399" s="168"/>
      <c r="G399" s="175"/>
      <c r="H399" s="175"/>
      <c r="I399" s="168"/>
      <c r="J399" s="168"/>
    </row>
    <row r="400" spans="1:10" ht="17">
      <c r="A400" s="168"/>
      <c r="B400" s="168"/>
      <c r="C400" s="168"/>
      <c r="G400" s="175"/>
      <c r="H400" s="175"/>
      <c r="I400" s="168"/>
      <c r="J400" s="168"/>
    </row>
    <row r="401" spans="1:10" ht="17">
      <c r="A401" s="168"/>
      <c r="B401" s="168"/>
      <c r="C401" s="168"/>
      <c r="G401" s="175"/>
      <c r="H401" s="175"/>
      <c r="I401" s="168"/>
      <c r="J401" s="168"/>
    </row>
    <row r="402" spans="1:10" ht="17">
      <c r="A402" s="168"/>
      <c r="B402" s="168"/>
      <c r="C402" s="168"/>
      <c r="G402" s="175"/>
      <c r="H402" s="175"/>
      <c r="I402" s="168"/>
      <c r="J402" s="168"/>
    </row>
    <row r="403" spans="1:10" ht="17">
      <c r="A403" s="168"/>
      <c r="B403" s="168"/>
      <c r="C403" s="168"/>
      <c r="G403" s="175"/>
      <c r="H403" s="175"/>
      <c r="I403" s="168"/>
      <c r="J403" s="168"/>
    </row>
    <row r="404" spans="1:10" ht="17">
      <c r="A404" s="168"/>
      <c r="B404" s="168"/>
      <c r="C404" s="168"/>
      <c r="G404" s="175"/>
      <c r="H404" s="175"/>
      <c r="I404" s="168"/>
      <c r="J404" s="168"/>
    </row>
    <row r="405" spans="1:10" ht="17">
      <c r="A405" s="168"/>
      <c r="B405" s="168"/>
      <c r="C405" s="168"/>
      <c r="G405" s="175"/>
      <c r="H405" s="175"/>
      <c r="I405" s="168"/>
      <c r="J405" s="168"/>
    </row>
    <row r="406" spans="1:10" ht="17">
      <c r="A406" s="168"/>
      <c r="B406" s="168"/>
      <c r="C406" s="168"/>
      <c r="G406" s="175"/>
      <c r="H406" s="175"/>
      <c r="I406" s="168"/>
      <c r="J406" s="168"/>
    </row>
    <row r="407" spans="1:10" ht="17">
      <c r="A407" s="168"/>
      <c r="B407" s="168"/>
      <c r="C407" s="168"/>
      <c r="G407" s="175"/>
      <c r="H407" s="175"/>
      <c r="I407" s="168"/>
      <c r="J407" s="168"/>
    </row>
    <row r="408" spans="1:10" ht="17">
      <c r="A408" s="168"/>
      <c r="B408" s="168"/>
      <c r="C408" s="168"/>
      <c r="G408" s="175"/>
      <c r="H408" s="175"/>
      <c r="I408" s="168"/>
      <c r="J408" s="168"/>
    </row>
    <row r="409" spans="1:10" ht="17">
      <c r="A409" s="168"/>
      <c r="B409" s="168"/>
      <c r="C409" s="168"/>
      <c r="G409" s="175"/>
      <c r="H409" s="175"/>
      <c r="I409" s="168"/>
      <c r="J409" s="168"/>
    </row>
    <row r="410" spans="1:10" ht="17">
      <c r="A410" s="168"/>
      <c r="B410" s="168"/>
      <c r="C410" s="168"/>
      <c r="G410" s="175"/>
      <c r="H410" s="175"/>
      <c r="I410" s="168"/>
      <c r="J410" s="168"/>
    </row>
    <row r="411" spans="1:10" ht="17">
      <c r="A411" s="168"/>
      <c r="B411" s="168"/>
      <c r="C411" s="168"/>
      <c r="G411" s="175"/>
      <c r="H411" s="175"/>
      <c r="I411" s="168"/>
      <c r="J411" s="168"/>
    </row>
    <row r="412" spans="1:10" ht="17">
      <c r="A412" s="168"/>
      <c r="B412" s="168"/>
      <c r="C412" s="168"/>
      <c r="G412" s="175"/>
      <c r="H412" s="175"/>
      <c r="I412" s="168"/>
      <c r="J412" s="168"/>
    </row>
    <row r="413" spans="1:10" ht="17">
      <c r="A413" s="168"/>
      <c r="B413" s="168"/>
      <c r="C413" s="168"/>
      <c r="G413" s="175"/>
      <c r="H413" s="175"/>
      <c r="I413" s="168"/>
      <c r="J413" s="168"/>
    </row>
    <row r="414" spans="1:10" ht="17">
      <c r="A414" s="168"/>
      <c r="B414" s="168"/>
      <c r="C414" s="168"/>
      <c r="G414" s="175"/>
      <c r="H414" s="175"/>
      <c r="I414" s="168"/>
      <c r="J414" s="168"/>
    </row>
    <row r="415" spans="1:10" ht="17">
      <c r="A415" s="168"/>
      <c r="B415" s="168"/>
      <c r="C415" s="168"/>
      <c r="G415" s="175"/>
      <c r="H415" s="175"/>
      <c r="I415" s="168"/>
      <c r="J415" s="168"/>
    </row>
    <row r="416" spans="1:10" ht="17">
      <c r="A416" s="168"/>
      <c r="B416" s="168"/>
      <c r="C416" s="168"/>
      <c r="G416" s="175"/>
      <c r="H416" s="175"/>
      <c r="I416" s="168"/>
      <c r="J416" s="168"/>
    </row>
    <row r="417" spans="1:10" ht="17">
      <c r="A417" s="168"/>
      <c r="B417" s="168"/>
      <c r="C417" s="168"/>
      <c r="G417" s="175"/>
      <c r="H417" s="175"/>
      <c r="I417" s="168"/>
      <c r="J417" s="168"/>
    </row>
    <row r="418" spans="1:10" ht="17">
      <c r="A418" s="168"/>
      <c r="B418" s="168"/>
      <c r="C418" s="168"/>
      <c r="G418" s="175"/>
      <c r="H418" s="175"/>
      <c r="I418" s="168"/>
      <c r="J418" s="168"/>
    </row>
    <row r="419" spans="1:10" ht="17">
      <c r="A419" s="168"/>
      <c r="B419" s="168"/>
      <c r="C419" s="168"/>
      <c r="G419" s="175"/>
      <c r="H419" s="175"/>
      <c r="I419" s="168"/>
      <c r="J419" s="168"/>
    </row>
    <row r="420" spans="1:10" ht="17">
      <c r="A420" s="168"/>
      <c r="B420" s="168"/>
      <c r="C420" s="168"/>
      <c r="G420" s="175"/>
      <c r="H420" s="175"/>
      <c r="I420" s="168"/>
      <c r="J420" s="168"/>
    </row>
    <row r="421" spans="1:10" ht="17">
      <c r="A421" s="168"/>
      <c r="B421" s="168"/>
      <c r="C421" s="168"/>
      <c r="G421" s="175"/>
      <c r="H421" s="175"/>
      <c r="I421" s="168"/>
      <c r="J421" s="168"/>
    </row>
    <row r="422" spans="1:10" ht="17">
      <c r="A422" s="168"/>
      <c r="B422" s="168"/>
      <c r="C422" s="168"/>
      <c r="G422" s="175"/>
      <c r="H422" s="175"/>
      <c r="I422" s="168"/>
      <c r="J422" s="168"/>
    </row>
    <row r="423" spans="1:10" ht="17">
      <c r="A423" s="168"/>
      <c r="B423" s="168"/>
      <c r="C423" s="168"/>
      <c r="G423" s="175"/>
      <c r="H423" s="175"/>
      <c r="I423" s="168"/>
      <c r="J423" s="168"/>
    </row>
    <row r="424" spans="1:10" ht="17">
      <c r="A424" s="168"/>
      <c r="B424" s="168"/>
      <c r="C424" s="168"/>
      <c r="G424" s="175"/>
      <c r="H424" s="175"/>
      <c r="I424" s="168"/>
      <c r="J424" s="168"/>
    </row>
    <row r="425" spans="1:10" ht="17">
      <c r="A425" s="168"/>
      <c r="B425" s="168"/>
      <c r="C425" s="168"/>
      <c r="G425" s="175"/>
      <c r="H425" s="175"/>
      <c r="I425" s="168"/>
      <c r="J425" s="168"/>
    </row>
    <row r="426" spans="1:10" ht="17">
      <c r="A426" s="168"/>
      <c r="B426" s="168"/>
      <c r="C426" s="168"/>
      <c r="G426" s="175"/>
      <c r="H426" s="175"/>
      <c r="I426" s="168"/>
      <c r="J426" s="168"/>
    </row>
    <row r="427" spans="1:10" ht="17">
      <c r="A427" s="168"/>
      <c r="B427" s="168"/>
      <c r="C427" s="168"/>
      <c r="G427" s="175"/>
      <c r="H427" s="175"/>
      <c r="I427" s="168"/>
      <c r="J427" s="168"/>
    </row>
    <row r="428" spans="1:10" ht="17">
      <c r="A428" s="168"/>
      <c r="B428" s="168"/>
      <c r="C428" s="168"/>
      <c r="G428" s="175"/>
      <c r="H428" s="175"/>
      <c r="I428" s="168"/>
      <c r="J428" s="168"/>
    </row>
    <row r="429" spans="1:10" ht="17">
      <c r="A429" s="168"/>
      <c r="B429" s="168"/>
      <c r="C429" s="168"/>
      <c r="G429" s="175"/>
      <c r="H429" s="175"/>
      <c r="I429" s="168"/>
      <c r="J429" s="168"/>
    </row>
    <row r="430" spans="1:10" ht="17">
      <c r="A430" s="168"/>
      <c r="B430" s="168"/>
      <c r="C430" s="168"/>
      <c r="G430" s="175"/>
      <c r="H430" s="175"/>
      <c r="I430" s="168"/>
      <c r="J430" s="168"/>
    </row>
    <row r="431" spans="1:10" ht="17">
      <c r="A431" s="168"/>
      <c r="B431" s="168"/>
      <c r="C431" s="168"/>
      <c r="G431" s="175"/>
      <c r="H431" s="175"/>
      <c r="I431" s="168"/>
      <c r="J431" s="168"/>
    </row>
    <row r="432" spans="1:10" ht="17">
      <c r="A432" s="168"/>
      <c r="B432" s="168"/>
      <c r="C432" s="168"/>
      <c r="G432" s="175"/>
      <c r="H432" s="175"/>
      <c r="I432" s="168"/>
      <c r="J432" s="168"/>
    </row>
    <row r="433" spans="1:10" ht="17">
      <c r="A433" s="168"/>
      <c r="B433" s="168"/>
      <c r="C433" s="168"/>
      <c r="G433" s="175"/>
      <c r="H433" s="175"/>
      <c r="I433" s="168"/>
      <c r="J433" s="168"/>
    </row>
    <row r="434" spans="1:10" ht="17">
      <c r="A434" s="168"/>
      <c r="B434" s="168"/>
      <c r="C434" s="168"/>
      <c r="G434" s="175"/>
      <c r="H434" s="175"/>
      <c r="I434" s="168"/>
      <c r="J434" s="168"/>
    </row>
    <row r="435" spans="1:10" ht="17">
      <c r="A435" s="168"/>
      <c r="B435" s="168"/>
      <c r="C435" s="168"/>
      <c r="G435" s="175"/>
      <c r="H435" s="175"/>
      <c r="I435" s="168"/>
      <c r="J435" s="168"/>
    </row>
    <row r="436" spans="1:10" ht="17">
      <c r="A436" s="168"/>
      <c r="B436" s="168"/>
      <c r="C436" s="168"/>
      <c r="G436" s="175"/>
      <c r="H436" s="175"/>
      <c r="I436" s="168"/>
      <c r="J436" s="168"/>
    </row>
    <row r="437" spans="1:10" ht="17">
      <c r="A437" s="168"/>
      <c r="B437" s="168"/>
      <c r="C437" s="168"/>
      <c r="G437" s="175"/>
      <c r="H437" s="175"/>
      <c r="I437" s="168"/>
      <c r="J437" s="168"/>
    </row>
    <row r="438" spans="1:10" ht="17">
      <c r="A438" s="168"/>
      <c r="B438" s="168"/>
      <c r="C438" s="168"/>
      <c r="G438" s="175"/>
      <c r="H438" s="175"/>
      <c r="I438" s="168"/>
      <c r="J438" s="168"/>
    </row>
    <row r="439" spans="1:10" ht="17">
      <c r="A439" s="168"/>
      <c r="B439" s="168"/>
      <c r="C439" s="168"/>
      <c r="G439" s="175"/>
      <c r="H439" s="175"/>
      <c r="I439" s="168"/>
      <c r="J439" s="168"/>
    </row>
    <row r="440" spans="1:10" ht="17">
      <c r="A440" s="168"/>
      <c r="B440" s="168"/>
      <c r="C440" s="168"/>
      <c r="G440" s="175"/>
      <c r="H440" s="175"/>
      <c r="I440" s="168"/>
      <c r="J440" s="168"/>
    </row>
    <row r="441" spans="1:10" ht="17">
      <c r="A441" s="168"/>
      <c r="B441" s="168"/>
      <c r="C441" s="168"/>
      <c r="G441" s="175"/>
      <c r="H441" s="175"/>
      <c r="I441" s="168"/>
      <c r="J441" s="168"/>
    </row>
    <row r="442" spans="1:10" ht="17">
      <c r="A442" s="168"/>
      <c r="B442" s="168"/>
      <c r="C442" s="168"/>
      <c r="G442" s="175"/>
      <c r="H442" s="175"/>
      <c r="I442" s="168"/>
      <c r="J442" s="168"/>
    </row>
    <row r="443" spans="1:10" ht="17">
      <c r="A443" s="168"/>
      <c r="B443" s="168"/>
      <c r="C443" s="168"/>
      <c r="G443" s="175"/>
      <c r="H443" s="175"/>
      <c r="I443" s="168"/>
      <c r="J443" s="168"/>
    </row>
    <row r="444" spans="1:10" ht="17">
      <c r="A444" s="168"/>
      <c r="B444" s="168"/>
      <c r="C444" s="168"/>
      <c r="G444" s="175"/>
      <c r="H444" s="175"/>
      <c r="I444" s="168"/>
      <c r="J444" s="168"/>
    </row>
    <row r="445" spans="1:10" ht="17">
      <c r="A445" s="168"/>
      <c r="B445" s="168"/>
      <c r="C445" s="168"/>
      <c r="G445" s="175"/>
      <c r="H445" s="175"/>
      <c r="I445" s="168"/>
      <c r="J445" s="168"/>
    </row>
    <row r="446" spans="1:10" ht="17">
      <c r="A446" s="168"/>
      <c r="B446" s="168"/>
      <c r="C446" s="168"/>
      <c r="G446" s="175"/>
      <c r="H446" s="175"/>
      <c r="I446" s="168"/>
      <c r="J446" s="168"/>
    </row>
    <row r="447" spans="1:10" ht="17">
      <c r="A447" s="168"/>
      <c r="B447" s="168"/>
      <c r="C447" s="168"/>
      <c r="G447" s="175"/>
      <c r="H447" s="175"/>
      <c r="I447" s="168"/>
      <c r="J447" s="168"/>
    </row>
    <row r="448" spans="1:10" ht="17">
      <c r="A448" s="168"/>
      <c r="B448" s="168"/>
      <c r="C448" s="168"/>
      <c r="G448" s="175"/>
      <c r="H448" s="175"/>
      <c r="I448" s="168"/>
      <c r="J448" s="168"/>
    </row>
    <row r="449" spans="1:10" ht="17">
      <c r="A449" s="168"/>
      <c r="B449" s="168"/>
      <c r="C449" s="168"/>
      <c r="G449" s="175"/>
      <c r="H449" s="175"/>
      <c r="I449" s="168"/>
      <c r="J449" s="168"/>
    </row>
    <row r="450" spans="1:10" ht="17">
      <c r="A450" s="168"/>
      <c r="B450" s="168"/>
      <c r="C450" s="168"/>
      <c r="G450" s="175"/>
      <c r="H450" s="175"/>
      <c r="I450" s="168"/>
      <c r="J450" s="168"/>
    </row>
    <row r="451" spans="1:10" ht="17">
      <c r="A451" s="168"/>
      <c r="B451" s="168"/>
      <c r="C451" s="168"/>
      <c r="G451" s="175"/>
      <c r="H451" s="175"/>
      <c r="I451" s="168"/>
      <c r="J451" s="168"/>
    </row>
    <row r="452" spans="1:10" ht="17">
      <c r="A452" s="168"/>
      <c r="B452" s="168"/>
      <c r="C452" s="168"/>
      <c r="G452" s="175"/>
      <c r="H452" s="175"/>
      <c r="I452" s="168"/>
      <c r="J452" s="168"/>
    </row>
    <row r="453" spans="1:10" ht="17">
      <c r="A453" s="168"/>
      <c r="B453" s="168"/>
      <c r="C453" s="168"/>
      <c r="G453" s="175"/>
      <c r="H453" s="175"/>
      <c r="I453" s="168"/>
      <c r="J453" s="168"/>
    </row>
    <row r="454" spans="1:10" ht="17">
      <c r="A454" s="168"/>
      <c r="B454" s="168"/>
      <c r="C454" s="168"/>
      <c r="G454" s="175"/>
      <c r="H454" s="175"/>
      <c r="I454" s="168"/>
      <c r="J454" s="168"/>
    </row>
    <row r="455" spans="1:10" ht="17">
      <c r="A455" s="168"/>
      <c r="B455" s="168"/>
      <c r="C455" s="168"/>
      <c r="G455" s="175"/>
      <c r="H455" s="175"/>
      <c r="I455" s="168"/>
      <c r="J455" s="168"/>
    </row>
    <row r="456" spans="1:10" ht="17">
      <c r="A456" s="168"/>
      <c r="B456" s="168"/>
      <c r="C456" s="168"/>
      <c r="G456" s="175"/>
      <c r="H456" s="175"/>
      <c r="I456" s="168"/>
      <c r="J456" s="168"/>
    </row>
    <row r="457" spans="1:10" ht="17">
      <c r="A457" s="168"/>
      <c r="B457" s="168"/>
      <c r="C457" s="168"/>
      <c r="G457" s="175"/>
      <c r="H457" s="175"/>
      <c r="I457" s="168"/>
      <c r="J457" s="168"/>
    </row>
    <row r="458" spans="1:10" ht="17">
      <c r="A458" s="168"/>
      <c r="B458" s="168"/>
      <c r="C458" s="168"/>
      <c r="G458" s="175"/>
      <c r="H458" s="175"/>
      <c r="I458" s="168"/>
      <c r="J458" s="168"/>
    </row>
    <row r="459" spans="1:10" ht="17">
      <c r="A459" s="168"/>
      <c r="B459" s="168"/>
      <c r="C459" s="168"/>
      <c r="G459" s="175"/>
      <c r="H459" s="175"/>
      <c r="I459" s="168"/>
      <c r="J459" s="168"/>
    </row>
    <row r="460" spans="1:10" ht="17">
      <c r="A460" s="168"/>
      <c r="B460" s="168"/>
      <c r="C460" s="168"/>
      <c r="G460" s="175"/>
      <c r="H460" s="175"/>
      <c r="I460" s="168"/>
      <c r="J460" s="168"/>
    </row>
    <row r="461" spans="1:10" ht="17">
      <c r="A461" s="168"/>
      <c r="B461" s="168"/>
      <c r="C461" s="168"/>
      <c r="G461" s="175"/>
      <c r="H461" s="175"/>
      <c r="I461" s="168"/>
      <c r="J461" s="168"/>
    </row>
    <row r="462" spans="1:10" ht="17">
      <c r="A462" s="168"/>
      <c r="B462" s="168"/>
      <c r="C462" s="168"/>
      <c r="G462" s="175"/>
      <c r="H462" s="175"/>
      <c r="I462" s="168"/>
      <c r="J462" s="168"/>
    </row>
    <row r="463" spans="1:10" ht="17">
      <c r="A463" s="168"/>
      <c r="B463" s="168"/>
      <c r="C463" s="168"/>
      <c r="G463" s="175"/>
      <c r="H463" s="175"/>
      <c r="I463" s="168"/>
      <c r="J463" s="168"/>
    </row>
    <row r="464" spans="1:10" ht="17">
      <c r="A464" s="168"/>
      <c r="B464" s="168"/>
      <c r="C464" s="168"/>
      <c r="G464" s="175"/>
      <c r="H464" s="175"/>
      <c r="I464" s="168"/>
      <c r="J464" s="168"/>
    </row>
    <row r="465" spans="1:10" ht="17">
      <c r="A465" s="168"/>
      <c r="B465" s="168"/>
      <c r="C465" s="168"/>
      <c r="G465" s="175"/>
      <c r="H465" s="175"/>
      <c r="I465" s="168"/>
      <c r="J465" s="168"/>
    </row>
    <row r="466" spans="1:10" ht="17">
      <c r="A466" s="168"/>
      <c r="B466" s="168"/>
      <c r="C466" s="168"/>
      <c r="G466" s="175"/>
      <c r="H466" s="175"/>
      <c r="I466" s="168"/>
      <c r="J466" s="168"/>
    </row>
    <row r="467" spans="1:10" ht="17">
      <c r="A467" s="168"/>
      <c r="B467" s="168"/>
      <c r="C467" s="168"/>
      <c r="G467" s="175"/>
      <c r="H467" s="175"/>
      <c r="I467" s="168"/>
      <c r="J467" s="168"/>
    </row>
    <row r="468" spans="1:10" ht="17">
      <c r="A468" s="168"/>
      <c r="B468" s="168"/>
      <c r="C468" s="168"/>
      <c r="G468" s="175"/>
      <c r="H468" s="175"/>
      <c r="I468" s="168"/>
      <c r="J468" s="168"/>
    </row>
    <row r="469" spans="1:10" ht="17">
      <c r="A469" s="168"/>
      <c r="B469" s="168"/>
      <c r="C469" s="168"/>
      <c r="G469" s="175"/>
      <c r="H469" s="175"/>
      <c r="I469" s="168"/>
      <c r="J469" s="168"/>
    </row>
    <row r="470" spans="1:10" ht="17">
      <c r="A470" s="168"/>
      <c r="B470" s="168"/>
      <c r="C470" s="168"/>
      <c r="G470" s="175"/>
      <c r="H470" s="175"/>
      <c r="I470" s="168"/>
      <c r="J470" s="168"/>
    </row>
    <row r="471" spans="1:10" ht="17">
      <c r="A471" s="168"/>
      <c r="B471" s="168"/>
      <c r="C471" s="168"/>
      <c r="G471" s="175"/>
      <c r="H471" s="175"/>
      <c r="I471" s="168"/>
      <c r="J471" s="168"/>
    </row>
    <row r="472" spans="1:10" ht="17">
      <c r="A472" s="168"/>
      <c r="B472" s="168"/>
      <c r="C472" s="168"/>
      <c r="G472" s="175"/>
      <c r="H472" s="175"/>
      <c r="I472" s="168"/>
      <c r="J472" s="168"/>
    </row>
    <row r="473" spans="1:10" ht="17">
      <c r="A473" s="168"/>
      <c r="B473" s="168"/>
      <c r="C473" s="168"/>
      <c r="G473" s="175"/>
      <c r="H473" s="175"/>
      <c r="I473" s="168"/>
      <c r="J473" s="168"/>
    </row>
    <row r="474" spans="1:10" ht="17">
      <c r="A474" s="168"/>
      <c r="B474" s="168"/>
      <c r="C474" s="168"/>
      <c r="G474" s="175"/>
      <c r="H474" s="175"/>
      <c r="I474" s="168"/>
      <c r="J474" s="168"/>
    </row>
    <row r="475" spans="1:10" ht="17">
      <c r="A475" s="168"/>
      <c r="B475" s="168"/>
      <c r="C475" s="168"/>
      <c r="G475" s="175"/>
      <c r="H475" s="175"/>
      <c r="I475" s="168"/>
      <c r="J475" s="168"/>
    </row>
    <row r="476" spans="1:10" ht="17">
      <c r="A476" s="168"/>
      <c r="B476" s="168"/>
      <c r="C476" s="168"/>
      <c r="G476" s="175"/>
      <c r="H476" s="175"/>
      <c r="I476" s="168"/>
      <c r="J476" s="168"/>
    </row>
    <row r="477" spans="1:10" ht="17">
      <c r="A477" s="168"/>
      <c r="B477" s="168"/>
      <c r="C477" s="168"/>
      <c r="G477" s="175"/>
      <c r="H477" s="175"/>
      <c r="I477" s="168"/>
      <c r="J477" s="168"/>
    </row>
    <row r="478" spans="1:10" ht="17">
      <c r="A478" s="168"/>
      <c r="B478" s="168"/>
      <c r="C478" s="168"/>
      <c r="G478" s="175"/>
      <c r="H478" s="175"/>
      <c r="I478" s="168"/>
      <c r="J478" s="168"/>
    </row>
    <row r="479" spans="1:10" ht="17">
      <c r="A479" s="168"/>
      <c r="B479" s="168"/>
      <c r="C479" s="168"/>
      <c r="G479" s="175"/>
      <c r="H479" s="175"/>
      <c r="I479" s="168"/>
      <c r="J479" s="168"/>
    </row>
    <row r="480" spans="1:10" ht="17">
      <c r="A480" s="168"/>
      <c r="B480" s="168"/>
      <c r="C480" s="168"/>
      <c r="G480" s="175"/>
      <c r="H480" s="175"/>
      <c r="I480" s="168"/>
      <c r="J480" s="168"/>
    </row>
    <row r="481" spans="1:10" ht="17">
      <c r="A481" s="168"/>
      <c r="B481" s="168"/>
      <c r="C481" s="168"/>
      <c r="G481" s="175"/>
      <c r="H481" s="175"/>
      <c r="I481" s="168"/>
      <c r="J481" s="168"/>
    </row>
    <row r="482" spans="1:10" ht="17">
      <c r="A482" s="168"/>
      <c r="B482" s="168"/>
      <c r="C482" s="168"/>
      <c r="G482" s="175"/>
      <c r="H482" s="175"/>
      <c r="I482" s="168"/>
      <c r="J482" s="168"/>
    </row>
    <row r="483" spans="1:10" ht="17">
      <c r="A483" s="168"/>
      <c r="B483" s="168"/>
      <c r="C483" s="168"/>
      <c r="G483" s="175"/>
      <c r="H483" s="175"/>
      <c r="I483" s="168"/>
      <c r="J483" s="168"/>
    </row>
    <row r="484" spans="1:10" ht="17">
      <c r="A484" s="168"/>
      <c r="B484" s="168"/>
      <c r="C484" s="168"/>
      <c r="G484" s="175"/>
      <c r="H484" s="175"/>
      <c r="I484" s="168"/>
      <c r="J484" s="168"/>
    </row>
    <row r="485" spans="1:10" ht="17">
      <c r="A485" s="168"/>
      <c r="B485" s="168"/>
      <c r="C485" s="168"/>
      <c r="G485" s="175"/>
      <c r="H485" s="175"/>
      <c r="I485" s="168"/>
      <c r="J485" s="168"/>
    </row>
    <row r="486" spans="1:10" ht="17">
      <c r="A486" s="168"/>
      <c r="B486" s="168"/>
      <c r="C486" s="168"/>
      <c r="G486" s="175"/>
      <c r="H486" s="175"/>
      <c r="I486" s="168"/>
      <c r="J486" s="168"/>
    </row>
    <row r="487" spans="1:10" ht="17">
      <c r="A487" s="168"/>
      <c r="B487" s="168"/>
      <c r="C487" s="168"/>
      <c r="G487" s="175"/>
      <c r="H487" s="175"/>
      <c r="I487" s="168"/>
      <c r="J487" s="168"/>
    </row>
    <row r="488" spans="1:10" ht="17">
      <c r="A488" s="168"/>
      <c r="B488" s="168"/>
      <c r="C488" s="168"/>
      <c r="G488" s="175"/>
      <c r="H488" s="175"/>
      <c r="I488" s="168"/>
      <c r="J488" s="168"/>
    </row>
    <row r="489" spans="1:10" ht="17">
      <c r="A489" s="168"/>
      <c r="B489" s="168"/>
      <c r="C489" s="168"/>
      <c r="G489" s="175"/>
      <c r="H489" s="175"/>
      <c r="I489" s="168"/>
      <c r="J489" s="168"/>
    </row>
    <row r="490" spans="1:10" ht="17">
      <c r="A490" s="168"/>
      <c r="B490" s="168"/>
      <c r="C490" s="168"/>
      <c r="G490" s="175"/>
      <c r="H490" s="175"/>
      <c r="I490" s="168"/>
      <c r="J490" s="168"/>
    </row>
    <row r="491" spans="1:10" ht="17">
      <c r="A491" s="168"/>
      <c r="B491" s="168"/>
      <c r="C491" s="168"/>
      <c r="G491" s="175"/>
      <c r="H491" s="175"/>
      <c r="I491" s="168"/>
      <c r="J491" s="168"/>
    </row>
    <row r="492" spans="1:10" ht="17">
      <c r="A492" s="168"/>
      <c r="B492" s="168"/>
      <c r="C492" s="168"/>
      <c r="G492" s="175"/>
      <c r="H492" s="175"/>
      <c r="I492" s="168"/>
      <c r="J492" s="168"/>
    </row>
    <row r="493" spans="1:10" ht="17">
      <c r="A493" s="168"/>
      <c r="B493" s="168"/>
      <c r="C493" s="168"/>
      <c r="G493" s="175"/>
      <c r="H493" s="175"/>
      <c r="I493" s="168"/>
      <c r="J493" s="168"/>
    </row>
    <row r="494" spans="1:10" ht="17">
      <c r="A494" s="168"/>
      <c r="B494" s="168"/>
      <c r="C494" s="168"/>
      <c r="G494" s="175"/>
      <c r="H494" s="175"/>
      <c r="I494" s="168"/>
      <c r="J494" s="168"/>
    </row>
    <row r="495" spans="1:10" ht="17">
      <c r="A495" s="168"/>
      <c r="B495" s="168"/>
      <c r="C495" s="168"/>
      <c r="G495" s="175"/>
      <c r="H495" s="175"/>
      <c r="I495" s="168"/>
      <c r="J495" s="168"/>
    </row>
    <row r="496" spans="1:10" ht="17">
      <c r="A496" s="168"/>
      <c r="B496" s="168"/>
      <c r="C496" s="168"/>
      <c r="G496" s="175"/>
      <c r="H496" s="175"/>
      <c r="I496" s="168"/>
      <c r="J496" s="168"/>
    </row>
    <row r="497" spans="1:10" ht="17">
      <c r="A497" s="168"/>
      <c r="B497" s="168"/>
      <c r="C497" s="168"/>
      <c r="G497" s="175"/>
      <c r="H497" s="175"/>
      <c r="I497" s="168"/>
      <c r="J497" s="168"/>
    </row>
    <row r="498" spans="1:10" ht="17">
      <c r="A498" s="168"/>
      <c r="B498" s="168"/>
      <c r="C498" s="168"/>
      <c r="G498" s="175"/>
      <c r="H498" s="175"/>
      <c r="I498" s="168"/>
      <c r="J498" s="168"/>
    </row>
    <row r="499" spans="1:10" ht="17">
      <c r="A499" s="168"/>
      <c r="B499" s="168"/>
      <c r="C499" s="168"/>
      <c r="G499" s="175"/>
      <c r="H499" s="175"/>
      <c r="I499" s="168"/>
      <c r="J499" s="168"/>
    </row>
    <row r="500" spans="1:10" ht="17">
      <c r="A500" s="168"/>
      <c r="B500" s="168"/>
      <c r="C500" s="168"/>
      <c r="G500" s="175"/>
      <c r="H500" s="175"/>
      <c r="I500" s="168"/>
      <c r="J500" s="168"/>
    </row>
    <row r="501" spans="1:10" ht="17">
      <c r="A501" s="168"/>
      <c r="B501" s="168"/>
      <c r="C501" s="168"/>
      <c r="G501" s="175"/>
      <c r="H501" s="175"/>
      <c r="I501" s="168"/>
      <c r="J501" s="168"/>
    </row>
    <row r="502" spans="1:10" ht="17">
      <c r="A502" s="168"/>
      <c r="B502" s="168"/>
      <c r="C502" s="168"/>
      <c r="G502" s="175"/>
      <c r="H502" s="175"/>
      <c r="I502" s="168"/>
      <c r="J502" s="168"/>
    </row>
    <row r="503" spans="1:10" ht="17">
      <c r="A503" s="168"/>
      <c r="B503" s="168"/>
      <c r="C503" s="168"/>
      <c r="G503" s="175"/>
      <c r="H503" s="175"/>
      <c r="I503" s="168"/>
      <c r="J503" s="168"/>
    </row>
    <row r="504" spans="1:10" ht="17">
      <c r="A504" s="168"/>
      <c r="B504" s="168"/>
      <c r="C504" s="168"/>
      <c r="G504" s="175"/>
      <c r="H504" s="175"/>
      <c r="I504" s="168"/>
      <c r="J504" s="168"/>
    </row>
    <row r="505" spans="1:10" ht="17">
      <c r="A505" s="168"/>
      <c r="B505" s="168"/>
      <c r="C505" s="168"/>
      <c r="G505" s="175"/>
      <c r="H505" s="175"/>
      <c r="I505" s="168"/>
      <c r="J505" s="168"/>
    </row>
    <row r="506" spans="1:10" ht="17">
      <c r="A506" s="168"/>
      <c r="B506" s="168"/>
      <c r="C506" s="168"/>
      <c r="G506" s="175"/>
      <c r="H506" s="175"/>
      <c r="I506" s="168"/>
      <c r="J506" s="168"/>
    </row>
    <row r="507" spans="1:10" ht="17">
      <c r="A507" s="168"/>
      <c r="B507" s="168"/>
      <c r="C507" s="168"/>
      <c r="G507" s="175"/>
      <c r="H507" s="175"/>
      <c r="I507" s="168"/>
      <c r="J507" s="168"/>
    </row>
    <row r="508" spans="1:10" ht="17">
      <c r="A508" s="168"/>
      <c r="B508" s="168"/>
      <c r="C508" s="168"/>
      <c r="G508" s="175"/>
      <c r="H508" s="175"/>
      <c r="I508" s="168"/>
      <c r="J508" s="168"/>
    </row>
    <row r="509" spans="1:10" ht="17">
      <c r="A509" s="168"/>
      <c r="B509" s="168"/>
      <c r="C509" s="168"/>
      <c r="G509" s="175"/>
      <c r="H509" s="175"/>
      <c r="I509" s="168"/>
      <c r="J509" s="168"/>
    </row>
    <row r="510" spans="1:10" ht="17">
      <c r="A510" s="168"/>
      <c r="B510" s="168"/>
      <c r="C510" s="168"/>
      <c r="G510" s="175"/>
      <c r="H510" s="175"/>
      <c r="I510" s="168"/>
      <c r="J510" s="168"/>
    </row>
    <row r="511" spans="1:10" ht="17">
      <c r="A511" s="168"/>
      <c r="B511" s="168"/>
      <c r="C511" s="168"/>
      <c r="G511" s="175"/>
      <c r="H511" s="175"/>
      <c r="I511" s="168"/>
      <c r="J511" s="168"/>
    </row>
    <row r="512" spans="1:10" ht="17">
      <c r="A512" s="168"/>
      <c r="B512" s="168"/>
      <c r="C512" s="168"/>
      <c r="G512" s="175"/>
      <c r="H512" s="175"/>
      <c r="I512" s="168"/>
      <c r="J512" s="168"/>
    </row>
    <row r="513" spans="1:10" ht="17">
      <c r="A513" s="168"/>
      <c r="B513" s="168"/>
      <c r="C513" s="168"/>
      <c r="G513" s="175"/>
      <c r="H513" s="175"/>
      <c r="I513" s="168"/>
      <c r="J513" s="168"/>
    </row>
    <row r="514" spans="1:10" ht="17">
      <c r="A514" s="168"/>
      <c r="B514" s="168"/>
      <c r="C514" s="168"/>
      <c r="G514" s="175"/>
      <c r="H514" s="175"/>
      <c r="I514" s="168"/>
      <c r="J514" s="168"/>
    </row>
    <row r="515" spans="1:10" ht="17">
      <c r="A515" s="168"/>
      <c r="B515" s="168"/>
      <c r="C515" s="168"/>
      <c r="G515" s="175"/>
      <c r="H515" s="175"/>
      <c r="I515" s="168"/>
      <c r="J515" s="168"/>
    </row>
    <row r="516" spans="1:10" ht="17">
      <c r="A516" s="168"/>
      <c r="B516" s="168"/>
      <c r="C516" s="168"/>
      <c r="G516" s="175"/>
      <c r="H516" s="175"/>
      <c r="I516" s="168"/>
      <c r="J516" s="168"/>
    </row>
    <row r="517" spans="1:10" ht="17">
      <c r="A517" s="168"/>
      <c r="B517" s="168"/>
      <c r="C517" s="168"/>
      <c r="G517" s="175"/>
      <c r="H517" s="175"/>
      <c r="I517" s="168"/>
      <c r="J517" s="168"/>
    </row>
    <row r="518" spans="1:10" ht="17">
      <c r="A518" s="168"/>
      <c r="B518" s="168"/>
      <c r="C518" s="168"/>
      <c r="G518" s="175"/>
      <c r="H518" s="175"/>
      <c r="I518" s="168"/>
      <c r="J518" s="168"/>
    </row>
    <row r="519" spans="1:10" ht="17">
      <c r="A519" s="168"/>
      <c r="B519" s="168"/>
      <c r="C519" s="168"/>
      <c r="G519" s="175"/>
      <c r="H519" s="175"/>
      <c r="I519" s="168"/>
      <c r="J519" s="168"/>
    </row>
    <row r="520" spans="1:10" ht="17">
      <c r="A520" s="168"/>
      <c r="B520" s="168"/>
      <c r="C520" s="168"/>
      <c r="G520" s="175"/>
      <c r="H520" s="175"/>
      <c r="I520" s="168"/>
      <c r="J520" s="168"/>
    </row>
    <row r="521" spans="1:10" ht="17">
      <c r="A521" s="168"/>
      <c r="B521" s="168"/>
      <c r="C521" s="168"/>
      <c r="G521" s="175"/>
      <c r="H521" s="175"/>
      <c r="I521" s="168"/>
      <c r="J521" s="168"/>
    </row>
    <row r="522" spans="1:10" ht="17">
      <c r="A522" s="168"/>
      <c r="B522" s="168"/>
      <c r="C522" s="168"/>
      <c r="G522" s="175"/>
      <c r="H522" s="175"/>
      <c r="I522" s="168"/>
      <c r="J522" s="168"/>
    </row>
    <row r="523" spans="1:10" ht="17">
      <c r="A523" s="168"/>
      <c r="B523" s="168"/>
      <c r="C523" s="168"/>
      <c r="G523" s="175"/>
      <c r="H523" s="175"/>
      <c r="I523" s="168"/>
      <c r="J523" s="168"/>
    </row>
    <row r="524" spans="1:10" ht="17">
      <c r="A524" s="168"/>
      <c r="B524" s="168"/>
      <c r="C524" s="168"/>
      <c r="G524" s="175"/>
      <c r="H524" s="175"/>
      <c r="I524" s="168"/>
      <c r="J524" s="168"/>
    </row>
    <row r="525" spans="1:10" ht="17">
      <c r="A525" s="168"/>
      <c r="B525" s="168"/>
      <c r="C525" s="168"/>
      <c r="G525" s="175"/>
      <c r="H525" s="175"/>
      <c r="I525" s="168"/>
      <c r="J525" s="168"/>
    </row>
    <row r="526" spans="1:10" ht="17">
      <c r="A526" s="168"/>
      <c r="B526" s="168"/>
      <c r="C526" s="168"/>
      <c r="G526" s="175"/>
      <c r="H526" s="175"/>
      <c r="I526" s="168"/>
      <c r="J526" s="168"/>
    </row>
    <row r="527" spans="1:10" ht="17">
      <c r="A527" s="168"/>
      <c r="B527" s="168"/>
      <c r="C527" s="168"/>
      <c r="G527" s="175"/>
      <c r="H527" s="175"/>
      <c r="I527" s="168"/>
      <c r="J527" s="168"/>
    </row>
    <row r="528" spans="1:10" ht="17">
      <c r="A528" s="168"/>
      <c r="B528" s="168"/>
      <c r="C528" s="168"/>
      <c r="G528" s="175"/>
      <c r="H528" s="175"/>
      <c r="I528" s="168"/>
      <c r="J528" s="168"/>
    </row>
    <row r="529" spans="1:10" ht="17">
      <c r="A529" s="168"/>
      <c r="B529" s="168"/>
      <c r="C529" s="168"/>
      <c r="G529" s="175"/>
      <c r="H529" s="175"/>
      <c r="I529" s="168"/>
      <c r="J529" s="168"/>
    </row>
    <row r="530" spans="1:10" ht="17">
      <c r="A530" s="168"/>
      <c r="B530" s="168"/>
      <c r="C530" s="168"/>
      <c r="G530" s="175"/>
      <c r="H530" s="175"/>
      <c r="I530" s="168"/>
      <c r="J530" s="168"/>
    </row>
    <row r="531" spans="1:10" ht="17">
      <c r="A531" s="168"/>
      <c r="B531" s="168"/>
      <c r="C531" s="168"/>
      <c r="G531" s="175"/>
      <c r="H531" s="175"/>
      <c r="I531" s="168"/>
      <c r="J531" s="168"/>
    </row>
    <row r="532" spans="1:10" ht="17">
      <c r="A532" s="168"/>
      <c r="B532" s="168"/>
      <c r="C532" s="168"/>
      <c r="G532" s="175"/>
      <c r="H532" s="175"/>
      <c r="I532" s="168"/>
      <c r="J532" s="168"/>
    </row>
    <row r="533" spans="1:10" ht="17">
      <c r="A533" s="168"/>
      <c r="B533" s="168"/>
      <c r="C533" s="168"/>
      <c r="G533" s="175"/>
      <c r="H533" s="175"/>
      <c r="I533" s="168"/>
      <c r="J533" s="168"/>
    </row>
    <row r="534" spans="1:10" ht="17">
      <c r="A534" s="168"/>
      <c r="B534" s="168"/>
      <c r="C534" s="168"/>
      <c r="G534" s="175"/>
      <c r="H534" s="175"/>
      <c r="I534" s="168"/>
      <c r="J534" s="168"/>
    </row>
    <row r="535" spans="1:10" ht="17">
      <c r="A535" s="168"/>
      <c r="B535" s="168"/>
      <c r="C535" s="168"/>
      <c r="G535" s="175"/>
      <c r="H535" s="175"/>
      <c r="I535" s="168"/>
      <c r="J535" s="168"/>
    </row>
    <row r="536" spans="1:10" ht="17">
      <c r="A536" s="168"/>
      <c r="B536" s="168"/>
      <c r="C536" s="168"/>
      <c r="G536" s="175"/>
      <c r="H536" s="175"/>
      <c r="I536" s="168"/>
      <c r="J536" s="168"/>
    </row>
    <row r="537" spans="1:10" ht="17">
      <c r="A537" s="168"/>
      <c r="B537" s="168"/>
      <c r="C537" s="168"/>
      <c r="G537" s="175"/>
      <c r="H537" s="175"/>
      <c r="I537" s="168"/>
      <c r="J537" s="168"/>
    </row>
    <row r="538" spans="1:10" ht="17">
      <c r="A538" s="168"/>
      <c r="B538" s="168"/>
      <c r="C538" s="168"/>
      <c r="G538" s="175"/>
      <c r="H538" s="175"/>
      <c r="I538" s="168"/>
      <c r="J538" s="168"/>
    </row>
    <row r="539" spans="1:10" ht="17">
      <c r="A539" s="168"/>
      <c r="B539" s="168"/>
      <c r="C539" s="168"/>
      <c r="G539" s="175"/>
      <c r="H539" s="175"/>
      <c r="I539" s="168"/>
      <c r="J539" s="168"/>
    </row>
    <row r="540" spans="1:10" ht="17">
      <c r="A540" s="168"/>
      <c r="B540" s="168"/>
      <c r="C540" s="168"/>
      <c r="G540" s="175"/>
      <c r="H540" s="175"/>
      <c r="I540" s="168"/>
      <c r="J540" s="168"/>
    </row>
    <row r="541" spans="1:10" ht="17">
      <c r="A541" s="168"/>
      <c r="B541" s="168"/>
      <c r="C541" s="168"/>
      <c r="G541" s="175"/>
      <c r="H541" s="175"/>
      <c r="I541" s="168"/>
      <c r="J541" s="168"/>
    </row>
    <row r="542" spans="1:10" ht="17">
      <c r="A542" s="168"/>
      <c r="B542" s="168"/>
      <c r="C542" s="168"/>
      <c r="G542" s="175"/>
      <c r="H542" s="175"/>
      <c r="I542" s="168"/>
      <c r="J542" s="168"/>
    </row>
    <row r="543" spans="1:10" ht="17">
      <c r="A543" s="168"/>
      <c r="B543" s="168"/>
      <c r="C543" s="168"/>
      <c r="G543" s="175"/>
      <c r="H543" s="175"/>
      <c r="I543" s="168"/>
      <c r="J543" s="168"/>
    </row>
    <row r="544" spans="1:10" ht="17">
      <c r="A544" s="168"/>
      <c r="B544" s="168"/>
      <c r="C544" s="168"/>
      <c r="G544" s="175"/>
      <c r="H544" s="175"/>
      <c r="I544" s="168"/>
      <c r="J544" s="168"/>
    </row>
    <row r="545" spans="1:10" ht="17">
      <c r="A545" s="168"/>
      <c r="B545" s="168"/>
      <c r="C545" s="168"/>
      <c r="G545" s="175"/>
      <c r="H545" s="175"/>
      <c r="I545" s="168"/>
      <c r="J545" s="168"/>
    </row>
    <row r="546" spans="1:10" ht="17">
      <c r="A546" s="168"/>
      <c r="B546" s="168"/>
      <c r="C546" s="168"/>
      <c r="G546" s="175"/>
      <c r="H546" s="175"/>
      <c r="I546" s="168"/>
      <c r="J546" s="168"/>
    </row>
    <row r="547" spans="1:10" ht="17">
      <c r="A547" s="168"/>
      <c r="B547" s="168"/>
      <c r="C547" s="168"/>
      <c r="G547" s="175"/>
      <c r="H547" s="175"/>
      <c r="I547" s="168"/>
      <c r="J547" s="168"/>
    </row>
    <row r="548" spans="1:10" ht="17">
      <c r="A548" s="168"/>
      <c r="B548" s="168"/>
      <c r="C548" s="168"/>
      <c r="G548" s="175"/>
      <c r="H548" s="175"/>
      <c r="I548" s="168"/>
      <c r="J548" s="168"/>
    </row>
    <row r="549" spans="1:10" ht="17">
      <c r="A549" s="168"/>
      <c r="B549" s="168"/>
      <c r="C549" s="168"/>
      <c r="G549" s="175"/>
      <c r="H549" s="175"/>
      <c r="I549" s="168"/>
      <c r="J549" s="168"/>
    </row>
    <row r="550" spans="1:10" ht="17">
      <c r="A550" s="168"/>
      <c r="B550" s="168"/>
      <c r="C550" s="168"/>
      <c r="G550" s="175"/>
      <c r="H550" s="175"/>
      <c r="I550" s="168"/>
      <c r="J550" s="168"/>
    </row>
    <row r="551" spans="1:10" ht="17">
      <c r="A551" s="168"/>
      <c r="B551" s="168"/>
      <c r="C551" s="168"/>
      <c r="G551" s="175"/>
      <c r="H551" s="175"/>
      <c r="I551" s="168"/>
      <c r="J551" s="168"/>
    </row>
    <row r="552" spans="1:10" ht="17">
      <c r="A552" s="168"/>
      <c r="B552" s="168"/>
      <c r="C552" s="168"/>
      <c r="G552" s="175"/>
      <c r="H552" s="175"/>
      <c r="I552" s="168"/>
      <c r="J552" s="168"/>
    </row>
    <row r="553" spans="1:10" ht="17">
      <c r="A553" s="168"/>
      <c r="B553" s="168"/>
      <c r="C553" s="168"/>
      <c r="G553" s="175"/>
      <c r="H553" s="175"/>
      <c r="I553" s="168"/>
      <c r="J553" s="168"/>
    </row>
    <row r="554" spans="1:10" ht="17">
      <c r="A554" s="168"/>
      <c r="B554" s="168"/>
      <c r="C554" s="168"/>
      <c r="G554" s="175"/>
      <c r="H554" s="175"/>
      <c r="I554" s="168"/>
      <c r="J554" s="168"/>
    </row>
    <row r="555" spans="1:10" ht="17">
      <c r="A555" s="168"/>
      <c r="B555" s="168"/>
      <c r="C555" s="168"/>
      <c r="G555" s="175"/>
      <c r="H555" s="175"/>
      <c r="I555" s="168"/>
      <c r="J555" s="168"/>
    </row>
    <row r="556" spans="1:10" ht="17">
      <c r="A556" s="168"/>
      <c r="B556" s="168"/>
      <c r="C556" s="168"/>
      <c r="G556" s="175"/>
      <c r="H556" s="175"/>
      <c r="I556" s="168"/>
      <c r="J556" s="168"/>
    </row>
    <row r="557" spans="1:10" ht="17">
      <c r="A557" s="168"/>
      <c r="B557" s="168"/>
      <c r="C557" s="168"/>
      <c r="G557" s="175"/>
      <c r="H557" s="175"/>
      <c r="I557" s="168"/>
      <c r="J557" s="168"/>
    </row>
    <row r="558" spans="1:10" ht="17">
      <c r="A558" s="168"/>
      <c r="B558" s="168"/>
      <c r="C558" s="168"/>
      <c r="G558" s="175"/>
      <c r="H558" s="175"/>
      <c r="I558" s="168"/>
      <c r="J558" s="168"/>
    </row>
    <row r="559" spans="1:10" ht="17">
      <c r="A559" s="168"/>
      <c r="B559" s="168"/>
      <c r="C559" s="168"/>
      <c r="G559" s="175"/>
      <c r="H559" s="175"/>
      <c r="I559" s="168"/>
      <c r="J559" s="168"/>
    </row>
    <row r="560" spans="1:10" ht="17">
      <c r="A560" s="168"/>
      <c r="B560" s="168"/>
      <c r="C560" s="168"/>
      <c r="G560" s="175"/>
      <c r="H560" s="175"/>
      <c r="I560" s="168"/>
      <c r="J560" s="168"/>
    </row>
    <row r="561" spans="1:10" ht="17">
      <c r="A561" s="168"/>
      <c r="B561" s="168"/>
      <c r="C561" s="168"/>
      <c r="G561" s="175"/>
      <c r="H561" s="175"/>
      <c r="I561" s="168"/>
      <c r="J561" s="168"/>
    </row>
    <row r="562" spans="1:10" ht="17">
      <c r="A562" s="168"/>
      <c r="B562" s="168"/>
      <c r="C562" s="168"/>
      <c r="G562" s="175"/>
      <c r="H562" s="175"/>
      <c r="I562" s="168"/>
      <c r="J562" s="168"/>
    </row>
    <row r="563" spans="1:10" ht="17">
      <c r="A563" s="168"/>
      <c r="B563" s="168"/>
      <c r="C563" s="168"/>
      <c r="G563" s="175"/>
      <c r="H563" s="175"/>
      <c r="I563" s="168"/>
      <c r="J563" s="168"/>
    </row>
    <row r="564" spans="1:10" ht="17">
      <c r="A564" s="168"/>
      <c r="B564" s="168"/>
      <c r="C564" s="168"/>
      <c r="G564" s="175"/>
      <c r="H564" s="175"/>
      <c r="I564" s="168"/>
      <c r="J564" s="168"/>
    </row>
    <row r="565" spans="1:10" ht="17">
      <c r="A565" s="168"/>
      <c r="B565" s="168"/>
      <c r="C565" s="168"/>
      <c r="G565" s="175"/>
      <c r="H565" s="175"/>
      <c r="I565" s="168"/>
      <c r="J565" s="168"/>
    </row>
    <row r="566" spans="1:10" ht="17">
      <c r="A566" s="168"/>
      <c r="B566" s="168"/>
      <c r="C566" s="168"/>
      <c r="G566" s="175"/>
      <c r="H566" s="175"/>
      <c r="I566" s="168"/>
      <c r="J566" s="168"/>
    </row>
    <row r="567" spans="1:10" ht="17">
      <c r="A567" s="168"/>
      <c r="B567" s="168"/>
      <c r="C567" s="168"/>
      <c r="G567" s="175"/>
      <c r="H567" s="175"/>
      <c r="I567" s="168"/>
      <c r="J567" s="168"/>
    </row>
    <row r="568" spans="1:10" ht="17">
      <c r="A568" s="168"/>
      <c r="B568" s="168"/>
      <c r="C568" s="168"/>
      <c r="G568" s="175"/>
      <c r="H568" s="175"/>
      <c r="I568" s="168"/>
      <c r="J568" s="168"/>
    </row>
    <row r="569" spans="1:10" ht="17">
      <c r="A569" s="168"/>
      <c r="B569" s="168"/>
      <c r="C569" s="168"/>
      <c r="G569" s="175"/>
      <c r="H569" s="175"/>
      <c r="I569" s="168"/>
      <c r="J569" s="168"/>
    </row>
    <row r="570" spans="1:10" ht="17">
      <c r="A570" s="168"/>
      <c r="B570" s="168"/>
      <c r="C570" s="168"/>
      <c r="G570" s="175"/>
      <c r="H570" s="175"/>
      <c r="I570" s="168"/>
      <c r="J570" s="168"/>
    </row>
    <row r="571" spans="1:10" ht="17">
      <c r="A571" s="168"/>
      <c r="B571" s="168"/>
      <c r="C571" s="168"/>
      <c r="G571" s="175"/>
      <c r="H571" s="175"/>
      <c r="I571" s="168"/>
      <c r="J571" s="168"/>
    </row>
    <row r="572" spans="1:10" ht="17">
      <c r="A572" s="168"/>
      <c r="B572" s="168"/>
      <c r="C572" s="168"/>
      <c r="G572" s="175"/>
      <c r="H572" s="175"/>
      <c r="I572" s="168"/>
      <c r="J572" s="168"/>
    </row>
    <row r="573" spans="1:10" ht="17">
      <c r="A573" s="168"/>
      <c r="B573" s="168"/>
      <c r="C573" s="168"/>
      <c r="G573" s="175"/>
      <c r="H573" s="175"/>
      <c r="I573" s="168"/>
      <c r="J573" s="168"/>
    </row>
    <row r="574" spans="1:10" ht="17">
      <c r="A574" s="168"/>
      <c r="B574" s="168"/>
      <c r="C574" s="168"/>
      <c r="G574" s="175"/>
      <c r="H574" s="175"/>
      <c r="I574" s="168"/>
      <c r="J574" s="168"/>
    </row>
    <row r="575" spans="1:10" ht="17">
      <c r="A575" s="168"/>
      <c r="B575" s="168"/>
      <c r="C575" s="168"/>
      <c r="G575" s="175"/>
      <c r="H575" s="175"/>
      <c r="I575" s="168"/>
      <c r="J575" s="168"/>
    </row>
    <row r="576" spans="1:10" ht="17">
      <c r="A576" s="168"/>
      <c r="B576" s="168"/>
      <c r="C576" s="168"/>
      <c r="G576" s="175"/>
      <c r="H576" s="175"/>
      <c r="I576" s="168"/>
      <c r="J576" s="168"/>
    </row>
    <row r="577" spans="1:10" ht="17">
      <c r="A577" s="168"/>
      <c r="B577" s="168"/>
      <c r="C577" s="168"/>
      <c r="G577" s="175"/>
      <c r="H577" s="175"/>
      <c r="I577" s="168"/>
      <c r="J577" s="168"/>
    </row>
    <row r="578" spans="1:10" ht="17">
      <c r="A578" s="168"/>
      <c r="B578" s="168"/>
      <c r="C578" s="168"/>
      <c r="G578" s="175"/>
      <c r="H578" s="175"/>
      <c r="I578" s="168"/>
      <c r="J578" s="168"/>
    </row>
    <row r="579" spans="1:10" ht="17">
      <c r="A579" s="168"/>
      <c r="B579" s="168"/>
      <c r="C579" s="168"/>
      <c r="G579" s="175"/>
      <c r="H579" s="175"/>
      <c r="I579" s="168"/>
      <c r="J579" s="168"/>
    </row>
    <row r="580" spans="1:10" ht="17">
      <c r="A580" s="168"/>
      <c r="B580" s="168"/>
      <c r="C580" s="168"/>
      <c r="G580" s="175"/>
      <c r="H580" s="175"/>
      <c r="I580" s="168"/>
      <c r="J580" s="168"/>
    </row>
    <row r="581" spans="1:10" ht="17">
      <c r="A581" s="168"/>
      <c r="B581" s="168"/>
      <c r="C581" s="168"/>
      <c r="G581" s="175"/>
      <c r="H581" s="175"/>
      <c r="I581" s="168"/>
      <c r="J581" s="168"/>
    </row>
    <row r="582" spans="1:10" ht="17">
      <c r="A582" s="168"/>
      <c r="B582" s="168"/>
      <c r="C582" s="168"/>
      <c r="G582" s="175"/>
      <c r="H582" s="175"/>
      <c r="I582" s="168"/>
      <c r="J582" s="168"/>
    </row>
    <row r="583" spans="1:10" ht="17">
      <c r="A583" s="168"/>
      <c r="B583" s="168"/>
      <c r="C583" s="168"/>
      <c r="G583" s="175"/>
      <c r="H583" s="175"/>
      <c r="I583" s="168"/>
      <c r="J583" s="168"/>
    </row>
    <row r="584" spans="1:10" ht="17">
      <c r="A584" s="168"/>
      <c r="B584" s="168"/>
      <c r="C584" s="168"/>
      <c r="G584" s="175"/>
      <c r="H584" s="175"/>
      <c r="I584" s="168"/>
      <c r="J584" s="168"/>
    </row>
    <row r="585" spans="1:10" ht="17">
      <c r="A585" s="168"/>
      <c r="B585" s="168"/>
      <c r="C585" s="168"/>
      <c r="G585" s="175"/>
      <c r="H585" s="175"/>
      <c r="I585" s="168"/>
      <c r="J585" s="168"/>
    </row>
    <row r="586" spans="1:10" ht="17">
      <c r="A586" s="168"/>
      <c r="B586" s="168"/>
      <c r="C586" s="168"/>
      <c r="G586" s="175"/>
      <c r="H586" s="175"/>
      <c r="I586" s="168"/>
      <c r="J586" s="168"/>
    </row>
    <row r="587" spans="1:10" ht="17">
      <c r="A587" s="168"/>
      <c r="B587" s="168"/>
      <c r="C587" s="168"/>
      <c r="G587" s="175"/>
      <c r="H587" s="175"/>
      <c r="I587" s="168"/>
      <c r="J587" s="168"/>
    </row>
    <row r="588" spans="1:10" ht="17">
      <c r="A588" s="168"/>
      <c r="B588" s="168"/>
      <c r="C588" s="168"/>
      <c r="G588" s="175"/>
      <c r="H588" s="175"/>
      <c r="I588" s="168"/>
      <c r="J588" s="168"/>
    </row>
    <row r="589" spans="1:10" ht="17">
      <c r="A589" s="168"/>
      <c r="B589" s="168"/>
      <c r="C589" s="168"/>
      <c r="G589" s="175"/>
      <c r="H589" s="175"/>
      <c r="I589" s="168"/>
      <c r="J589" s="168"/>
    </row>
    <row r="590" spans="1:10" ht="17">
      <c r="A590" s="168"/>
      <c r="B590" s="168"/>
      <c r="C590" s="168"/>
      <c r="G590" s="175"/>
      <c r="H590" s="175"/>
      <c r="I590" s="168"/>
      <c r="J590" s="168"/>
    </row>
    <row r="591" spans="1:10" ht="17">
      <c r="A591" s="168"/>
      <c r="B591" s="168"/>
      <c r="C591" s="168"/>
      <c r="G591" s="175"/>
      <c r="H591" s="175"/>
      <c r="I591" s="168"/>
      <c r="J591" s="168"/>
    </row>
    <row r="592" spans="1:10" ht="17">
      <c r="A592" s="168"/>
      <c r="B592" s="168"/>
      <c r="C592" s="168"/>
      <c r="G592" s="175"/>
      <c r="H592" s="175"/>
      <c r="I592" s="168"/>
      <c r="J592" s="168"/>
    </row>
    <row r="593" spans="1:10" ht="17">
      <c r="A593" s="168"/>
      <c r="B593" s="168"/>
      <c r="C593" s="168"/>
      <c r="G593" s="175"/>
      <c r="H593" s="175"/>
      <c r="I593" s="168"/>
      <c r="J593" s="168"/>
    </row>
    <row r="594" spans="1:10" ht="17">
      <c r="A594" s="168"/>
      <c r="B594" s="168"/>
      <c r="C594" s="168"/>
      <c r="G594" s="175"/>
      <c r="H594" s="175"/>
      <c r="I594" s="168"/>
      <c r="J594" s="168"/>
    </row>
    <row r="595" spans="1:10" ht="17">
      <c r="A595" s="168"/>
      <c r="B595" s="168"/>
      <c r="C595" s="168"/>
      <c r="G595" s="175"/>
      <c r="H595" s="175"/>
      <c r="I595" s="168"/>
      <c r="J595" s="168"/>
    </row>
    <row r="596" spans="1:10" ht="17">
      <c r="A596" s="168"/>
      <c r="B596" s="168"/>
      <c r="C596" s="168"/>
      <c r="G596" s="175"/>
      <c r="H596" s="175"/>
      <c r="I596" s="168"/>
      <c r="J596" s="168"/>
    </row>
    <row r="597" spans="1:10" ht="17">
      <c r="A597" s="168"/>
      <c r="B597" s="168"/>
      <c r="C597" s="168"/>
      <c r="G597" s="175"/>
      <c r="H597" s="175"/>
      <c r="I597" s="168"/>
      <c r="J597" s="168"/>
    </row>
    <row r="598" spans="1:10" ht="17">
      <c r="A598" s="168"/>
      <c r="B598" s="168"/>
      <c r="C598" s="168"/>
      <c r="G598" s="175"/>
      <c r="H598" s="175"/>
      <c r="I598" s="168"/>
      <c r="J598" s="168"/>
    </row>
    <row r="599" spans="1:10" ht="17">
      <c r="A599" s="168"/>
      <c r="B599" s="168"/>
      <c r="C599" s="168"/>
      <c r="G599" s="175"/>
      <c r="H599" s="175"/>
      <c r="I599" s="168"/>
      <c r="J599" s="168"/>
    </row>
    <row r="600" spans="1:10" ht="17">
      <c r="A600" s="168"/>
      <c r="B600" s="168"/>
      <c r="C600" s="168"/>
      <c r="G600" s="175"/>
      <c r="H600" s="175"/>
      <c r="I600" s="168"/>
      <c r="J600" s="168"/>
    </row>
    <row r="601" spans="1:10" ht="17">
      <c r="A601" s="168"/>
      <c r="B601" s="168"/>
      <c r="C601" s="168"/>
      <c r="G601" s="175"/>
      <c r="H601" s="175"/>
      <c r="I601" s="168"/>
      <c r="J601" s="168"/>
    </row>
    <row r="602" spans="1:10" ht="17">
      <c r="A602" s="168"/>
      <c r="B602" s="168"/>
      <c r="C602" s="168"/>
      <c r="G602" s="175"/>
      <c r="H602" s="175"/>
      <c r="I602" s="168"/>
      <c r="J602" s="168"/>
    </row>
    <row r="603" spans="1:10" ht="17">
      <c r="A603" s="168"/>
      <c r="B603" s="168"/>
      <c r="C603" s="168"/>
      <c r="G603" s="175"/>
      <c r="H603" s="175"/>
      <c r="I603" s="168"/>
      <c r="J603" s="168"/>
    </row>
    <row r="604" spans="1:10" ht="17">
      <c r="A604" s="168"/>
      <c r="B604" s="168"/>
      <c r="C604" s="168"/>
      <c r="G604" s="175"/>
      <c r="H604" s="175"/>
      <c r="I604" s="168"/>
      <c r="J604" s="168"/>
    </row>
    <row r="605" spans="1:10" ht="17">
      <c r="A605" s="168"/>
      <c r="B605" s="168"/>
      <c r="C605" s="168"/>
      <c r="G605" s="175"/>
      <c r="H605" s="175"/>
      <c r="I605" s="168"/>
      <c r="J605" s="168"/>
    </row>
    <row r="606" spans="1:10" ht="17">
      <c r="A606" s="168"/>
      <c r="B606" s="168"/>
      <c r="C606" s="168"/>
      <c r="G606" s="175"/>
      <c r="H606" s="175"/>
      <c r="I606" s="168"/>
      <c r="J606" s="168"/>
    </row>
    <row r="607" spans="1:10" ht="17">
      <c r="A607" s="168"/>
      <c r="B607" s="168"/>
      <c r="C607" s="168"/>
      <c r="G607" s="175"/>
      <c r="H607" s="175"/>
      <c r="I607" s="168"/>
      <c r="J607" s="168"/>
    </row>
    <row r="608" spans="1:10" ht="17">
      <c r="A608" s="168"/>
      <c r="B608" s="168"/>
      <c r="C608" s="168"/>
      <c r="G608" s="175"/>
      <c r="H608" s="175"/>
      <c r="I608" s="168"/>
      <c r="J608" s="168"/>
    </row>
    <row r="609" spans="1:10" ht="17">
      <c r="A609" s="168"/>
      <c r="B609" s="168"/>
      <c r="C609" s="168"/>
      <c r="G609" s="175"/>
      <c r="H609" s="175"/>
      <c r="I609" s="168"/>
      <c r="J609" s="168"/>
    </row>
    <row r="610" spans="1:10" ht="17">
      <c r="A610" s="168"/>
      <c r="B610" s="168"/>
      <c r="C610" s="168"/>
      <c r="G610" s="175"/>
      <c r="H610" s="175"/>
      <c r="I610" s="168"/>
      <c r="J610" s="168"/>
    </row>
    <row r="611" spans="1:10" ht="17">
      <c r="A611" s="168"/>
      <c r="B611" s="168"/>
      <c r="C611" s="168"/>
      <c r="G611" s="175"/>
      <c r="H611" s="175"/>
      <c r="I611" s="168"/>
      <c r="J611" s="168"/>
    </row>
    <row r="612" spans="1:10" ht="17">
      <c r="A612" s="168"/>
      <c r="B612" s="168"/>
      <c r="C612" s="168"/>
      <c r="G612" s="175"/>
      <c r="H612" s="175"/>
      <c r="I612" s="168"/>
      <c r="J612" s="168"/>
    </row>
    <row r="613" spans="1:10" ht="17">
      <c r="A613" s="168"/>
      <c r="B613" s="168"/>
      <c r="C613" s="168"/>
      <c r="G613" s="175"/>
      <c r="H613" s="175"/>
      <c r="I613" s="168"/>
      <c r="J613" s="168"/>
    </row>
    <row r="614" spans="1:10" ht="17">
      <c r="A614" s="168"/>
      <c r="B614" s="168"/>
      <c r="C614" s="168"/>
      <c r="G614" s="175"/>
      <c r="H614" s="175"/>
      <c r="I614" s="168"/>
      <c r="J614" s="168"/>
    </row>
    <row r="615" spans="1:10" ht="17">
      <c r="A615" s="168"/>
      <c r="B615" s="168"/>
      <c r="C615" s="168"/>
      <c r="G615" s="175"/>
      <c r="H615" s="175"/>
      <c r="I615" s="168"/>
      <c r="J615" s="168"/>
    </row>
    <row r="616" spans="1:10" ht="17">
      <c r="A616" s="168"/>
      <c r="B616" s="168"/>
      <c r="C616" s="168"/>
      <c r="G616" s="175"/>
      <c r="H616" s="175"/>
      <c r="I616" s="168"/>
      <c r="J616" s="168"/>
    </row>
    <row r="617" spans="1:10" ht="17">
      <c r="A617" s="168"/>
      <c r="B617" s="168"/>
      <c r="C617" s="168"/>
      <c r="G617" s="175"/>
      <c r="H617" s="175"/>
      <c r="I617" s="168"/>
      <c r="J617" s="168"/>
    </row>
    <row r="618" spans="1:10" ht="17">
      <c r="A618" s="168"/>
      <c r="B618" s="168"/>
      <c r="C618" s="168"/>
      <c r="G618" s="175"/>
      <c r="H618" s="175"/>
      <c r="I618" s="168"/>
      <c r="J618" s="168"/>
    </row>
    <row r="619" spans="1:10" ht="17">
      <c r="A619" s="168"/>
      <c r="B619" s="168"/>
      <c r="C619" s="168"/>
      <c r="G619" s="175"/>
      <c r="H619" s="175"/>
      <c r="I619" s="168"/>
      <c r="J619" s="168"/>
    </row>
    <row r="620" spans="1:10" ht="17">
      <c r="A620" s="168"/>
      <c r="B620" s="168"/>
      <c r="C620" s="168"/>
      <c r="G620" s="175"/>
      <c r="H620" s="175"/>
      <c r="I620" s="168"/>
      <c r="J620" s="168"/>
    </row>
    <row r="621" spans="1:10" ht="17">
      <c r="A621" s="168"/>
      <c r="B621" s="168"/>
      <c r="C621" s="168"/>
      <c r="G621" s="175"/>
      <c r="H621" s="175"/>
      <c r="I621" s="168"/>
      <c r="J621" s="168"/>
    </row>
    <row r="622" spans="1:10" ht="17">
      <c r="A622" s="168"/>
      <c r="B622" s="168"/>
      <c r="C622" s="168"/>
      <c r="G622" s="175"/>
      <c r="H622" s="175"/>
      <c r="I622" s="168"/>
      <c r="J622" s="168"/>
    </row>
    <row r="623" spans="1:10" ht="17">
      <c r="A623" s="168"/>
      <c r="B623" s="168"/>
      <c r="C623" s="168"/>
      <c r="G623" s="175"/>
      <c r="H623" s="175"/>
      <c r="I623" s="168"/>
      <c r="J623" s="168"/>
    </row>
    <row r="624" spans="1:10" ht="17">
      <c r="A624" s="168"/>
      <c r="B624" s="168"/>
      <c r="C624" s="168"/>
      <c r="G624" s="175"/>
      <c r="H624" s="175"/>
      <c r="I624" s="168"/>
      <c r="J624" s="168"/>
    </row>
    <row r="625" spans="1:10" ht="17">
      <c r="A625" s="168"/>
      <c r="B625" s="168"/>
      <c r="C625" s="168"/>
      <c r="G625" s="175"/>
      <c r="H625" s="175"/>
      <c r="I625" s="168"/>
      <c r="J625" s="168"/>
    </row>
    <row r="626" spans="1:10" ht="17">
      <c r="A626" s="168"/>
      <c r="B626" s="168"/>
      <c r="C626" s="168"/>
      <c r="G626" s="175"/>
      <c r="H626" s="175"/>
      <c r="I626" s="168"/>
      <c r="J626" s="168"/>
    </row>
    <row r="627" spans="1:10" ht="17">
      <c r="A627" s="168"/>
      <c r="B627" s="168"/>
      <c r="C627" s="168"/>
      <c r="G627" s="175"/>
      <c r="H627" s="175"/>
      <c r="I627" s="168"/>
      <c r="J627" s="168"/>
    </row>
    <row r="628" spans="1:10" ht="17">
      <c r="A628" s="168"/>
      <c r="B628" s="168"/>
      <c r="C628" s="168"/>
      <c r="G628" s="175"/>
      <c r="H628" s="175"/>
      <c r="I628" s="168"/>
      <c r="J628" s="168"/>
    </row>
    <row r="629" spans="1:10" ht="17">
      <c r="A629" s="168"/>
      <c r="B629" s="168"/>
      <c r="C629" s="168"/>
      <c r="G629" s="175"/>
      <c r="H629" s="175"/>
      <c r="I629" s="168"/>
      <c r="J629" s="168"/>
    </row>
    <row r="630" spans="1:10" ht="17">
      <c r="A630" s="168"/>
      <c r="B630" s="168"/>
      <c r="C630" s="168"/>
      <c r="G630" s="175"/>
      <c r="H630" s="175"/>
      <c r="I630" s="168"/>
      <c r="J630" s="168"/>
    </row>
    <row r="631" spans="1:10" ht="17">
      <c r="A631" s="168"/>
      <c r="B631" s="168"/>
      <c r="C631" s="168"/>
      <c r="G631" s="175"/>
      <c r="H631" s="175"/>
      <c r="I631" s="168"/>
      <c r="J631" s="168"/>
    </row>
    <row r="632" spans="1:10" ht="17">
      <c r="A632" s="168"/>
      <c r="B632" s="168"/>
      <c r="C632" s="168"/>
      <c r="G632" s="175"/>
      <c r="H632" s="175"/>
      <c r="I632" s="168"/>
      <c r="J632" s="168"/>
    </row>
    <row r="633" spans="1:10" ht="17">
      <c r="A633" s="168"/>
      <c r="B633" s="168"/>
      <c r="C633" s="168"/>
      <c r="G633" s="175"/>
      <c r="H633" s="175"/>
      <c r="I633" s="168"/>
      <c r="J633" s="168"/>
    </row>
    <row r="634" spans="1:10" ht="17">
      <c r="A634" s="168"/>
      <c r="B634" s="168"/>
      <c r="C634" s="168"/>
      <c r="G634" s="175"/>
      <c r="H634" s="175"/>
      <c r="I634" s="168"/>
      <c r="J634" s="168"/>
    </row>
    <row r="635" spans="1:10" ht="17">
      <c r="A635" s="168"/>
      <c r="B635" s="168"/>
      <c r="C635" s="168"/>
      <c r="G635" s="175"/>
      <c r="H635" s="175"/>
      <c r="I635" s="168"/>
      <c r="J635" s="168"/>
    </row>
    <row r="636" spans="1:10" ht="17">
      <c r="A636" s="168"/>
      <c r="B636" s="168"/>
      <c r="C636" s="168"/>
      <c r="G636" s="175"/>
      <c r="H636" s="175"/>
      <c r="I636" s="168"/>
      <c r="J636" s="168"/>
    </row>
    <row r="637" spans="1:10" ht="17">
      <c r="A637" s="168"/>
      <c r="B637" s="168"/>
      <c r="C637" s="168"/>
      <c r="G637" s="175"/>
      <c r="H637" s="175"/>
      <c r="I637" s="168"/>
      <c r="J637" s="168"/>
    </row>
    <row r="638" spans="1:10" ht="17">
      <c r="A638" s="168"/>
      <c r="B638" s="168"/>
      <c r="C638" s="168"/>
      <c r="G638" s="175"/>
      <c r="H638" s="175"/>
      <c r="I638" s="168"/>
      <c r="J638" s="168"/>
    </row>
    <row r="639" spans="1:10" ht="17">
      <c r="A639" s="168"/>
      <c r="B639" s="168"/>
      <c r="C639" s="168"/>
      <c r="G639" s="175"/>
      <c r="H639" s="175"/>
      <c r="I639" s="168"/>
      <c r="J639" s="168"/>
    </row>
    <row r="640" spans="1:10" ht="17">
      <c r="A640" s="168"/>
      <c r="B640" s="168"/>
      <c r="C640" s="168"/>
      <c r="G640" s="175"/>
      <c r="H640" s="175"/>
      <c r="I640" s="168"/>
      <c r="J640" s="168"/>
    </row>
    <row r="641" spans="1:10" ht="17">
      <c r="A641" s="168"/>
      <c r="B641" s="168"/>
      <c r="C641" s="168"/>
      <c r="G641" s="175"/>
      <c r="H641" s="175"/>
      <c r="I641" s="168"/>
      <c r="J641" s="168"/>
    </row>
    <row r="642" spans="1:10" ht="17">
      <c r="A642" s="168"/>
      <c r="B642" s="168"/>
      <c r="C642" s="168"/>
      <c r="G642" s="175"/>
      <c r="H642" s="175"/>
      <c r="I642" s="168"/>
      <c r="J642" s="168"/>
    </row>
    <row r="643" spans="1:10" ht="17">
      <c r="A643" s="168"/>
      <c r="B643" s="168"/>
      <c r="C643" s="168"/>
      <c r="G643" s="175"/>
      <c r="H643" s="175"/>
      <c r="I643" s="168"/>
      <c r="J643" s="168"/>
    </row>
    <row r="644" spans="1:10" ht="17">
      <c r="A644" s="168"/>
      <c r="B644" s="168"/>
      <c r="C644" s="168"/>
      <c r="G644" s="175"/>
      <c r="H644" s="175"/>
      <c r="I644" s="168"/>
      <c r="J644" s="168"/>
    </row>
    <row r="645" spans="1:10" ht="17">
      <c r="A645" s="168"/>
      <c r="B645" s="168"/>
      <c r="C645" s="168"/>
      <c r="G645" s="175"/>
      <c r="H645" s="175"/>
      <c r="I645" s="168"/>
      <c r="J645" s="168"/>
    </row>
    <row r="646" spans="1:10" ht="17">
      <c r="A646" s="168"/>
      <c r="B646" s="168"/>
      <c r="C646" s="168"/>
      <c r="G646" s="175"/>
      <c r="H646" s="175"/>
      <c r="I646" s="168"/>
      <c r="J646" s="168"/>
    </row>
    <row r="647" spans="1:10" ht="17">
      <c r="A647" s="168"/>
      <c r="B647" s="168"/>
      <c r="C647" s="168"/>
      <c r="G647" s="175"/>
      <c r="H647" s="175"/>
      <c r="I647" s="168"/>
      <c r="J647" s="168"/>
    </row>
    <row r="648" spans="1:10" ht="17">
      <c r="A648" s="168"/>
      <c r="B648" s="168"/>
      <c r="C648" s="168"/>
      <c r="G648" s="175"/>
      <c r="H648" s="175"/>
      <c r="I648" s="168"/>
      <c r="J648" s="168"/>
    </row>
    <row r="649" spans="1:10" ht="17">
      <c r="A649" s="168"/>
      <c r="B649" s="168"/>
      <c r="C649" s="168"/>
      <c r="G649" s="175"/>
      <c r="H649" s="175"/>
      <c r="I649" s="168"/>
      <c r="J649" s="168"/>
    </row>
    <row r="650" spans="1:10" ht="17">
      <c r="A650" s="168"/>
      <c r="B650" s="168"/>
      <c r="C650" s="168"/>
      <c r="G650" s="175"/>
      <c r="H650" s="175"/>
      <c r="I650" s="168"/>
      <c r="J650" s="168"/>
    </row>
    <row r="651" spans="1:10" ht="17">
      <c r="A651" s="168"/>
      <c r="B651" s="168"/>
      <c r="C651" s="168"/>
      <c r="G651" s="175"/>
      <c r="H651" s="175"/>
      <c r="I651" s="168"/>
      <c r="J651" s="168"/>
    </row>
    <row r="652" spans="1:10" ht="17">
      <c r="A652" s="168"/>
      <c r="B652" s="168"/>
      <c r="C652" s="168"/>
      <c r="G652" s="175"/>
      <c r="H652" s="175"/>
      <c r="I652" s="168"/>
      <c r="J652" s="168"/>
    </row>
    <row r="653" spans="1:10" ht="17">
      <c r="A653" s="168"/>
      <c r="B653" s="168"/>
      <c r="C653" s="168"/>
      <c r="G653" s="175"/>
      <c r="H653" s="175"/>
      <c r="I653" s="168"/>
      <c r="J653" s="168"/>
    </row>
    <row r="654" spans="1:10" ht="17">
      <c r="A654" s="168"/>
      <c r="B654" s="168"/>
      <c r="C654" s="168"/>
      <c r="G654" s="175"/>
      <c r="H654" s="175"/>
      <c r="I654" s="168"/>
      <c r="J654" s="168"/>
    </row>
    <row r="655" spans="1:10" ht="17">
      <c r="A655" s="168"/>
      <c r="B655" s="168"/>
      <c r="C655" s="168"/>
      <c r="G655" s="175"/>
      <c r="H655" s="175"/>
      <c r="I655" s="168"/>
      <c r="J655" s="168"/>
    </row>
    <row r="656" spans="1:10" ht="17">
      <c r="A656" s="168"/>
      <c r="B656" s="168"/>
      <c r="C656" s="168"/>
      <c r="G656" s="175"/>
      <c r="H656" s="175"/>
      <c r="I656" s="168"/>
      <c r="J656" s="168"/>
    </row>
    <row r="657" spans="1:10" ht="17">
      <c r="A657" s="168"/>
      <c r="B657" s="168"/>
      <c r="C657" s="168"/>
      <c r="G657" s="175"/>
      <c r="H657" s="175"/>
      <c r="I657" s="168"/>
      <c r="J657" s="168"/>
    </row>
    <row r="658" spans="1:10" ht="17">
      <c r="A658" s="168"/>
      <c r="B658" s="168"/>
      <c r="C658" s="168"/>
      <c r="G658" s="175"/>
      <c r="H658" s="175"/>
      <c r="I658" s="168"/>
      <c r="J658" s="168"/>
    </row>
    <row r="659" spans="1:10" ht="17">
      <c r="A659" s="168"/>
      <c r="B659" s="168"/>
      <c r="C659" s="168"/>
      <c r="G659" s="175"/>
      <c r="H659" s="175"/>
      <c r="I659" s="168"/>
      <c r="J659" s="168"/>
    </row>
    <row r="660" spans="1:10" ht="17">
      <c r="A660" s="168"/>
      <c r="B660" s="168"/>
      <c r="C660" s="168"/>
      <c r="G660" s="175"/>
      <c r="H660" s="175"/>
      <c r="I660" s="168"/>
      <c r="J660" s="168"/>
    </row>
    <row r="661" spans="1:10" ht="17">
      <c r="A661" s="168"/>
      <c r="B661" s="168"/>
      <c r="C661" s="168"/>
      <c r="G661" s="175"/>
      <c r="H661" s="175"/>
      <c r="I661" s="168"/>
      <c r="J661" s="168"/>
    </row>
    <row r="662" spans="1:10" ht="17">
      <c r="A662" s="168"/>
      <c r="B662" s="168"/>
      <c r="C662" s="168"/>
      <c r="G662" s="175"/>
      <c r="H662" s="175"/>
      <c r="I662" s="168"/>
      <c r="J662" s="168"/>
    </row>
    <row r="663" spans="1:10" ht="17">
      <c r="A663" s="168"/>
      <c r="B663" s="168"/>
      <c r="C663" s="168"/>
      <c r="G663" s="175"/>
      <c r="H663" s="175"/>
      <c r="I663" s="168"/>
      <c r="J663" s="168"/>
    </row>
    <row r="664" spans="1:10" ht="17">
      <c r="A664" s="168"/>
      <c r="B664" s="168"/>
      <c r="C664" s="168"/>
      <c r="G664" s="175"/>
      <c r="H664" s="175"/>
      <c r="I664" s="168"/>
      <c r="J664" s="168"/>
    </row>
    <row r="665" spans="1:10" ht="17">
      <c r="A665" s="168"/>
      <c r="B665" s="168"/>
      <c r="C665" s="168"/>
      <c r="G665" s="175"/>
      <c r="H665" s="175"/>
      <c r="I665" s="168"/>
      <c r="J665" s="168"/>
    </row>
    <row r="666" spans="1:10" ht="17">
      <c r="A666" s="168"/>
      <c r="B666" s="168"/>
      <c r="C666" s="168"/>
      <c r="G666" s="175"/>
      <c r="H666" s="175"/>
      <c r="I666" s="168"/>
      <c r="J666" s="168"/>
    </row>
    <row r="667" spans="1:10" ht="17">
      <c r="A667" s="168"/>
      <c r="B667" s="168"/>
      <c r="C667" s="168"/>
      <c r="G667" s="175"/>
      <c r="H667" s="175"/>
      <c r="I667" s="168"/>
      <c r="J667" s="168"/>
    </row>
    <row r="668" spans="1:10" ht="17">
      <c r="A668" s="168"/>
      <c r="B668" s="168"/>
      <c r="C668" s="168"/>
      <c r="G668" s="175"/>
      <c r="H668" s="175"/>
      <c r="I668" s="168"/>
      <c r="J668" s="168"/>
    </row>
    <row r="669" spans="1:10" ht="17">
      <c r="A669" s="168"/>
      <c r="B669" s="168"/>
      <c r="C669" s="168"/>
      <c r="G669" s="175"/>
      <c r="H669" s="175"/>
      <c r="I669" s="168"/>
      <c r="J669" s="168"/>
    </row>
    <row r="670" spans="1:10" ht="17">
      <c r="A670" s="168"/>
      <c r="B670" s="168"/>
      <c r="C670" s="168"/>
      <c r="G670" s="175"/>
      <c r="H670" s="175"/>
      <c r="I670" s="168"/>
      <c r="J670" s="168"/>
    </row>
    <row r="671" spans="1:10" ht="17">
      <c r="A671" s="168"/>
      <c r="B671" s="168"/>
      <c r="C671" s="168"/>
      <c r="G671" s="175"/>
      <c r="H671" s="175"/>
      <c r="I671" s="168"/>
      <c r="J671" s="168"/>
    </row>
    <row r="672" spans="1:10" ht="17">
      <c r="A672" s="168"/>
      <c r="B672" s="168"/>
      <c r="C672" s="168"/>
      <c r="G672" s="175"/>
      <c r="H672" s="175"/>
      <c r="I672" s="168"/>
      <c r="J672" s="168"/>
    </row>
    <row r="673" spans="1:10" ht="17">
      <c r="A673" s="168"/>
      <c r="B673" s="168"/>
      <c r="C673" s="168"/>
      <c r="G673" s="175"/>
      <c r="H673" s="175"/>
      <c r="I673" s="168"/>
      <c r="J673" s="168"/>
    </row>
    <row r="674" spans="1:10" ht="17">
      <c r="A674" s="168"/>
      <c r="B674" s="168"/>
      <c r="C674" s="168"/>
      <c r="G674" s="175"/>
      <c r="H674" s="175"/>
      <c r="I674" s="168"/>
      <c r="J674" s="168"/>
    </row>
    <row r="675" spans="1:10" ht="17">
      <c r="A675" s="168"/>
      <c r="B675" s="168"/>
      <c r="C675" s="168"/>
      <c r="G675" s="175"/>
      <c r="H675" s="175"/>
      <c r="I675" s="168"/>
      <c r="J675" s="168"/>
    </row>
    <row r="676" spans="1:10" ht="17">
      <c r="A676" s="168"/>
      <c r="B676" s="168"/>
      <c r="C676" s="168"/>
      <c r="G676" s="175"/>
      <c r="H676" s="175"/>
      <c r="I676" s="168"/>
      <c r="J676" s="168"/>
    </row>
    <row r="677" spans="1:10" ht="17">
      <c r="A677" s="168"/>
      <c r="B677" s="168"/>
      <c r="C677" s="168"/>
      <c r="G677" s="175"/>
      <c r="H677" s="175"/>
      <c r="I677" s="168"/>
      <c r="J677" s="168"/>
    </row>
    <row r="678" spans="1:10" ht="17">
      <c r="A678" s="168"/>
      <c r="B678" s="168"/>
      <c r="C678" s="168"/>
      <c r="G678" s="175"/>
      <c r="H678" s="175"/>
      <c r="I678" s="168"/>
      <c r="J678" s="168"/>
    </row>
    <row r="679" spans="1:10" ht="17">
      <c r="A679" s="168"/>
      <c r="B679" s="168"/>
      <c r="C679" s="168"/>
      <c r="G679" s="175"/>
      <c r="H679" s="175"/>
      <c r="I679" s="168"/>
      <c r="J679" s="168"/>
    </row>
    <row r="680" spans="1:10" ht="17">
      <c r="A680" s="168"/>
      <c r="B680" s="168"/>
      <c r="C680" s="168"/>
      <c r="G680" s="175"/>
      <c r="H680" s="175"/>
      <c r="I680" s="168"/>
      <c r="J680" s="168"/>
    </row>
    <row r="681" spans="1:10" ht="17">
      <c r="A681" s="168"/>
      <c r="B681" s="168"/>
      <c r="C681" s="168"/>
      <c r="G681" s="175"/>
      <c r="H681" s="175"/>
      <c r="I681" s="168"/>
      <c r="J681" s="168"/>
    </row>
    <row r="682" spans="1:10" ht="17">
      <c r="A682" s="168"/>
      <c r="B682" s="168"/>
      <c r="C682" s="168"/>
      <c r="G682" s="175"/>
      <c r="H682" s="175"/>
      <c r="I682" s="168"/>
      <c r="J682" s="168"/>
    </row>
    <row r="683" spans="1:10" ht="17">
      <c r="A683" s="168"/>
      <c r="B683" s="168"/>
      <c r="C683" s="168"/>
      <c r="G683" s="175"/>
      <c r="H683" s="175"/>
      <c r="I683" s="168"/>
      <c r="J683" s="168"/>
    </row>
    <row r="684" spans="1:10" ht="17">
      <c r="A684" s="168"/>
      <c r="B684" s="168"/>
      <c r="C684" s="168"/>
      <c r="G684" s="175"/>
      <c r="H684" s="175"/>
      <c r="I684" s="168"/>
      <c r="J684" s="168"/>
    </row>
    <row r="685" spans="1:10" ht="17">
      <c r="A685" s="168"/>
      <c r="B685" s="168"/>
      <c r="C685" s="168"/>
      <c r="G685" s="175"/>
      <c r="H685" s="175"/>
      <c r="I685" s="168"/>
      <c r="J685" s="168"/>
    </row>
    <row r="686" spans="1:10" ht="17">
      <c r="A686" s="168"/>
      <c r="B686" s="168"/>
      <c r="C686" s="168"/>
      <c r="G686" s="175"/>
      <c r="H686" s="175"/>
      <c r="I686" s="168"/>
      <c r="J686" s="168"/>
    </row>
    <row r="687" spans="1:10" ht="17">
      <c r="A687" s="168"/>
      <c r="B687" s="168"/>
      <c r="C687" s="168"/>
      <c r="G687" s="175"/>
      <c r="H687" s="175"/>
      <c r="I687" s="168"/>
      <c r="J687" s="168"/>
    </row>
    <row r="688" spans="1:10" ht="17">
      <c r="A688" s="168"/>
      <c r="B688" s="168"/>
      <c r="C688" s="168"/>
      <c r="G688" s="175"/>
      <c r="H688" s="175"/>
      <c r="I688" s="168"/>
      <c r="J688" s="168"/>
    </row>
    <row r="689" spans="1:10" ht="17">
      <c r="A689" s="168"/>
      <c r="B689" s="168"/>
      <c r="C689" s="168"/>
      <c r="G689" s="175"/>
      <c r="H689" s="175"/>
      <c r="I689" s="168"/>
      <c r="J689" s="168"/>
    </row>
    <row r="690" spans="1:10" ht="17">
      <c r="A690" s="168"/>
      <c r="B690" s="168"/>
      <c r="C690" s="168"/>
      <c r="G690" s="175"/>
      <c r="H690" s="175"/>
      <c r="I690" s="168"/>
      <c r="J690" s="168"/>
    </row>
    <row r="691" spans="1:10" ht="17">
      <c r="A691" s="168"/>
      <c r="B691" s="168"/>
      <c r="C691" s="168"/>
      <c r="G691" s="175"/>
      <c r="H691" s="175"/>
      <c r="I691" s="168"/>
      <c r="J691" s="168"/>
    </row>
    <row r="692" spans="1:10" ht="17">
      <c r="A692" s="168"/>
      <c r="B692" s="168"/>
      <c r="C692" s="168"/>
      <c r="G692" s="175"/>
      <c r="H692" s="175"/>
      <c r="I692" s="168"/>
      <c r="J692" s="168"/>
    </row>
    <row r="693" spans="1:10" ht="17">
      <c r="A693" s="168"/>
      <c r="B693" s="168"/>
      <c r="C693" s="168"/>
      <c r="G693" s="175"/>
      <c r="H693" s="175"/>
      <c r="I693" s="168"/>
      <c r="J693" s="168"/>
    </row>
    <row r="694" spans="1:10" ht="17">
      <c r="A694" s="168"/>
      <c r="B694" s="168"/>
      <c r="C694" s="168"/>
      <c r="G694" s="175"/>
      <c r="H694" s="175"/>
      <c r="I694" s="168"/>
      <c r="J694" s="168"/>
    </row>
    <row r="695" spans="1:10" ht="17">
      <c r="A695" s="168"/>
      <c r="B695" s="168"/>
      <c r="C695" s="168"/>
      <c r="G695" s="175"/>
      <c r="H695" s="175"/>
      <c r="I695" s="168"/>
      <c r="J695" s="168"/>
    </row>
    <row r="696" spans="1:10" ht="17">
      <c r="A696" s="168"/>
      <c r="B696" s="168"/>
      <c r="C696" s="168"/>
      <c r="G696" s="175"/>
      <c r="H696" s="175"/>
      <c r="I696" s="168"/>
      <c r="J696" s="168"/>
    </row>
    <row r="697" spans="1:10" ht="17">
      <c r="A697" s="168"/>
      <c r="B697" s="168"/>
      <c r="C697" s="168"/>
      <c r="G697" s="175"/>
      <c r="H697" s="175"/>
      <c r="I697" s="168"/>
      <c r="J697" s="168"/>
    </row>
    <row r="698" spans="1:10" ht="17">
      <c r="A698" s="168"/>
      <c r="B698" s="168"/>
      <c r="C698" s="168"/>
      <c r="G698" s="175"/>
      <c r="H698" s="175"/>
      <c r="I698" s="168"/>
      <c r="J698" s="168"/>
    </row>
    <row r="699" spans="1:10" ht="17">
      <c r="A699" s="168"/>
      <c r="B699" s="168"/>
      <c r="C699" s="168"/>
      <c r="G699" s="175"/>
      <c r="H699" s="175"/>
      <c r="I699" s="168"/>
      <c r="J699" s="168"/>
    </row>
    <row r="700" spans="1:10" ht="17">
      <c r="A700" s="168"/>
      <c r="B700" s="168"/>
      <c r="C700" s="168"/>
      <c r="G700" s="175"/>
      <c r="H700" s="175"/>
      <c r="I700" s="168"/>
      <c r="J700" s="168"/>
    </row>
    <row r="701" spans="1:10" ht="17">
      <c r="A701" s="168"/>
      <c r="B701" s="168"/>
      <c r="C701" s="168"/>
      <c r="G701" s="175"/>
      <c r="H701" s="175"/>
      <c r="I701" s="168"/>
      <c r="J701" s="168"/>
    </row>
    <row r="702" spans="1:10" ht="17">
      <c r="A702" s="168"/>
      <c r="B702" s="168"/>
      <c r="C702" s="168"/>
      <c r="G702" s="175"/>
      <c r="H702" s="175"/>
      <c r="I702" s="168"/>
      <c r="J702" s="168"/>
    </row>
    <row r="703" spans="1:10" ht="17">
      <c r="A703" s="168"/>
      <c r="B703" s="168"/>
      <c r="C703" s="168"/>
      <c r="G703" s="175"/>
      <c r="H703" s="175"/>
      <c r="I703" s="168"/>
      <c r="J703" s="168"/>
    </row>
    <row r="704" spans="1:10" ht="17">
      <c r="A704" s="168"/>
      <c r="B704" s="168"/>
      <c r="C704" s="168"/>
      <c r="G704" s="175"/>
      <c r="H704" s="175"/>
      <c r="I704" s="168"/>
      <c r="J704" s="168"/>
    </row>
    <row r="705" spans="1:10" ht="17">
      <c r="A705" s="168"/>
      <c r="B705" s="168"/>
      <c r="C705" s="168"/>
      <c r="G705" s="175"/>
      <c r="H705" s="175"/>
      <c r="I705" s="168"/>
      <c r="J705" s="168"/>
    </row>
    <row r="706" spans="1:10" ht="17">
      <c r="A706" s="168"/>
      <c r="B706" s="168"/>
      <c r="C706" s="168"/>
      <c r="G706" s="175"/>
      <c r="H706" s="175"/>
      <c r="I706" s="168"/>
      <c r="J706" s="168"/>
    </row>
    <row r="707" spans="1:10" ht="17">
      <c r="A707" s="168"/>
      <c r="B707" s="168"/>
      <c r="C707" s="168"/>
      <c r="G707" s="175"/>
      <c r="H707" s="175"/>
      <c r="I707" s="168"/>
      <c r="J707" s="168"/>
    </row>
    <row r="708" spans="1:10" ht="17">
      <c r="A708" s="168"/>
      <c r="B708" s="168"/>
      <c r="C708" s="168"/>
      <c r="G708" s="175"/>
      <c r="H708" s="175"/>
      <c r="I708" s="168"/>
      <c r="J708" s="168"/>
    </row>
    <row r="709" spans="1:10" ht="17">
      <c r="A709" s="168"/>
      <c r="B709" s="168"/>
      <c r="C709" s="168"/>
      <c r="G709" s="175"/>
      <c r="H709" s="175"/>
      <c r="I709" s="168"/>
      <c r="J709" s="168"/>
    </row>
    <row r="710" spans="1:10" ht="17">
      <c r="A710" s="168"/>
      <c r="B710" s="168"/>
      <c r="C710" s="168"/>
      <c r="G710" s="175"/>
      <c r="H710" s="175"/>
      <c r="I710" s="168"/>
      <c r="J710" s="168"/>
    </row>
    <row r="711" spans="1:10" ht="17">
      <c r="A711" s="168"/>
      <c r="B711" s="168"/>
      <c r="C711" s="168"/>
      <c r="G711" s="175"/>
      <c r="H711" s="175"/>
      <c r="I711" s="168"/>
      <c r="J711" s="168"/>
    </row>
    <row r="712" spans="1:10" ht="17">
      <c r="A712" s="168"/>
      <c r="B712" s="168"/>
      <c r="C712" s="168"/>
      <c r="G712" s="175"/>
      <c r="H712" s="175"/>
      <c r="I712" s="168"/>
      <c r="J712" s="168"/>
    </row>
    <row r="713" spans="1:10" ht="17">
      <c r="A713" s="168"/>
      <c r="B713" s="168"/>
      <c r="C713" s="168"/>
      <c r="G713" s="175"/>
      <c r="H713" s="175"/>
      <c r="I713" s="168"/>
      <c r="J713" s="168"/>
    </row>
    <row r="714" spans="1:10" ht="17">
      <c r="A714" s="168"/>
      <c r="B714" s="168"/>
      <c r="C714" s="168"/>
      <c r="G714" s="175"/>
      <c r="H714" s="175"/>
      <c r="I714" s="168"/>
      <c r="J714" s="168"/>
    </row>
    <row r="715" spans="1:10" ht="17">
      <c r="A715" s="168"/>
      <c r="B715" s="168"/>
      <c r="C715" s="168"/>
      <c r="G715" s="175"/>
      <c r="H715" s="175"/>
      <c r="I715" s="168"/>
      <c r="J715" s="168"/>
    </row>
    <row r="716" spans="1:10" ht="17">
      <c r="A716" s="168"/>
      <c r="B716" s="168"/>
      <c r="C716" s="168"/>
      <c r="G716" s="175"/>
      <c r="H716" s="175"/>
      <c r="I716" s="168"/>
      <c r="J716" s="168"/>
    </row>
    <row r="717" spans="1:10" ht="17">
      <c r="A717" s="168"/>
      <c r="B717" s="168"/>
      <c r="C717" s="168"/>
      <c r="G717" s="175"/>
      <c r="H717" s="175"/>
      <c r="I717" s="168"/>
      <c r="J717" s="168"/>
    </row>
    <row r="718" spans="1:10" ht="17">
      <c r="A718" s="168"/>
      <c r="B718" s="168"/>
      <c r="C718" s="168"/>
      <c r="G718" s="175"/>
      <c r="H718" s="175"/>
      <c r="I718" s="168"/>
      <c r="J718" s="168"/>
    </row>
    <row r="719" spans="1:10" ht="17">
      <c r="A719" s="168"/>
      <c r="B719" s="168"/>
      <c r="C719" s="168"/>
      <c r="G719" s="175"/>
      <c r="H719" s="175"/>
      <c r="I719" s="168"/>
      <c r="J719" s="168"/>
    </row>
    <row r="720" spans="1:10" ht="17">
      <c r="A720" s="168"/>
      <c r="B720" s="168"/>
      <c r="C720" s="168"/>
      <c r="G720" s="175"/>
      <c r="H720" s="175"/>
      <c r="I720" s="168"/>
      <c r="J720" s="168"/>
    </row>
    <row r="721" spans="1:10" ht="17">
      <c r="A721" s="168"/>
      <c r="B721" s="168"/>
      <c r="C721" s="168"/>
      <c r="G721" s="175"/>
      <c r="H721" s="175"/>
      <c r="I721" s="168"/>
      <c r="J721" s="168"/>
    </row>
    <row r="722" spans="1:10" ht="17">
      <c r="A722" s="168"/>
      <c r="B722" s="168"/>
      <c r="C722" s="168"/>
      <c r="G722" s="175"/>
      <c r="H722" s="175"/>
      <c r="I722" s="168"/>
      <c r="J722" s="168"/>
    </row>
    <row r="723" spans="1:10" ht="17">
      <c r="A723" s="168"/>
      <c r="B723" s="168"/>
      <c r="C723" s="168"/>
      <c r="G723" s="175"/>
      <c r="H723" s="175"/>
      <c r="I723" s="168"/>
      <c r="J723" s="168"/>
    </row>
    <row r="724" spans="1:10" ht="17">
      <c r="A724" s="168"/>
      <c r="B724" s="168"/>
      <c r="C724" s="168"/>
      <c r="G724" s="175"/>
      <c r="H724" s="175"/>
      <c r="I724" s="168"/>
      <c r="J724" s="168"/>
    </row>
    <row r="725" spans="1:10" ht="17">
      <c r="A725" s="168"/>
      <c r="B725" s="168"/>
      <c r="C725" s="168"/>
      <c r="G725" s="175"/>
      <c r="H725" s="175"/>
      <c r="I725" s="168"/>
      <c r="J725" s="168"/>
    </row>
    <row r="726" spans="1:10" ht="17">
      <c r="A726" s="168"/>
      <c r="B726" s="168"/>
      <c r="C726" s="168"/>
      <c r="G726" s="175"/>
      <c r="H726" s="175"/>
      <c r="I726" s="168"/>
      <c r="J726" s="168"/>
    </row>
    <row r="727" spans="1:10" ht="17">
      <c r="A727" s="168"/>
      <c r="B727" s="168"/>
      <c r="C727" s="168"/>
      <c r="G727" s="175"/>
      <c r="H727" s="175"/>
      <c r="I727" s="168"/>
      <c r="J727" s="168"/>
    </row>
    <row r="728" spans="1:10" ht="17">
      <c r="A728" s="168"/>
      <c r="B728" s="168"/>
      <c r="C728" s="168"/>
      <c r="G728" s="175"/>
      <c r="H728" s="175"/>
      <c r="I728" s="168"/>
      <c r="J728" s="168"/>
    </row>
    <row r="729" spans="1:10" ht="17">
      <c r="A729" s="168"/>
      <c r="B729" s="168"/>
      <c r="C729" s="168"/>
      <c r="G729" s="175"/>
      <c r="H729" s="175"/>
      <c r="I729" s="168"/>
      <c r="J729" s="168"/>
    </row>
    <row r="730" spans="1:10" ht="17">
      <c r="A730" s="168"/>
      <c r="B730" s="168"/>
      <c r="C730" s="168"/>
      <c r="G730" s="175"/>
      <c r="H730" s="175"/>
      <c r="I730" s="168"/>
      <c r="J730" s="168"/>
    </row>
    <row r="731" spans="1:10" ht="17">
      <c r="A731" s="168"/>
      <c r="B731" s="168"/>
      <c r="C731" s="168"/>
      <c r="G731" s="175"/>
      <c r="H731" s="175"/>
      <c r="I731" s="168"/>
      <c r="J731" s="168"/>
    </row>
    <row r="732" spans="1:10" ht="17">
      <c r="A732" s="168"/>
      <c r="B732" s="168"/>
      <c r="C732" s="168"/>
      <c r="G732" s="175"/>
      <c r="H732" s="175"/>
      <c r="I732" s="168"/>
      <c r="J732" s="168"/>
    </row>
    <row r="733" spans="1:10" ht="17">
      <c r="A733" s="168"/>
      <c r="B733" s="168"/>
      <c r="C733" s="168"/>
      <c r="G733" s="175"/>
      <c r="H733" s="175"/>
      <c r="I733" s="168"/>
      <c r="J733" s="168"/>
    </row>
    <row r="734" spans="1:10" ht="17">
      <c r="A734" s="168"/>
      <c r="B734" s="168"/>
      <c r="C734" s="168"/>
      <c r="G734" s="175"/>
      <c r="H734" s="175"/>
      <c r="I734" s="168"/>
      <c r="J734" s="168"/>
    </row>
    <row r="735" spans="1:10" ht="17">
      <c r="A735" s="168"/>
      <c r="B735" s="168"/>
      <c r="C735" s="168"/>
      <c r="G735" s="175"/>
      <c r="H735" s="175"/>
      <c r="I735" s="168"/>
      <c r="J735" s="168"/>
    </row>
    <row r="736" spans="1:10" ht="17">
      <c r="A736" s="168"/>
      <c r="B736" s="168"/>
      <c r="C736" s="168"/>
      <c r="G736" s="175"/>
      <c r="H736" s="175"/>
      <c r="I736" s="168"/>
      <c r="J736" s="168"/>
    </row>
    <row r="737" spans="1:10" ht="17">
      <c r="A737" s="168"/>
      <c r="B737" s="168"/>
      <c r="C737" s="168"/>
      <c r="G737" s="175"/>
      <c r="H737" s="175"/>
      <c r="I737" s="168"/>
      <c r="J737" s="168"/>
    </row>
    <row r="738" spans="1:10" ht="17">
      <c r="A738" s="168"/>
      <c r="B738" s="168"/>
      <c r="C738" s="168"/>
      <c r="G738" s="175"/>
      <c r="H738" s="175"/>
      <c r="I738" s="168"/>
      <c r="J738" s="168"/>
    </row>
    <row r="739" spans="1:10" ht="17">
      <c r="A739" s="168"/>
      <c r="B739" s="168"/>
      <c r="C739" s="168"/>
      <c r="G739" s="175"/>
      <c r="H739" s="175"/>
      <c r="I739" s="168"/>
      <c r="J739" s="168"/>
    </row>
    <row r="740" spans="1:10" ht="17">
      <c r="A740" s="168"/>
      <c r="B740" s="168"/>
      <c r="C740" s="168"/>
      <c r="G740" s="175"/>
      <c r="H740" s="175"/>
      <c r="I740" s="168"/>
      <c r="J740" s="168"/>
    </row>
    <row r="741" spans="1:10" ht="17">
      <c r="A741" s="168"/>
      <c r="B741" s="168"/>
      <c r="C741" s="168"/>
      <c r="G741" s="175"/>
      <c r="H741" s="175"/>
      <c r="I741" s="168"/>
      <c r="J741" s="168"/>
    </row>
    <row r="742" spans="1:10" ht="17">
      <c r="A742" s="168"/>
      <c r="B742" s="168"/>
      <c r="C742" s="168"/>
      <c r="G742" s="175"/>
      <c r="H742" s="175"/>
      <c r="I742" s="168"/>
      <c r="J742" s="168"/>
    </row>
    <row r="743" spans="1:10" ht="17">
      <c r="A743" s="168"/>
      <c r="B743" s="168"/>
      <c r="C743" s="168"/>
      <c r="G743" s="175"/>
      <c r="H743" s="175"/>
      <c r="I743" s="168"/>
      <c r="J743" s="168"/>
    </row>
    <row r="744" spans="1:10" ht="17">
      <c r="A744" s="168"/>
      <c r="B744" s="168"/>
      <c r="C744" s="168"/>
      <c r="G744" s="175"/>
      <c r="H744" s="175"/>
      <c r="I744" s="168"/>
      <c r="J744" s="168"/>
    </row>
    <row r="745" spans="1:10" ht="17">
      <c r="A745" s="168"/>
      <c r="B745" s="168"/>
      <c r="C745" s="168"/>
      <c r="G745" s="175"/>
      <c r="H745" s="175"/>
      <c r="I745" s="168"/>
      <c r="J745" s="168"/>
    </row>
    <row r="746" spans="1:10" ht="17">
      <c r="A746" s="168"/>
      <c r="B746" s="168"/>
      <c r="C746" s="168"/>
      <c r="G746" s="175"/>
      <c r="H746" s="175"/>
      <c r="I746" s="168"/>
      <c r="J746" s="168"/>
    </row>
    <row r="747" spans="1:10" ht="17">
      <c r="A747" s="168"/>
      <c r="B747" s="168"/>
      <c r="C747" s="168"/>
      <c r="G747" s="175"/>
      <c r="H747" s="175"/>
      <c r="I747" s="168"/>
      <c r="J747" s="168"/>
    </row>
    <row r="748" spans="1:10" ht="17">
      <c r="A748" s="168"/>
      <c r="B748" s="168"/>
      <c r="C748" s="168"/>
      <c r="G748" s="175"/>
      <c r="H748" s="175"/>
      <c r="I748" s="168"/>
      <c r="J748" s="168"/>
    </row>
    <row r="749" spans="1:10" ht="17">
      <c r="A749" s="168"/>
      <c r="B749" s="168"/>
      <c r="C749" s="168"/>
      <c r="G749" s="175"/>
      <c r="H749" s="175"/>
      <c r="I749" s="168"/>
      <c r="J749" s="168"/>
    </row>
    <row r="750" spans="1:10" ht="17">
      <c r="A750" s="168"/>
      <c r="B750" s="168"/>
      <c r="C750" s="168"/>
      <c r="G750" s="175"/>
      <c r="H750" s="175"/>
      <c r="I750" s="168"/>
      <c r="J750" s="168"/>
    </row>
    <row r="751" spans="1:10" ht="17">
      <c r="A751" s="168"/>
      <c r="B751" s="168"/>
      <c r="C751" s="168"/>
      <c r="G751" s="175"/>
      <c r="H751" s="175"/>
      <c r="I751" s="168"/>
      <c r="J751" s="168"/>
    </row>
    <row r="752" spans="1:10" ht="17">
      <c r="A752" s="168"/>
      <c r="B752" s="168"/>
      <c r="C752" s="168"/>
      <c r="G752" s="175"/>
      <c r="H752" s="175"/>
      <c r="I752" s="168"/>
      <c r="J752" s="168"/>
    </row>
    <row r="753" spans="1:10" ht="17">
      <c r="A753" s="168"/>
      <c r="B753" s="168"/>
      <c r="C753" s="168"/>
      <c r="G753" s="175"/>
      <c r="H753" s="175"/>
      <c r="I753" s="168"/>
      <c r="J753" s="168"/>
    </row>
    <row r="754" spans="1:10" ht="17">
      <c r="A754" s="168"/>
      <c r="B754" s="168"/>
      <c r="C754" s="168"/>
      <c r="G754" s="175"/>
      <c r="H754" s="175"/>
      <c r="I754" s="168"/>
      <c r="J754" s="168"/>
    </row>
    <row r="755" spans="1:10" ht="17">
      <c r="A755" s="168"/>
      <c r="B755" s="168"/>
      <c r="C755" s="168"/>
      <c r="G755" s="175"/>
      <c r="H755" s="175"/>
      <c r="I755" s="168"/>
      <c r="J755" s="168"/>
    </row>
    <row r="756" spans="1:10" ht="17">
      <c r="A756" s="168"/>
      <c r="B756" s="168"/>
      <c r="C756" s="168"/>
      <c r="G756" s="175"/>
      <c r="H756" s="175"/>
      <c r="I756" s="168"/>
      <c r="J756" s="168"/>
    </row>
    <row r="757" spans="1:10" ht="17">
      <c r="A757" s="168"/>
      <c r="B757" s="168"/>
      <c r="C757" s="168"/>
      <c r="G757" s="175"/>
      <c r="H757" s="175"/>
      <c r="I757" s="168"/>
      <c r="J757" s="168"/>
    </row>
    <row r="758" spans="1:10" ht="17">
      <c r="A758" s="168"/>
      <c r="B758" s="168"/>
      <c r="C758" s="168"/>
      <c r="G758" s="175"/>
      <c r="H758" s="175"/>
      <c r="I758" s="168"/>
      <c r="J758" s="168"/>
    </row>
    <row r="759" spans="1:10" ht="17">
      <c r="A759" s="168"/>
      <c r="B759" s="168"/>
      <c r="C759" s="168"/>
      <c r="G759" s="175"/>
      <c r="H759" s="175"/>
      <c r="I759" s="168"/>
      <c r="J759" s="168"/>
    </row>
    <row r="760" spans="1:10" ht="17">
      <c r="A760" s="168"/>
      <c r="B760" s="168"/>
      <c r="C760" s="168"/>
      <c r="G760" s="175"/>
      <c r="H760" s="175"/>
      <c r="I760" s="168"/>
      <c r="J760" s="168"/>
    </row>
    <row r="761" spans="1:10" ht="17">
      <c r="A761" s="168"/>
      <c r="B761" s="168"/>
      <c r="C761" s="168"/>
      <c r="G761" s="175"/>
      <c r="H761" s="175"/>
      <c r="I761" s="168"/>
      <c r="J761" s="168"/>
    </row>
    <row r="762" spans="1:10" ht="17">
      <c r="A762" s="168"/>
      <c r="B762" s="168"/>
      <c r="C762" s="168"/>
      <c r="G762" s="175"/>
      <c r="H762" s="175"/>
      <c r="I762" s="168"/>
      <c r="J762" s="168"/>
    </row>
    <row r="763" spans="1:10" ht="17">
      <c r="A763" s="168"/>
      <c r="B763" s="168"/>
      <c r="C763" s="168"/>
      <c r="G763" s="175"/>
      <c r="H763" s="175"/>
      <c r="I763" s="168"/>
      <c r="J763" s="168"/>
    </row>
    <row r="764" spans="1:10" ht="17">
      <c r="A764" s="168"/>
      <c r="B764" s="168"/>
      <c r="C764" s="168"/>
      <c r="G764" s="175"/>
      <c r="H764" s="175"/>
      <c r="I764" s="168"/>
      <c r="J764" s="168"/>
    </row>
    <row r="765" spans="1:10" ht="17">
      <c r="A765" s="168"/>
      <c r="B765" s="168"/>
      <c r="C765" s="168"/>
      <c r="G765" s="175"/>
      <c r="H765" s="175"/>
      <c r="I765" s="168"/>
      <c r="J765" s="168"/>
    </row>
    <row r="766" spans="1:10" ht="17">
      <c r="A766" s="168"/>
      <c r="B766" s="168"/>
      <c r="C766" s="168"/>
      <c r="G766" s="175"/>
      <c r="H766" s="175"/>
      <c r="I766" s="168"/>
      <c r="J766" s="168"/>
    </row>
    <row r="767" spans="1:10" ht="17">
      <c r="A767" s="168"/>
      <c r="B767" s="168"/>
      <c r="C767" s="168"/>
      <c r="G767" s="175"/>
      <c r="H767" s="175"/>
      <c r="I767" s="168"/>
      <c r="J767" s="168"/>
    </row>
    <row r="768" spans="1:10" ht="17">
      <c r="A768" s="168"/>
      <c r="B768" s="168"/>
      <c r="C768" s="168"/>
      <c r="G768" s="175"/>
      <c r="H768" s="175"/>
      <c r="I768" s="168"/>
      <c r="J768" s="168"/>
    </row>
    <row r="769" spans="1:10" ht="17">
      <c r="A769" s="168"/>
      <c r="B769" s="168"/>
      <c r="C769" s="168"/>
      <c r="G769" s="175"/>
      <c r="H769" s="175"/>
      <c r="I769" s="168"/>
      <c r="J769" s="168"/>
    </row>
    <row r="770" spans="1:10" ht="17">
      <c r="A770" s="168"/>
      <c r="B770" s="168"/>
      <c r="C770" s="168"/>
      <c r="G770" s="175"/>
      <c r="H770" s="175"/>
      <c r="I770" s="168"/>
      <c r="J770" s="168"/>
    </row>
    <row r="771" spans="1:10" ht="17">
      <c r="A771" s="168"/>
      <c r="B771" s="168"/>
      <c r="C771" s="168"/>
      <c r="G771" s="175"/>
      <c r="H771" s="175"/>
      <c r="I771" s="168"/>
      <c r="J771" s="168"/>
    </row>
    <row r="772" spans="1:10" ht="17">
      <c r="A772" s="168"/>
      <c r="B772" s="168"/>
      <c r="C772" s="168"/>
      <c r="G772" s="175"/>
      <c r="H772" s="175"/>
      <c r="I772" s="168"/>
      <c r="J772" s="168"/>
    </row>
    <row r="773" spans="1:10" ht="17">
      <c r="A773" s="168"/>
      <c r="B773" s="168"/>
      <c r="C773" s="168"/>
      <c r="G773" s="175"/>
      <c r="H773" s="175"/>
      <c r="I773" s="168"/>
      <c r="J773" s="168"/>
    </row>
    <row r="774" spans="1:10" ht="17">
      <c r="A774" s="168"/>
      <c r="B774" s="168"/>
      <c r="C774" s="168"/>
      <c r="G774" s="175"/>
      <c r="H774" s="175"/>
      <c r="I774" s="168"/>
      <c r="J774" s="168"/>
    </row>
    <row r="775" spans="1:10" ht="17">
      <c r="A775" s="168"/>
      <c r="B775" s="168"/>
      <c r="C775" s="168"/>
      <c r="G775" s="175"/>
      <c r="H775" s="175"/>
      <c r="I775" s="168"/>
      <c r="J775" s="168"/>
    </row>
    <row r="776" spans="1:10" ht="17">
      <c r="A776" s="168"/>
      <c r="B776" s="168"/>
      <c r="C776" s="168"/>
      <c r="G776" s="175"/>
      <c r="H776" s="175"/>
      <c r="I776" s="168"/>
      <c r="J776" s="168"/>
    </row>
    <row r="777" spans="1:10" ht="17">
      <c r="A777" s="168"/>
      <c r="B777" s="168"/>
      <c r="C777" s="168"/>
      <c r="G777" s="175"/>
      <c r="H777" s="175"/>
      <c r="I777" s="168"/>
      <c r="J777" s="168"/>
    </row>
    <row r="778" spans="1:10" ht="17">
      <c r="A778" s="168"/>
      <c r="B778" s="168"/>
      <c r="C778" s="168"/>
      <c r="G778" s="175"/>
      <c r="H778" s="175"/>
      <c r="I778" s="168"/>
      <c r="J778" s="168"/>
    </row>
    <row r="779" spans="1:10" ht="17">
      <c r="A779" s="168"/>
      <c r="B779" s="168"/>
      <c r="C779" s="168"/>
      <c r="G779" s="175"/>
      <c r="H779" s="175"/>
      <c r="I779" s="168"/>
      <c r="J779" s="168"/>
    </row>
    <row r="780" spans="1:10" ht="17">
      <c r="A780" s="168"/>
      <c r="B780" s="168"/>
      <c r="C780" s="168"/>
      <c r="G780" s="175"/>
      <c r="H780" s="175"/>
      <c r="I780" s="168"/>
      <c r="J780" s="168"/>
    </row>
    <row r="781" spans="1:10" ht="17">
      <c r="A781" s="168"/>
      <c r="B781" s="168"/>
      <c r="C781" s="168"/>
      <c r="G781" s="175"/>
      <c r="H781" s="175"/>
      <c r="I781" s="168"/>
      <c r="J781" s="168"/>
    </row>
    <row r="782" spans="1:10" ht="17">
      <c r="A782" s="168"/>
      <c r="B782" s="168"/>
      <c r="C782" s="168"/>
      <c r="G782" s="175"/>
      <c r="H782" s="175"/>
      <c r="I782" s="168"/>
      <c r="J782" s="168"/>
    </row>
    <row r="783" spans="1:10" ht="17">
      <c r="A783" s="168"/>
      <c r="B783" s="168"/>
      <c r="C783" s="168"/>
      <c r="G783" s="175"/>
      <c r="H783" s="175"/>
      <c r="I783" s="168"/>
      <c r="J783" s="168"/>
    </row>
    <row r="784" spans="1:10" ht="17">
      <c r="A784" s="168"/>
      <c r="B784" s="168"/>
      <c r="C784" s="168"/>
      <c r="G784" s="175"/>
      <c r="H784" s="175"/>
      <c r="I784" s="168"/>
      <c r="J784" s="168"/>
    </row>
    <row r="785" spans="1:10" ht="17">
      <c r="A785" s="168"/>
      <c r="B785" s="168"/>
      <c r="C785" s="168"/>
      <c r="G785" s="175"/>
      <c r="H785" s="175"/>
      <c r="I785" s="168"/>
      <c r="J785" s="168"/>
    </row>
    <row r="786" spans="1:10" ht="17">
      <c r="A786" s="168"/>
      <c r="B786" s="168"/>
      <c r="C786" s="168"/>
      <c r="G786" s="175"/>
      <c r="H786" s="175"/>
      <c r="I786" s="168"/>
      <c r="J786" s="168"/>
    </row>
    <row r="787" spans="1:10" ht="17">
      <c r="A787" s="168"/>
      <c r="B787" s="168"/>
      <c r="C787" s="168"/>
      <c r="G787" s="175"/>
      <c r="H787" s="175"/>
      <c r="I787" s="168"/>
      <c r="J787" s="168"/>
    </row>
    <row r="788" spans="1:10" ht="17">
      <c r="A788" s="168"/>
      <c r="B788" s="168"/>
      <c r="C788" s="168"/>
      <c r="G788" s="175"/>
      <c r="H788" s="175"/>
      <c r="I788" s="168"/>
      <c r="J788" s="168"/>
    </row>
    <row r="789" spans="1:10" ht="17">
      <c r="A789" s="168"/>
      <c r="B789" s="168"/>
      <c r="C789" s="168"/>
      <c r="G789" s="175"/>
      <c r="H789" s="175"/>
      <c r="I789" s="168"/>
      <c r="J789" s="168"/>
    </row>
    <row r="790" spans="1:10" ht="17">
      <c r="A790" s="168"/>
      <c r="B790" s="168"/>
      <c r="C790" s="168"/>
      <c r="G790" s="175"/>
      <c r="H790" s="175"/>
      <c r="I790" s="168"/>
      <c r="J790" s="168"/>
    </row>
    <row r="791" spans="1:10" ht="17">
      <c r="A791" s="168"/>
      <c r="B791" s="168"/>
      <c r="C791" s="168"/>
      <c r="G791" s="175"/>
      <c r="H791" s="175"/>
      <c r="I791" s="168"/>
      <c r="J791" s="168"/>
    </row>
    <row r="792" spans="1:10" ht="17">
      <c r="A792" s="168"/>
      <c r="B792" s="168"/>
      <c r="C792" s="168"/>
      <c r="G792" s="175"/>
      <c r="H792" s="175"/>
      <c r="I792" s="168"/>
      <c r="J792" s="168"/>
    </row>
    <row r="793" spans="1:10" ht="17">
      <c r="A793" s="168"/>
      <c r="B793" s="168"/>
      <c r="C793" s="168"/>
      <c r="G793" s="175"/>
      <c r="H793" s="175"/>
      <c r="I793" s="168"/>
      <c r="J793" s="168"/>
    </row>
    <row r="794" spans="1:10" ht="17">
      <c r="A794" s="168"/>
      <c r="B794" s="168"/>
      <c r="C794" s="168"/>
      <c r="G794" s="175"/>
      <c r="H794" s="175"/>
      <c r="I794" s="168"/>
      <c r="J794" s="168"/>
    </row>
    <row r="795" spans="1:10" ht="17">
      <c r="A795" s="168"/>
      <c r="B795" s="168"/>
      <c r="C795" s="168"/>
      <c r="G795" s="175"/>
      <c r="H795" s="175"/>
      <c r="I795" s="168"/>
      <c r="J795" s="168"/>
    </row>
    <row r="796" spans="1:10" ht="17">
      <c r="A796" s="168"/>
      <c r="B796" s="168"/>
      <c r="C796" s="168"/>
      <c r="G796" s="175"/>
      <c r="H796" s="175"/>
      <c r="I796" s="168"/>
      <c r="J796" s="168"/>
    </row>
    <row r="797" spans="1:10" ht="17">
      <c r="A797" s="168"/>
      <c r="B797" s="168"/>
      <c r="C797" s="168"/>
      <c r="G797" s="175"/>
      <c r="H797" s="175"/>
      <c r="I797" s="168"/>
      <c r="J797" s="168"/>
    </row>
    <row r="798" spans="1:10" ht="17">
      <c r="A798" s="168"/>
      <c r="B798" s="168"/>
      <c r="C798" s="168"/>
      <c r="G798" s="175"/>
      <c r="H798" s="175"/>
      <c r="I798" s="168"/>
      <c r="J798" s="168"/>
    </row>
    <row r="799" spans="1:10" ht="17">
      <c r="A799" s="168"/>
      <c r="B799" s="168"/>
      <c r="C799" s="168"/>
      <c r="G799" s="175"/>
      <c r="H799" s="175"/>
      <c r="I799" s="168"/>
      <c r="J799" s="168"/>
    </row>
    <row r="800" spans="1:10" ht="17">
      <c r="A800" s="168"/>
      <c r="B800" s="168"/>
      <c r="C800" s="168"/>
      <c r="G800" s="175"/>
      <c r="H800" s="175"/>
      <c r="I800" s="168"/>
      <c r="J800" s="168"/>
    </row>
    <row r="801" spans="1:10" ht="17">
      <c r="A801" s="168"/>
      <c r="B801" s="168"/>
      <c r="C801" s="168"/>
      <c r="G801" s="175"/>
      <c r="H801" s="175"/>
      <c r="I801" s="168"/>
      <c r="J801" s="168"/>
    </row>
    <row r="802" spans="1:10" ht="17">
      <c r="A802" s="168"/>
      <c r="B802" s="168"/>
      <c r="C802" s="168"/>
      <c r="G802" s="175"/>
      <c r="H802" s="175"/>
      <c r="I802" s="168"/>
      <c r="J802" s="168"/>
    </row>
    <row r="803" spans="1:10" ht="17">
      <c r="A803" s="168"/>
      <c r="B803" s="168"/>
      <c r="C803" s="168"/>
      <c r="G803" s="175"/>
      <c r="H803" s="175"/>
      <c r="I803" s="168"/>
      <c r="J803" s="168"/>
    </row>
    <row r="804" spans="1:10" ht="17">
      <c r="A804" s="168"/>
      <c r="B804" s="168"/>
      <c r="C804" s="168"/>
      <c r="G804" s="175"/>
      <c r="H804" s="175"/>
      <c r="I804" s="168"/>
      <c r="J804" s="168"/>
    </row>
    <row r="805" spans="1:10" ht="17">
      <c r="A805" s="168"/>
      <c r="B805" s="168"/>
      <c r="C805" s="168"/>
      <c r="G805" s="175"/>
      <c r="H805" s="175"/>
      <c r="I805" s="168"/>
      <c r="J805" s="168"/>
    </row>
    <row r="806" spans="1:10" ht="17">
      <c r="A806" s="168"/>
      <c r="B806" s="168"/>
      <c r="C806" s="168"/>
      <c r="G806" s="175"/>
      <c r="H806" s="175"/>
      <c r="I806" s="168"/>
      <c r="J806" s="168"/>
    </row>
    <row r="807" spans="1:10" ht="17">
      <c r="A807" s="168"/>
      <c r="B807" s="168"/>
      <c r="C807" s="168"/>
      <c r="G807" s="175"/>
      <c r="H807" s="175"/>
      <c r="I807" s="168"/>
      <c r="J807" s="168"/>
    </row>
    <row r="808" spans="1:10" ht="17">
      <c r="A808" s="168"/>
      <c r="B808" s="168"/>
      <c r="C808" s="168"/>
      <c r="G808" s="175"/>
      <c r="H808" s="175"/>
      <c r="I808" s="168"/>
      <c r="J808" s="168"/>
    </row>
    <row r="809" spans="1:10" ht="17">
      <c r="A809" s="168"/>
      <c r="B809" s="168"/>
      <c r="C809" s="168"/>
      <c r="G809" s="175"/>
      <c r="H809" s="175"/>
      <c r="I809" s="168"/>
      <c r="J809" s="168"/>
    </row>
    <row r="810" spans="1:10" ht="17">
      <c r="A810" s="168"/>
      <c r="B810" s="168"/>
      <c r="C810" s="168"/>
      <c r="G810" s="175"/>
      <c r="H810" s="175"/>
      <c r="I810" s="168"/>
      <c r="J810" s="168"/>
    </row>
    <row r="811" spans="1:10" ht="17">
      <c r="A811" s="168"/>
      <c r="B811" s="168"/>
      <c r="C811" s="168"/>
      <c r="G811" s="175"/>
      <c r="H811" s="175"/>
      <c r="I811" s="168"/>
      <c r="J811" s="168"/>
    </row>
    <row r="812" spans="1:10" ht="17">
      <c r="A812" s="168"/>
      <c r="B812" s="168"/>
      <c r="C812" s="168"/>
      <c r="G812" s="175"/>
      <c r="H812" s="175"/>
      <c r="I812" s="168"/>
      <c r="J812" s="168"/>
    </row>
    <row r="813" spans="1:10" ht="17">
      <c r="A813" s="168"/>
      <c r="B813" s="168"/>
      <c r="C813" s="168"/>
      <c r="G813" s="175"/>
      <c r="H813" s="175"/>
      <c r="I813" s="168"/>
      <c r="J813" s="168"/>
    </row>
    <row r="814" spans="1:10" ht="17">
      <c r="A814" s="168"/>
      <c r="B814" s="168"/>
      <c r="C814" s="168"/>
      <c r="G814" s="175"/>
      <c r="H814" s="175"/>
      <c r="I814" s="168"/>
      <c r="J814" s="168"/>
    </row>
    <row r="815" spans="1:10" ht="17">
      <c r="A815" s="168"/>
      <c r="B815" s="168"/>
      <c r="C815" s="168"/>
      <c r="G815" s="175"/>
      <c r="H815" s="175"/>
      <c r="I815" s="168"/>
      <c r="J815" s="168"/>
    </row>
    <row r="816" spans="1:10" ht="17">
      <c r="A816" s="168"/>
      <c r="B816" s="168"/>
      <c r="C816" s="168"/>
      <c r="G816" s="175"/>
      <c r="H816" s="175"/>
      <c r="I816" s="168"/>
      <c r="J816" s="168"/>
    </row>
    <row r="817" spans="1:10" ht="17">
      <c r="A817" s="168"/>
      <c r="B817" s="168"/>
      <c r="C817" s="168"/>
      <c r="G817" s="175"/>
      <c r="H817" s="175"/>
      <c r="I817" s="168"/>
      <c r="J817" s="168"/>
    </row>
    <row r="818" spans="1:10" ht="17">
      <c r="A818" s="168"/>
      <c r="B818" s="168"/>
      <c r="C818" s="168"/>
      <c r="G818" s="175"/>
      <c r="H818" s="175"/>
      <c r="I818" s="168"/>
      <c r="J818" s="168"/>
    </row>
    <row r="819" spans="1:10" ht="17">
      <c r="A819" s="168"/>
      <c r="B819" s="168"/>
      <c r="C819" s="168"/>
      <c r="G819" s="175"/>
      <c r="H819" s="175"/>
      <c r="I819" s="168"/>
      <c r="J819" s="168"/>
    </row>
    <row r="820" spans="1:10" ht="17">
      <c r="A820" s="168"/>
      <c r="B820" s="168"/>
      <c r="C820" s="168"/>
      <c r="G820" s="175"/>
      <c r="H820" s="175"/>
      <c r="I820" s="168"/>
      <c r="J820" s="168"/>
    </row>
    <row r="821" spans="1:10" ht="17">
      <c r="A821" s="168"/>
      <c r="B821" s="168"/>
      <c r="C821" s="168"/>
      <c r="G821" s="175"/>
      <c r="H821" s="175"/>
      <c r="I821" s="168"/>
      <c r="J821" s="168"/>
    </row>
    <row r="822" spans="1:10" ht="17">
      <c r="A822" s="168"/>
      <c r="B822" s="168"/>
      <c r="C822" s="168"/>
      <c r="G822" s="175"/>
      <c r="H822" s="175"/>
      <c r="I822" s="168"/>
      <c r="J822" s="168"/>
    </row>
    <row r="823" spans="1:10" ht="17">
      <c r="A823" s="168"/>
      <c r="B823" s="168"/>
      <c r="C823" s="168"/>
      <c r="G823" s="175"/>
      <c r="H823" s="175"/>
      <c r="I823" s="168"/>
      <c r="J823" s="168"/>
    </row>
    <row r="824" spans="1:10" ht="17">
      <c r="A824" s="168"/>
      <c r="B824" s="168"/>
      <c r="C824" s="168"/>
      <c r="G824" s="175"/>
      <c r="H824" s="175"/>
      <c r="I824" s="168"/>
      <c r="J824" s="168"/>
    </row>
    <row r="825" spans="1:10" ht="17">
      <c r="A825" s="168"/>
      <c r="B825" s="168"/>
      <c r="C825" s="168"/>
      <c r="G825" s="175"/>
      <c r="H825" s="175"/>
      <c r="I825" s="168"/>
      <c r="J825" s="168"/>
    </row>
    <row r="826" spans="1:10" ht="17">
      <c r="A826" s="168"/>
      <c r="B826" s="168"/>
      <c r="C826" s="168"/>
      <c r="G826" s="175"/>
      <c r="H826" s="175"/>
      <c r="I826" s="168"/>
      <c r="J826" s="168"/>
    </row>
    <row r="827" spans="1:10" ht="17">
      <c r="A827" s="168"/>
      <c r="B827" s="168"/>
      <c r="C827" s="168"/>
      <c r="G827" s="175"/>
      <c r="H827" s="175"/>
      <c r="I827" s="168"/>
      <c r="J827" s="168"/>
    </row>
    <row r="828" spans="1:10" ht="17">
      <c r="A828" s="168"/>
      <c r="B828" s="168"/>
      <c r="C828" s="168"/>
      <c r="G828" s="175"/>
      <c r="H828" s="175"/>
      <c r="I828" s="168"/>
      <c r="J828" s="168"/>
    </row>
    <row r="829" spans="1:10" ht="17">
      <c r="A829" s="168"/>
      <c r="B829" s="168"/>
      <c r="C829" s="168"/>
      <c r="G829" s="175"/>
      <c r="H829" s="175"/>
      <c r="I829" s="168"/>
      <c r="J829" s="168"/>
    </row>
    <row r="830" spans="1:10" ht="17">
      <c r="A830" s="168"/>
      <c r="B830" s="168"/>
      <c r="C830" s="168"/>
      <c r="G830" s="175"/>
      <c r="H830" s="175"/>
      <c r="I830" s="168"/>
      <c r="J830" s="168"/>
    </row>
    <row r="831" spans="1:10" ht="17">
      <c r="A831" s="168"/>
      <c r="B831" s="168"/>
      <c r="C831" s="168"/>
      <c r="G831" s="175"/>
      <c r="H831" s="175"/>
      <c r="I831" s="168"/>
      <c r="J831" s="168"/>
    </row>
    <row r="832" spans="1:10" ht="17">
      <c r="A832" s="168"/>
      <c r="B832" s="168"/>
      <c r="C832" s="168"/>
      <c r="G832" s="175"/>
      <c r="H832" s="175"/>
      <c r="I832" s="168"/>
      <c r="J832" s="168"/>
    </row>
    <row r="833" spans="1:10" ht="17">
      <c r="A833" s="168"/>
      <c r="B833" s="168"/>
      <c r="C833" s="168"/>
      <c r="G833" s="175"/>
      <c r="H833" s="175"/>
      <c r="I833" s="168"/>
      <c r="J833" s="168"/>
    </row>
    <row r="834" spans="1:10" ht="17">
      <c r="A834" s="168"/>
      <c r="B834" s="168"/>
      <c r="C834" s="168"/>
      <c r="G834" s="175"/>
      <c r="H834" s="175"/>
      <c r="I834" s="168"/>
      <c r="J834" s="168"/>
    </row>
    <row r="835" spans="1:10" ht="17">
      <c r="A835" s="168"/>
      <c r="B835" s="168"/>
      <c r="C835" s="168"/>
      <c r="G835" s="175"/>
      <c r="H835" s="175"/>
      <c r="I835" s="168"/>
      <c r="J835" s="168"/>
    </row>
    <row r="836" spans="1:10" ht="17">
      <c r="A836" s="168"/>
      <c r="B836" s="168"/>
      <c r="C836" s="168"/>
      <c r="G836" s="175"/>
      <c r="H836" s="175"/>
      <c r="I836" s="168"/>
      <c r="J836" s="168"/>
    </row>
    <row r="837" spans="1:10" ht="17">
      <c r="A837" s="168"/>
      <c r="B837" s="168"/>
      <c r="C837" s="168"/>
      <c r="G837" s="175"/>
      <c r="H837" s="175"/>
      <c r="I837" s="168"/>
      <c r="J837" s="168"/>
    </row>
    <row r="838" spans="1:10" ht="17">
      <c r="A838" s="168"/>
      <c r="B838" s="168"/>
      <c r="C838" s="168"/>
      <c r="G838" s="175"/>
      <c r="H838" s="175"/>
      <c r="I838" s="168"/>
      <c r="J838" s="168"/>
    </row>
    <row r="839" spans="1:10" ht="17">
      <c r="A839" s="168"/>
      <c r="B839" s="168"/>
      <c r="C839" s="168"/>
      <c r="G839" s="175"/>
      <c r="H839" s="175"/>
      <c r="I839" s="168"/>
      <c r="J839" s="168"/>
    </row>
    <row r="840" spans="1:10" ht="17">
      <c r="A840" s="168"/>
      <c r="B840" s="168"/>
      <c r="C840" s="168"/>
      <c r="G840" s="175"/>
      <c r="H840" s="175"/>
      <c r="I840" s="168"/>
      <c r="J840" s="168"/>
    </row>
    <row r="841" spans="1:10" ht="17">
      <c r="A841" s="168"/>
      <c r="B841" s="168"/>
      <c r="C841" s="168"/>
      <c r="G841" s="175"/>
      <c r="H841" s="175"/>
      <c r="I841" s="168"/>
      <c r="J841" s="168"/>
    </row>
    <row r="842" spans="1:10" ht="17">
      <c r="A842" s="168"/>
      <c r="B842" s="168"/>
      <c r="C842" s="168"/>
      <c r="G842" s="175"/>
      <c r="H842" s="175"/>
      <c r="I842" s="168"/>
      <c r="J842" s="168"/>
    </row>
    <row r="843" spans="1:10" ht="17">
      <c r="A843" s="168"/>
      <c r="B843" s="168"/>
      <c r="C843" s="168"/>
      <c r="G843" s="175"/>
      <c r="H843" s="175"/>
      <c r="I843" s="168"/>
      <c r="J843" s="168"/>
    </row>
    <row r="844" spans="1:10" ht="17">
      <c r="A844" s="168"/>
      <c r="B844" s="168"/>
      <c r="C844" s="168"/>
      <c r="G844" s="175"/>
      <c r="H844" s="175"/>
      <c r="I844" s="168"/>
      <c r="J844" s="168"/>
    </row>
    <row r="845" spans="1:10" ht="17">
      <c r="A845" s="168"/>
      <c r="B845" s="168"/>
      <c r="C845" s="168"/>
      <c r="G845" s="175"/>
      <c r="H845" s="175"/>
      <c r="I845" s="168"/>
      <c r="J845" s="168"/>
    </row>
    <row r="846" spans="1:10" ht="17">
      <c r="A846" s="168"/>
      <c r="B846" s="168"/>
      <c r="C846" s="168"/>
      <c r="G846" s="175"/>
      <c r="H846" s="175"/>
      <c r="I846" s="168"/>
      <c r="J846" s="168"/>
    </row>
    <row r="847" spans="1:10" ht="17">
      <c r="A847" s="168"/>
      <c r="B847" s="168"/>
      <c r="C847" s="168"/>
      <c r="G847" s="175"/>
      <c r="H847" s="175"/>
      <c r="I847" s="168"/>
      <c r="J847" s="168"/>
    </row>
    <row r="848" spans="1:10" ht="17">
      <c r="A848" s="168"/>
      <c r="B848" s="168"/>
      <c r="C848" s="168"/>
      <c r="G848" s="175"/>
      <c r="H848" s="175"/>
      <c r="I848" s="168"/>
      <c r="J848" s="168"/>
    </row>
    <row r="849" spans="1:10" ht="17">
      <c r="A849" s="168"/>
      <c r="B849" s="168"/>
      <c r="C849" s="168"/>
      <c r="G849" s="175"/>
      <c r="H849" s="175"/>
      <c r="I849" s="168"/>
      <c r="J849" s="168"/>
    </row>
    <row r="850" spans="1:10" ht="17">
      <c r="A850" s="168"/>
      <c r="B850" s="168"/>
      <c r="C850" s="168"/>
      <c r="G850" s="175"/>
      <c r="H850" s="175"/>
      <c r="I850" s="168"/>
      <c r="J850" s="168"/>
    </row>
    <row r="851" spans="1:10" ht="17">
      <c r="A851" s="168"/>
      <c r="B851" s="168"/>
      <c r="C851" s="168"/>
      <c r="G851" s="175"/>
      <c r="H851" s="175"/>
      <c r="I851" s="168"/>
      <c r="J851" s="168"/>
    </row>
    <row r="852" spans="1:10" ht="17">
      <c r="A852" s="168"/>
      <c r="B852" s="168"/>
      <c r="C852" s="168"/>
      <c r="G852" s="175"/>
      <c r="H852" s="175"/>
      <c r="I852" s="168"/>
      <c r="J852" s="168"/>
    </row>
    <row r="853" spans="1:10" ht="17">
      <c r="A853" s="168"/>
      <c r="B853" s="168"/>
      <c r="C853" s="168"/>
      <c r="G853" s="175"/>
      <c r="H853" s="175"/>
      <c r="I853" s="168"/>
      <c r="J853" s="168"/>
    </row>
    <row r="854" spans="1:10" ht="17">
      <c r="A854" s="168"/>
      <c r="B854" s="168"/>
      <c r="C854" s="168"/>
      <c r="G854" s="175"/>
      <c r="H854" s="175"/>
      <c r="I854" s="168"/>
      <c r="J854" s="168"/>
    </row>
    <row r="855" spans="1:10" ht="17">
      <c r="A855" s="168"/>
      <c r="B855" s="168"/>
      <c r="C855" s="168"/>
      <c r="G855" s="175"/>
      <c r="H855" s="175"/>
      <c r="I855" s="168"/>
      <c r="J855" s="168"/>
    </row>
    <row r="856" spans="1:10" ht="17">
      <c r="A856" s="168"/>
      <c r="B856" s="168"/>
      <c r="C856" s="168"/>
      <c r="G856" s="175"/>
      <c r="H856" s="175"/>
      <c r="I856" s="168"/>
      <c r="J856" s="168"/>
    </row>
    <row r="857" spans="1:10" ht="17">
      <c r="A857" s="168"/>
      <c r="B857" s="168"/>
      <c r="C857" s="168"/>
      <c r="G857" s="175"/>
      <c r="H857" s="175"/>
      <c r="I857" s="168"/>
      <c r="J857" s="168"/>
    </row>
    <row r="858" spans="1:10" ht="17">
      <c r="A858" s="168"/>
      <c r="B858" s="168"/>
      <c r="C858" s="168"/>
      <c r="G858" s="175"/>
      <c r="H858" s="175"/>
      <c r="I858" s="168"/>
      <c r="J858" s="168"/>
    </row>
    <row r="859" spans="1:10" ht="17">
      <c r="A859" s="168"/>
      <c r="B859" s="168"/>
      <c r="C859" s="168"/>
      <c r="G859" s="175"/>
      <c r="H859" s="175"/>
      <c r="I859" s="168"/>
      <c r="J859" s="168"/>
    </row>
    <row r="860" spans="1:10" ht="17">
      <c r="A860" s="168"/>
      <c r="B860" s="168"/>
      <c r="C860" s="168"/>
      <c r="G860" s="175"/>
      <c r="H860" s="175"/>
      <c r="I860" s="168"/>
      <c r="J860" s="168"/>
    </row>
    <row r="861" spans="1:10" ht="17">
      <c r="A861" s="168"/>
      <c r="B861" s="168"/>
      <c r="C861" s="168"/>
      <c r="G861" s="175"/>
      <c r="H861" s="175"/>
      <c r="I861" s="168"/>
      <c r="J861" s="168"/>
    </row>
    <row r="862" spans="1:10" ht="17">
      <c r="A862" s="168"/>
      <c r="B862" s="168"/>
      <c r="C862" s="168"/>
      <c r="G862" s="175"/>
      <c r="H862" s="175"/>
      <c r="I862" s="168"/>
      <c r="J862" s="168"/>
    </row>
    <row r="863" spans="1:10" ht="17">
      <c r="A863" s="168"/>
      <c r="B863" s="168"/>
      <c r="C863" s="168"/>
      <c r="G863" s="175"/>
      <c r="H863" s="175"/>
      <c r="I863" s="168"/>
      <c r="J863" s="168"/>
    </row>
    <row r="864" spans="1:10" ht="17">
      <c r="A864" s="168"/>
      <c r="B864" s="168"/>
      <c r="C864" s="168"/>
      <c r="G864" s="175"/>
      <c r="H864" s="175"/>
      <c r="I864" s="168"/>
      <c r="J864" s="168"/>
    </row>
    <row r="865" spans="1:10" ht="17">
      <c r="A865" s="168"/>
      <c r="B865" s="168"/>
      <c r="C865" s="168"/>
      <c r="G865" s="175"/>
      <c r="H865" s="175"/>
      <c r="I865" s="168"/>
      <c r="J865" s="168"/>
    </row>
    <row r="866" spans="1:10" ht="17">
      <c r="A866" s="168"/>
      <c r="B866" s="168"/>
      <c r="C866" s="168"/>
      <c r="G866" s="175"/>
      <c r="H866" s="175"/>
      <c r="I866" s="168"/>
      <c r="J866" s="168"/>
    </row>
    <row r="867" spans="1:10" ht="17">
      <c r="A867" s="168"/>
      <c r="B867" s="168"/>
      <c r="C867" s="168"/>
      <c r="G867" s="175"/>
      <c r="H867" s="175"/>
      <c r="I867" s="168"/>
      <c r="J867" s="168"/>
    </row>
    <row r="868" spans="1:10" ht="17">
      <c r="A868" s="168"/>
      <c r="B868" s="168"/>
      <c r="C868" s="168"/>
      <c r="G868" s="175"/>
      <c r="H868" s="175"/>
      <c r="I868" s="168"/>
      <c r="J868" s="168"/>
    </row>
    <row r="869" spans="1:10" ht="17">
      <c r="A869" s="168"/>
      <c r="B869" s="168"/>
      <c r="C869" s="168"/>
      <c r="G869" s="175"/>
      <c r="H869" s="175"/>
      <c r="I869" s="168"/>
      <c r="J869" s="168"/>
    </row>
    <row r="870" spans="1:10" ht="17">
      <c r="A870" s="168"/>
      <c r="B870" s="168"/>
      <c r="C870" s="168"/>
      <c r="G870" s="175"/>
      <c r="H870" s="175"/>
      <c r="I870" s="168"/>
      <c r="J870" s="168"/>
    </row>
    <row r="871" spans="1:10" ht="17">
      <c r="A871" s="168"/>
      <c r="B871" s="168"/>
      <c r="C871" s="168"/>
      <c r="G871" s="175"/>
      <c r="H871" s="175"/>
      <c r="I871" s="168"/>
      <c r="J871" s="168"/>
    </row>
    <row r="872" spans="1:10" ht="17">
      <c r="A872" s="168"/>
      <c r="B872" s="168"/>
      <c r="C872" s="168"/>
      <c r="G872" s="175"/>
      <c r="H872" s="175"/>
      <c r="I872" s="168"/>
      <c r="J872" s="168"/>
    </row>
    <row r="873" spans="1:10" ht="17">
      <c r="A873" s="168"/>
      <c r="B873" s="168"/>
      <c r="C873" s="168"/>
      <c r="G873" s="175"/>
      <c r="H873" s="175"/>
      <c r="I873" s="168"/>
      <c r="J873" s="168"/>
    </row>
    <row r="874" spans="1:10" ht="17">
      <c r="A874" s="168"/>
      <c r="B874" s="168"/>
      <c r="C874" s="168"/>
      <c r="G874" s="175"/>
      <c r="H874" s="175"/>
      <c r="I874" s="168"/>
      <c r="J874" s="168"/>
    </row>
    <row r="875" spans="1:10" ht="17">
      <c r="A875" s="168"/>
      <c r="B875" s="168"/>
      <c r="C875" s="168"/>
      <c r="G875" s="175"/>
      <c r="H875" s="175"/>
      <c r="I875" s="168"/>
      <c r="J875" s="168"/>
    </row>
    <row r="876" spans="1:10" ht="17">
      <c r="A876" s="168"/>
      <c r="B876" s="168"/>
      <c r="C876" s="168"/>
      <c r="G876" s="175"/>
      <c r="H876" s="175"/>
      <c r="I876" s="168"/>
      <c r="J876" s="168"/>
    </row>
    <row r="877" spans="1:10" ht="17">
      <c r="A877" s="168"/>
      <c r="B877" s="168"/>
      <c r="C877" s="168"/>
      <c r="G877" s="175"/>
      <c r="H877" s="175"/>
      <c r="I877" s="168"/>
      <c r="J877" s="168"/>
    </row>
    <row r="878" spans="1:10" ht="17">
      <c r="A878" s="168"/>
      <c r="B878" s="168"/>
      <c r="C878" s="168"/>
      <c r="G878" s="175"/>
      <c r="H878" s="175"/>
      <c r="I878" s="168"/>
      <c r="J878" s="168"/>
    </row>
    <row r="879" spans="1:10" ht="17">
      <c r="A879" s="168"/>
      <c r="B879" s="168"/>
      <c r="C879" s="168"/>
      <c r="G879" s="175"/>
      <c r="H879" s="175"/>
      <c r="I879" s="168"/>
      <c r="J879" s="168"/>
    </row>
    <row r="880" spans="1:10" ht="17">
      <c r="A880" s="168"/>
      <c r="B880" s="168"/>
      <c r="C880" s="168"/>
      <c r="G880" s="175"/>
      <c r="H880" s="175"/>
      <c r="I880" s="168"/>
      <c r="J880" s="168"/>
    </row>
    <row r="881" spans="1:10" ht="17">
      <c r="A881" s="168"/>
      <c r="B881" s="168"/>
      <c r="C881" s="168"/>
      <c r="G881" s="175"/>
      <c r="H881" s="175"/>
      <c r="I881" s="168"/>
      <c r="J881" s="168"/>
    </row>
    <row r="882" spans="1:10" ht="17">
      <c r="A882" s="168"/>
      <c r="B882" s="168"/>
      <c r="C882" s="168"/>
      <c r="G882" s="175"/>
      <c r="H882" s="175"/>
      <c r="I882" s="168"/>
      <c r="J882" s="168"/>
    </row>
    <row r="883" spans="1:10" ht="17">
      <c r="A883" s="168"/>
      <c r="B883" s="168"/>
      <c r="C883" s="168"/>
      <c r="G883" s="175"/>
      <c r="H883" s="175"/>
      <c r="I883" s="168"/>
      <c r="J883" s="168"/>
    </row>
    <row r="884" spans="1:10" ht="17">
      <c r="A884" s="168"/>
      <c r="B884" s="168"/>
      <c r="C884" s="168"/>
      <c r="G884" s="175"/>
      <c r="H884" s="175"/>
      <c r="I884" s="168"/>
      <c r="J884" s="168"/>
    </row>
    <row r="885" spans="1:10" ht="17">
      <c r="A885" s="168"/>
      <c r="B885" s="168"/>
      <c r="C885" s="168"/>
      <c r="G885" s="175"/>
      <c r="H885" s="175"/>
      <c r="I885" s="168"/>
      <c r="J885" s="168"/>
    </row>
    <row r="886" spans="1:10" ht="17">
      <c r="A886" s="168"/>
      <c r="B886" s="168"/>
      <c r="C886" s="168"/>
      <c r="G886" s="175"/>
      <c r="H886" s="175"/>
      <c r="I886" s="168"/>
      <c r="J886" s="168"/>
    </row>
    <row r="887" spans="1:10" ht="17">
      <c r="A887" s="168"/>
      <c r="B887" s="168"/>
      <c r="C887" s="168"/>
      <c r="G887" s="175"/>
      <c r="H887" s="175"/>
      <c r="I887" s="168"/>
      <c r="J887" s="168"/>
    </row>
    <row r="888" spans="1:10" ht="17">
      <c r="A888" s="168"/>
      <c r="B888" s="168"/>
      <c r="C888" s="168"/>
      <c r="G888" s="175"/>
      <c r="H888" s="175"/>
      <c r="I888" s="168"/>
      <c r="J888" s="168"/>
    </row>
    <row r="889" spans="1:10" ht="17">
      <c r="A889" s="168"/>
      <c r="B889" s="168"/>
      <c r="C889" s="168"/>
      <c r="G889" s="175"/>
      <c r="H889" s="175"/>
      <c r="I889" s="168"/>
      <c r="J889" s="168"/>
    </row>
    <row r="890" spans="1:10" ht="17">
      <c r="A890" s="168"/>
      <c r="B890" s="168"/>
      <c r="C890" s="168"/>
      <c r="G890" s="175"/>
      <c r="H890" s="175"/>
      <c r="I890" s="168"/>
      <c r="J890" s="168"/>
    </row>
    <row r="891" spans="1:10" ht="17">
      <c r="A891" s="168"/>
      <c r="B891" s="168"/>
      <c r="C891" s="168"/>
      <c r="G891" s="175"/>
      <c r="H891" s="175"/>
      <c r="I891" s="168"/>
      <c r="J891" s="168"/>
    </row>
    <row r="892" spans="1:10" ht="17">
      <c r="A892" s="168"/>
      <c r="B892" s="168"/>
      <c r="C892" s="168"/>
      <c r="G892" s="175"/>
      <c r="H892" s="175"/>
      <c r="I892" s="168"/>
      <c r="J892" s="168"/>
    </row>
    <row r="893" spans="1:10" ht="17">
      <c r="A893" s="168"/>
      <c r="B893" s="168"/>
      <c r="C893" s="168"/>
      <c r="G893" s="175"/>
      <c r="H893" s="175"/>
      <c r="I893" s="168"/>
      <c r="J893" s="168"/>
    </row>
    <row r="894" spans="1:10" ht="17">
      <c r="A894" s="168"/>
      <c r="B894" s="168"/>
      <c r="C894" s="168"/>
      <c r="G894" s="175"/>
      <c r="H894" s="175"/>
      <c r="I894" s="168"/>
      <c r="J894" s="168"/>
    </row>
    <row r="895" spans="1:10" ht="17">
      <c r="A895" s="168"/>
      <c r="B895" s="168"/>
      <c r="C895" s="168"/>
      <c r="G895" s="175"/>
      <c r="H895" s="175"/>
      <c r="I895" s="168"/>
      <c r="J895" s="168"/>
    </row>
    <row r="896" spans="1:10" ht="17">
      <c r="A896" s="168"/>
      <c r="B896" s="168"/>
      <c r="C896" s="168"/>
      <c r="G896" s="175"/>
      <c r="H896" s="175"/>
      <c r="I896" s="168"/>
      <c r="J896" s="168"/>
    </row>
    <row r="897" spans="1:10" ht="17">
      <c r="A897" s="168"/>
      <c r="B897" s="168"/>
      <c r="C897" s="168"/>
      <c r="G897" s="175"/>
      <c r="H897" s="175"/>
      <c r="I897" s="168"/>
      <c r="J897" s="168"/>
    </row>
    <row r="898" spans="1:10" ht="17">
      <c r="A898" s="168"/>
      <c r="B898" s="168"/>
      <c r="C898" s="168"/>
      <c r="G898" s="175"/>
      <c r="H898" s="175"/>
      <c r="I898" s="168"/>
      <c r="J898" s="168"/>
    </row>
    <row r="899" spans="1:10" ht="17">
      <c r="A899" s="168"/>
      <c r="B899" s="168"/>
      <c r="C899" s="168"/>
      <c r="G899" s="175"/>
      <c r="H899" s="175"/>
      <c r="I899" s="168"/>
      <c r="J899" s="168"/>
    </row>
    <row r="900" spans="1:10" ht="17">
      <c r="A900" s="168"/>
      <c r="B900" s="168"/>
      <c r="C900" s="168"/>
      <c r="G900" s="175"/>
      <c r="H900" s="175"/>
      <c r="I900" s="168"/>
      <c r="J900" s="168"/>
    </row>
    <row r="901" spans="1:10" ht="17">
      <c r="A901" s="168"/>
      <c r="B901" s="168"/>
      <c r="C901" s="168"/>
      <c r="G901" s="175"/>
      <c r="H901" s="175"/>
      <c r="I901" s="168"/>
      <c r="J901" s="168"/>
    </row>
    <row r="902" spans="1:10" ht="17">
      <c r="A902" s="168"/>
      <c r="B902" s="168"/>
      <c r="C902" s="168"/>
      <c r="G902" s="175"/>
      <c r="H902" s="175"/>
      <c r="I902" s="168"/>
      <c r="J902" s="168"/>
    </row>
    <row r="903" spans="1:10" ht="17">
      <c r="A903" s="168"/>
      <c r="B903" s="168"/>
      <c r="C903" s="168"/>
      <c r="G903" s="175"/>
      <c r="H903" s="175"/>
      <c r="I903" s="168"/>
      <c r="J903" s="168"/>
    </row>
    <row r="904" spans="1:10" ht="17">
      <c r="A904" s="168"/>
      <c r="B904" s="168"/>
      <c r="C904" s="168"/>
      <c r="G904" s="175"/>
      <c r="H904" s="175"/>
      <c r="I904" s="168"/>
      <c r="J904" s="168"/>
    </row>
    <row r="905" spans="1:10" ht="17">
      <c r="A905" s="168"/>
      <c r="B905" s="168"/>
      <c r="C905" s="168"/>
      <c r="G905" s="175"/>
      <c r="H905" s="175"/>
      <c r="I905" s="168"/>
      <c r="J905" s="168"/>
    </row>
    <row r="906" spans="1:10" ht="17">
      <c r="A906" s="168"/>
      <c r="B906" s="168"/>
      <c r="C906" s="168"/>
      <c r="G906" s="175"/>
      <c r="H906" s="175"/>
      <c r="I906" s="168"/>
      <c r="J906" s="168"/>
    </row>
    <row r="907" spans="1:10" ht="17">
      <c r="A907" s="168"/>
      <c r="B907" s="168"/>
      <c r="C907" s="168"/>
      <c r="G907" s="175"/>
      <c r="H907" s="175"/>
      <c r="I907" s="168"/>
      <c r="J907" s="168"/>
    </row>
    <row r="908" spans="1:10" ht="17">
      <c r="A908" s="168"/>
      <c r="B908" s="168"/>
      <c r="C908" s="168"/>
      <c r="G908" s="175"/>
      <c r="H908" s="175"/>
      <c r="I908" s="168"/>
      <c r="J908" s="168"/>
    </row>
    <row r="909" spans="1:10" ht="17">
      <c r="A909" s="168"/>
      <c r="B909" s="168"/>
      <c r="C909" s="168"/>
      <c r="G909" s="175"/>
      <c r="H909" s="175"/>
      <c r="I909" s="168"/>
      <c r="J909" s="168"/>
    </row>
    <row r="910" spans="1:10" ht="17">
      <c r="A910" s="168"/>
      <c r="B910" s="168"/>
      <c r="C910" s="168"/>
      <c r="G910" s="175"/>
      <c r="H910" s="175"/>
      <c r="I910" s="168"/>
      <c r="J910" s="168"/>
    </row>
    <row r="911" spans="1:10" ht="17">
      <c r="A911" s="168"/>
      <c r="B911" s="168"/>
      <c r="C911" s="168"/>
      <c r="G911" s="175"/>
      <c r="H911" s="175"/>
      <c r="I911" s="168"/>
      <c r="J911" s="168"/>
    </row>
    <row r="912" spans="1:10" ht="17">
      <c r="A912" s="168"/>
      <c r="B912" s="168"/>
      <c r="C912" s="168"/>
      <c r="G912" s="175"/>
      <c r="H912" s="175"/>
      <c r="I912" s="168"/>
      <c r="J912" s="168"/>
    </row>
    <row r="913" spans="1:10" ht="17">
      <c r="A913" s="168"/>
      <c r="B913" s="168"/>
      <c r="C913" s="168"/>
      <c r="G913" s="175"/>
      <c r="H913" s="175"/>
      <c r="I913" s="168"/>
      <c r="J913" s="168"/>
    </row>
    <row r="914" spans="1:10" ht="17">
      <c r="A914" s="168"/>
      <c r="B914" s="168"/>
      <c r="C914" s="168"/>
      <c r="G914" s="175"/>
      <c r="H914" s="175"/>
      <c r="I914" s="168"/>
      <c r="J914" s="168"/>
    </row>
    <row r="915" spans="1:10" ht="17">
      <c r="A915" s="168"/>
      <c r="B915" s="168"/>
      <c r="C915" s="168"/>
      <c r="G915" s="175"/>
      <c r="H915" s="175"/>
      <c r="I915" s="168"/>
      <c r="J915" s="168"/>
    </row>
    <row r="916" spans="1:10" ht="17">
      <c r="A916" s="168"/>
      <c r="B916" s="168"/>
      <c r="C916" s="168"/>
      <c r="G916" s="175"/>
      <c r="H916" s="175"/>
      <c r="I916" s="168"/>
      <c r="J916" s="168"/>
    </row>
    <row r="917" spans="1:10" ht="17">
      <c r="A917" s="168"/>
      <c r="B917" s="168"/>
      <c r="C917" s="168"/>
      <c r="G917" s="175"/>
      <c r="H917" s="175"/>
      <c r="I917" s="168"/>
      <c r="J917" s="168"/>
    </row>
    <row r="918" spans="1:10" ht="17">
      <c r="A918" s="168"/>
      <c r="B918" s="168"/>
      <c r="C918" s="168"/>
      <c r="G918" s="175"/>
      <c r="H918" s="175"/>
      <c r="I918" s="168"/>
      <c r="J918" s="168"/>
    </row>
    <row r="919" spans="1:10" ht="17">
      <c r="A919" s="168"/>
      <c r="B919" s="168"/>
      <c r="C919" s="168"/>
      <c r="G919" s="175"/>
      <c r="H919" s="175"/>
      <c r="I919" s="168"/>
      <c r="J919" s="168"/>
    </row>
    <row r="920" spans="1:10" ht="17">
      <c r="A920" s="168"/>
      <c r="B920" s="168"/>
      <c r="C920" s="168"/>
      <c r="G920" s="175"/>
      <c r="H920" s="175"/>
      <c r="I920" s="168"/>
      <c r="J920" s="168"/>
    </row>
    <row r="921" spans="1:10" ht="17">
      <c r="A921" s="168"/>
      <c r="B921" s="168"/>
      <c r="C921" s="168"/>
      <c r="G921" s="175"/>
      <c r="H921" s="175"/>
      <c r="I921" s="168"/>
      <c r="J921" s="168"/>
    </row>
    <row r="922" spans="1:10" ht="17">
      <c r="A922" s="168"/>
      <c r="B922" s="168"/>
      <c r="C922" s="168"/>
      <c r="G922" s="175"/>
      <c r="H922" s="175"/>
      <c r="I922" s="168"/>
      <c r="J922" s="168"/>
    </row>
    <row r="923" spans="1:10" ht="17">
      <c r="A923" s="168"/>
      <c r="B923" s="168"/>
      <c r="C923" s="168"/>
      <c r="G923" s="175"/>
      <c r="H923" s="175"/>
      <c r="I923" s="168"/>
      <c r="J923" s="168"/>
    </row>
    <row r="924" spans="1:10" ht="17">
      <c r="A924" s="168"/>
      <c r="B924" s="168"/>
      <c r="C924" s="168"/>
      <c r="G924" s="175"/>
      <c r="H924" s="175"/>
      <c r="I924" s="168"/>
      <c r="J924" s="168"/>
    </row>
    <row r="925" spans="1:10" ht="17">
      <c r="A925" s="168"/>
      <c r="B925" s="168"/>
      <c r="C925" s="168"/>
      <c r="G925" s="175"/>
      <c r="H925" s="175"/>
      <c r="I925" s="168"/>
      <c r="J925" s="168"/>
    </row>
    <row r="926" spans="1:10" ht="17">
      <c r="A926" s="168"/>
      <c r="B926" s="168"/>
      <c r="C926" s="168"/>
      <c r="G926" s="175"/>
      <c r="H926" s="175"/>
      <c r="I926" s="168"/>
      <c r="J926" s="168"/>
    </row>
    <row r="927" spans="1:10" ht="17">
      <c r="A927" s="168"/>
      <c r="B927" s="168"/>
      <c r="C927" s="168"/>
      <c r="G927" s="175"/>
      <c r="H927" s="175"/>
      <c r="I927" s="168"/>
      <c r="J927" s="168"/>
    </row>
    <row r="928" spans="1:10" ht="17">
      <c r="A928" s="168"/>
      <c r="B928" s="168"/>
      <c r="C928" s="168"/>
      <c r="G928" s="175"/>
      <c r="H928" s="175"/>
      <c r="I928" s="168"/>
      <c r="J928" s="168"/>
    </row>
    <row r="929" spans="1:10" ht="17">
      <c r="A929" s="168"/>
      <c r="B929" s="168"/>
      <c r="C929" s="168"/>
      <c r="G929" s="175"/>
      <c r="H929" s="175"/>
      <c r="I929" s="168"/>
      <c r="J929" s="168"/>
    </row>
    <row r="930" spans="1:10" ht="17">
      <c r="A930" s="168"/>
      <c r="B930" s="168"/>
      <c r="C930" s="168"/>
      <c r="G930" s="175"/>
      <c r="H930" s="175"/>
      <c r="I930" s="168"/>
      <c r="J930" s="168"/>
    </row>
    <row r="931" spans="1:10" ht="17">
      <c r="A931" s="168"/>
      <c r="B931" s="168"/>
      <c r="C931" s="168"/>
      <c r="G931" s="175"/>
      <c r="H931" s="175"/>
      <c r="I931" s="168"/>
      <c r="J931" s="168"/>
    </row>
    <row r="932" spans="1:10" ht="17">
      <c r="A932" s="168"/>
      <c r="B932" s="168"/>
      <c r="C932" s="168"/>
      <c r="G932" s="175"/>
      <c r="H932" s="175"/>
      <c r="I932" s="168"/>
      <c r="J932" s="168"/>
    </row>
    <row r="933" spans="1:10" ht="17">
      <c r="A933" s="168"/>
      <c r="B933" s="168"/>
      <c r="C933" s="168"/>
      <c r="G933" s="175"/>
      <c r="H933" s="175"/>
      <c r="I933" s="168"/>
      <c r="J933" s="168"/>
    </row>
    <row r="934" spans="1:10" ht="17">
      <c r="A934" s="168"/>
      <c r="B934" s="168"/>
      <c r="C934" s="168"/>
      <c r="G934" s="175"/>
      <c r="H934" s="175"/>
      <c r="I934" s="168"/>
      <c r="J934" s="168"/>
    </row>
    <row r="935" spans="1:10" ht="17">
      <c r="A935" s="168"/>
      <c r="B935" s="168"/>
      <c r="C935" s="168"/>
      <c r="G935" s="175"/>
      <c r="H935" s="175"/>
      <c r="I935" s="168"/>
      <c r="J935" s="168"/>
    </row>
    <row r="936" spans="1:10" ht="17">
      <c r="A936" s="168"/>
      <c r="B936" s="168"/>
      <c r="C936" s="168"/>
      <c r="G936" s="175"/>
      <c r="H936" s="175"/>
      <c r="I936" s="168"/>
      <c r="J936" s="168"/>
    </row>
    <row r="937" spans="1:10" ht="17">
      <c r="A937" s="168"/>
      <c r="B937" s="168"/>
      <c r="C937" s="168"/>
      <c r="G937" s="175"/>
      <c r="H937" s="175"/>
      <c r="I937" s="168"/>
      <c r="J937" s="168"/>
    </row>
    <row r="938" spans="1:10" ht="17">
      <c r="A938" s="168"/>
      <c r="B938" s="168"/>
      <c r="C938" s="168"/>
      <c r="G938" s="175"/>
      <c r="H938" s="175"/>
      <c r="I938" s="168"/>
      <c r="J938" s="168"/>
    </row>
    <row r="939" spans="1:10" ht="17">
      <c r="A939" s="168"/>
      <c r="B939" s="168"/>
      <c r="C939" s="168"/>
      <c r="G939" s="175"/>
      <c r="H939" s="175"/>
      <c r="I939" s="168"/>
      <c r="J939" s="168"/>
    </row>
    <row r="940" spans="1:10" ht="17">
      <c r="A940" s="168"/>
      <c r="B940" s="168"/>
      <c r="C940" s="168"/>
      <c r="G940" s="175"/>
      <c r="H940" s="175"/>
      <c r="I940" s="168"/>
      <c r="J940" s="168"/>
    </row>
    <row r="941" spans="1:10" ht="17">
      <c r="A941" s="168"/>
      <c r="B941" s="168"/>
      <c r="C941" s="168"/>
      <c r="G941" s="175"/>
      <c r="H941" s="175"/>
      <c r="I941" s="168"/>
      <c r="J941" s="168"/>
    </row>
    <row r="942" spans="1:10" ht="17">
      <c r="A942" s="168"/>
      <c r="B942" s="168"/>
      <c r="C942" s="168"/>
      <c r="G942" s="175"/>
      <c r="H942" s="175"/>
      <c r="I942" s="168"/>
      <c r="J942" s="168"/>
    </row>
    <row r="943" spans="1:10" ht="17">
      <c r="A943" s="168"/>
      <c r="B943" s="168"/>
      <c r="C943" s="168"/>
      <c r="G943" s="175"/>
      <c r="H943" s="175"/>
      <c r="I943" s="168"/>
      <c r="J943" s="168"/>
    </row>
    <row r="944" spans="1:10" ht="17">
      <c r="A944" s="168"/>
      <c r="B944" s="168"/>
      <c r="C944" s="168"/>
      <c r="G944" s="175"/>
      <c r="H944" s="175"/>
      <c r="I944" s="168"/>
      <c r="J944" s="168"/>
    </row>
    <row r="945" spans="1:10" ht="17">
      <c r="A945" s="168"/>
      <c r="B945" s="168"/>
      <c r="C945" s="168"/>
      <c r="G945" s="175"/>
      <c r="H945" s="175"/>
      <c r="I945" s="168"/>
      <c r="J945" s="168"/>
    </row>
    <row r="946" spans="1:10" ht="17">
      <c r="A946" s="168"/>
      <c r="B946" s="168"/>
      <c r="C946" s="168"/>
      <c r="G946" s="175"/>
      <c r="H946" s="175"/>
      <c r="I946" s="168"/>
      <c r="J946" s="168"/>
    </row>
    <row r="947" spans="1:10" ht="17">
      <c r="A947" s="168"/>
      <c r="B947" s="168"/>
      <c r="C947" s="168"/>
      <c r="G947" s="175"/>
      <c r="H947" s="175"/>
      <c r="I947" s="168"/>
      <c r="J947" s="168"/>
    </row>
    <row r="948" spans="1:10" ht="17">
      <c r="A948" s="168"/>
      <c r="B948" s="168"/>
      <c r="C948" s="168"/>
      <c r="G948" s="175"/>
      <c r="H948" s="175"/>
      <c r="I948" s="168"/>
      <c r="J948" s="168"/>
    </row>
    <row r="949" spans="1:10" ht="17">
      <c r="A949" s="168"/>
      <c r="B949" s="168"/>
      <c r="C949" s="168"/>
      <c r="G949" s="175"/>
      <c r="H949" s="175"/>
      <c r="I949" s="168"/>
      <c r="J949" s="168"/>
    </row>
    <row r="950" spans="1:10" ht="17">
      <c r="A950" s="168"/>
      <c r="B950" s="168"/>
      <c r="C950" s="168"/>
      <c r="G950" s="175"/>
      <c r="H950" s="175"/>
      <c r="I950" s="168"/>
      <c r="J950" s="168"/>
    </row>
    <row r="951" spans="1:10" ht="17">
      <c r="A951" s="168"/>
      <c r="B951" s="168"/>
      <c r="C951" s="168"/>
      <c r="G951" s="175"/>
      <c r="H951" s="175"/>
      <c r="I951" s="168"/>
      <c r="J951" s="168"/>
    </row>
    <row r="952" spans="1:10" ht="17">
      <c r="A952" s="168"/>
      <c r="B952" s="168"/>
      <c r="C952" s="168"/>
      <c r="G952" s="175"/>
      <c r="H952" s="175"/>
      <c r="I952" s="168"/>
      <c r="J952" s="168"/>
    </row>
    <row r="953" spans="1:10" ht="17">
      <c r="A953" s="168"/>
      <c r="B953" s="168"/>
      <c r="C953" s="168"/>
      <c r="G953" s="175"/>
      <c r="H953" s="175"/>
      <c r="I953" s="168"/>
      <c r="J953" s="168"/>
    </row>
    <row r="954" spans="1:10" ht="17">
      <c r="A954" s="168"/>
      <c r="B954" s="168"/>
      <c r="C954" s="168"/>
      <c r="G954" s="175"/>
      <c r="H954" s="175"/>
      <c r="I954" s="168"/>
      <c r="J954" s="168"/>
    </row>
    <row r="955" spans="1:10" ht="17">
      <c r="A955" s="168"/>
      <c r="B955" s="168"/>
      <c r="C955" s="168"/>
      <c r="G955" s="175"/>
      <c r="H955" s="175"/>
      <c r="I955" s="168"/>
      <c r="J955" s="168"/>
    </row>
    <row r="956" spans="1:10" ht="17">
      <c r="A956" s="168"/>
      <c r="B956" s="168"/>
      <c r="C956" s="168"/>
      <c r="G956" s="175"/>
      <c r="H956" s="175"/>
      <c r="I956" s="168"/>
      <c r="J956" s="168"/>
    </row>
    <row r="957" spans="1:10" ht="17">
      <c r="A957" s="168"/>
      <c r="B957" s="168"/>
      <c r="C957" s="168"/>
      <c r="G957" s="175"/>
      <c r="H957" s="175"/>
      <c r="I957" s="168"/>
      <c r="J957" s="168"/>
    </row>
    <row r="958" spans="1:10" ht="17">
      <c r="A958" s="168"/>
      <c r="B958" s="168"/>
      <c r="C958" s="168"/>
      <c r="G958" s="175"/>
      <c r="H958" s="175"/>
      <c r="I958" s="168"/>
      <c r="J958" s="168"/>
    </row>
    <row r="959" spans="1:10" ht="17">
      <c r="A959" s="168"/>
      <c r="B959" s="168"/>
      <c r="C959" s="168"/>
      <c r="G959" s="175"/>
      <c r="H959" s="175"/>
      <c r="I959" s="168"/>
      <c r="J959" s="168"/>
    </row>
    <row r="960" spans="1:10" ht="17">
      <c r="A960" s="168"/>
      <c r="B960" s="168"/>
      <c r="C960" s="168"/>
      <c r="G960" s="175"/>
      <c r="H960" s="175"/>
      <c r="I960" s="168"/>
      <c r="J960" s="168"/>
    </row>
    <row r="961" spans="1:10" ht="17">
      <c r="A961" s="168"/>
      <c r="B961" s="168"/>
      <c r="C961" s="168"/>
      <c r="G961" s="175"/>
      <c r="H961" s="175"/>
      <c r="I961" s="168"/>
      <c r="J961" s="168"/>
    </row>
    <row r="962" spans="1:10" ht="17">
      <c r="A962" s="168"/>
      <c r="B962" s="168"/>
      <c r="C962" s="168"/>
      <c r="G962" s="175"/>
      <c r="H962" s="175"/>
      <c r="I962" s="168"/>
      <c r="J962" s="168"/>
    </row>
    <row r="963" spans="1:10" ht="17">
      <c r="A963" s="168"/>
      <c r="B963" s="168"/>
      <c r="C963" s="168"/>
      <c r="G963" s="175"/>
      <c r="H963" s="175"/>
      <c r="I963" s="168"/>
      <c r="J963" s="168"/>
    </row>
    <row r="964" spans="1:10" ht="17">
      <c r="A964" s="168"/>
      <c r="B964" s="168"/>
      <c r="C964" s="168"/>
      <c r="G964" s="175"/>
      <c r="H964" s="175"/>
      <c r="I964" s="168"/>
      <c r="J964" s="168"/>
    </row>
    <row r="965" spans="1:10" ht="17">
      <c r="A965" s="168"/>
      <c r="B965" s="168"/>
      <c r="C965" s="168"/>
      <c r="G965" s="175"/>
      <c r="H965" s="175"/>
      <c r="I965" s="168"/>
      <c r="J965" s="168"/>
    </row>
    <row r="966" spans="1:10" ht="17">
      <c r="A966" s="168"/>
      <c r="B966" s="168"/>
      <c r="C966" s="168"/>
      <c r="G966" s="175"/>
      <c r="H966" s="175"/>
      <c r="I966" s="168"/>
      <c r="J966" s="168"/>
    </row>
    <row r="967" spans="1:10" ht="17">
      <c r="A967" s="168"/>
      <c r="B967" s="168"/>
      <c r="C967" s="168"/>
      <c r="G967" s="175"/>
      <c r="H967" s="175"/>
      <c r="I967" s="168"/>
      <c r="J967" s="168"/>
    </row>
    <row r="968" spans="1:10" ht="17">
      <c r="A968" s="168"/>
      <c r="B968" s="168"/>
      <c r="C968" s="168"/>
      <c r="G968" s="175"/>
      <c r="H968" s="175"/>
      <c r="I968" s="168"/>
      <c r="J968" s="168"/>
    </row>
    <row r="969" spans="1:10" ht="17">
      <c r="A969" s="168"/>
      <c r="B969" s="168"/>
      <c r="C969" s="168"/>
      <c r="G969" s="175"/>
      <c r="H969" s="175"/>
      <c r="I969" s="168"/>
      <c r="J969" s="168"/>
    </row>
    <row r="970" spans="1:10" ht="17">
      <c r="A970" s="168"/>
      <c r="B970" s="168"/>
      <c r="C970" s="168"/>
      <c r="G970" s="175"/>
      <c r="H970" s="175"/>
      <c r="I970" s="168"/>
      <c r="J970" s="168"/>
    </row>
    <row r="971" spans="1:10" ht="17">
      <c r="A971" s="168"/>
      <c r="B971" s="168"/>
      <c r="C971" s="168"/>
      <c r="G971" s="175"/>
      <c r="H971" s="175"/>
      <c r="I971" s="168"/>
      <c r="J971" s="168"/>
    </row>
    <row r="972" spans="1:10" ht="17">
      <c r="A972" s="168"/>
      <c r="B972" s="168"/>
      <c r="C972" s="168"/>
      <c r="G972" s="175"/>
      <c r="H972" s="175"/>
      <c r="I972" s="168"/>
      <c r="J972" s="168"/>
    </row>
    <row r="973" spans="1:10" ht="17">
      <c r="A973" s="168"/>
      <c r="B973" s="168"/>
      <c r="C973" s="168"/>
      <c r="G973" s="175"/>
      <c r="H973" s="175"/>
      <c r="I973" s="168"/>
      <c r="J973" s="168"/>
    </row>
    <row r="974" spans="1:10" ht="17">
      <c r="A974" s="168"/>
      <c r="B974" s="168"/>
      <c r="C974" s="168"/>
      <c r="G974" s="175"/>
      <c r="H974" s="175"/>
      <c r="I974" s="168"/>
      <c r="J974" s="168"/>
    </row>
    <row r="975" spans="1:10" ht="17">
      <c r="A975" s="168"/>
      <c r="B975" s="168"/>
      <c r="C975" s="168"/>
      <c r="G975" s="175"/>
      <c r="H975" s="175"/>
      <c r="I975" s="168"/>
      <c r="J975" s="168"/>
    </row>
    <row r="976" spans="1:10" ht="17">
      <c r="A976" s="168"/>
      <c r="B976" s="168"/>
      <c r="C976" s="168"/>
      <c r="G976" s="175"/>
      <c r="H976" s="175"/>
      <c r="I976" s="168"/>
      <c r="J976" s="168"/>
    </row>
    <row r="977" spans="1:10" ht="17">
      <c r="A977" s="168"/>
      <c r="B977" s="168"/>
      <c r="C977" s="168"/>
      <c r="G977" s="175"/>
      <c r="H977" s="175"/>
      <c r="I977" s="168"/>
      <c r="J977" s="168"/>
    </row>
    <row r="978" spans="1:10" ht="17">
      <c r="A978" s="168"/>
      <c r="B978" s="168"/>
      <c r="C978" s="168"/>
      <c r="G978" s="175"/>
      <c r="H978" s="175"/>
      <c r="I978" s="168"/>
      <c r="J978" s="168"/>
    </row>
    <row r="979" spans="1:10" ht="17">
      <c r="A979" s="168"/>
      <c r="B979" s="168"/>
      <c r="C979" s="168"/>
      <c r="G979" s="175"/>
      <c r="H979" s="175"/>
      <c r="I979" s="168"/>
      <c r="J979" s="168"/>
    </row>
    <row r="980" spans="1:10" ht="17">
      <c r="A980" s="168"/>
      <c r="B980" s="168"/>
      <c r="C980" s="168"/>
      <c r="G980" s="175"/>
      <c r="H980" s="175"/>
      <c r="I980" s="168"/>
      <c r="J980" s="168"/>
    </row>
    <row r="981" spans="1:10" ht="17">
      <c r="A981" s="168"/>
      <c r="B981" s="168"/>
      <c r="C981" s="168"/>
      <c r="G981" s="175"/>
      <c r="H981" s="175"/>
      <c r="I981" s="168"/>
      <c r="J981" s="168"/>
    </row>
    <row r="982" spans="1:10" ht="17">
      <c r="A982" s="168"/>
      <c r="B982" s="168"/>
      <c r="C982" s="168"/>
      <c r="G982" s="175"/>
      <c r="H982" s="175"/>
      <c r="I982" s="168"/>
      <c r="J982" s="168"/>
    </row>
    <row r="983" spans="1:10" ht="17">
      <c r="A983" s="168"/>
      <c r="B983" s="168"/>
      <c r="C983" s="168"/>
      <c r="G983" s="175"/>
      <c r="H983" s="175"/>
      <c r="I983" s="168"/>
      <c r="J983" s="168"/>
    </row>
    <row r="984" spans="1:10" ht="17">
      <c r="A984" s="168"/>
      <c r="B984" s="168"/>
      <c r="C984" s="168"/>
      <c r="G984" s="175"/>
      <c r="H984" s="175"/>
      <c r="I984" s="168"/>
      <c r="J984" s="168"/>
    </row>
    <row r="985" spans="1:10" ht="17">
      <c r="A985" s="168"/>
      <c r="B985" s="168"/>
      <c r="C985" s="168"/>
      <c r="G985" s="175"/>
      <c r="H985" s="175"/>
      <c r="I985" s="168"/>
      <c r="J985" s="168"/>
    </row>
    <row r="986" spans="1:10" ht="17">
      <c r="A986" s="168"/>
      <c r="B986" s="168"/>
      <c r="C986" s="168"/>
      <c r="G986" s="175"/>
      <c r="H986" s="175"/>
      <c r="I986" s="168"/>
      <c r="J986" s="168"/>
    </row>
    <row r="987" spans="1:10" ht="17">
      <c r="A987" s="168"/>
      <c r="B987" s="168"/>
      <c r="C987" s="168"/>
      <c r="G987" s="175"/>
      <c r="H987" s="175"/>
      <c r="I987" s="168"/>
      <c r="J987" s="168"/>
    </row>
    <row r="988" spans="1:10" ht="17">
      <c r="A988" s="168"/>
      <c r="B988" s="168"/>
      <c r="C988" s="168"/>
      <c r="G988" s="175"/>
      <c r="H988" s="175"/>
      <c r="I988" s="168"/>
      <c r="J988" s="168"/>
    </row>
    <row r="989" spans="1:10" ht="17">
      <c r="A989" s="168"/>
      <c r="B989" s="168"/>
      <c r="C989" s="168"/>
      <c r="G989" s="175"/>
      <c r="H989" s="175"/>
      <c r="I989" s="168"/>
      <c r="J989" s="168"/>
    </row>
    <row r="990" spans="1:10" ht="17">
      <c r="A990" s="168"/>
      <c r="B990" s="168"/>
      <c r="C990" s="168"/>
      <c r="G990" s="175"/>
      <c r="H990" s="175"/>
      <c r="I990" s="168"/>
      <c r="J990" s="168"/>
    </row>
    <row r="991" spans="1:10" ht="17">
      <c r="A991" s="168"/>
      <c r="B991" s="168"/>
      <c r="C991" s="168"/>
      <c r="G991" s="175"/>
      <c r="H991" s="175"/>
      <c r="I991" s="168"/>
      <c r="J991" s="168"/>
    </row>
    <row r="992" spans="1:10" ht="17">
      <c r="A992" s="168"/>
      <c r="B992" s="168"/>
      <c r="C992" s="168"/>
      <c r="G992" s="175"/>
      <c r="H992" s="175"/>
      <c r="I992" s="168"/>
      <c r="J992" s="168"/>
    </row>
    <row r="993" spans="1:10" ht="17">
      <c r="A993" s="168"/>
      <c r="B993" s="168"/>
      <c r="C993" s="168"/>
      <c r="G993" s="175"/>
      <c r="H993" s="175"/>
      <c r="I993" s="168"/>
      <c r="J993" s="168"/>
    </row>
    <row r="994" spans="1:10" ht="17">
      <c r="A994" s="168"/>
      <c r="B994" s="168"/>
      <c r="C994" s="168"/>
      <c r="G994" s="175"/>
      <c r="H994" s="175"/>
      <c r="I994" s="168"/>
      <c r="J994" s="168"/>
    </row>
    <row r="995" spans="1:10" ht="17">
      <c r="A995" s="168"/>
      <c r="B995" s="168"/>
      <c r="C995" s="168"/>
      <c r="G995" s="175"/>
      <c r="H995" s="175"/>
      <c r="I995" s="168"/>
      <c r="J995" s="168"/>
    </row>
    <row r="996" spans="1:10" ht="17">
      <c r="A996" s="168"/>
      <c r="B996" s="168"/>
      <c r="C996" s="168"/>
      <c r="G996" s="175"/>
      <c r="H996" s="175"/>
      <c r="I996" s="168"/>
      <c r="J996" s="168"/>
    </row>
    <row r="997" spans="1:10" ht="17">
      <c r="A997" s="168"/>
      <c r="B997" s="168"/>
      <c r="C997" s="168"/>
      <c r="G997" s="175"/>
      <c r="H997" s="175"/>
      <c r="I997" s="168"/>
      <c r="J997" s="168"/>
    </row>
    <row r="998" spans="1:10" ht="17">
      <c r="A998" s="168"/>
      <c r="B998" s="168"/>
      <c r="C998" s="168"/>
      <c r="G998" s="175"/>
      <c r="H998" s="175"/>
      <c r="I998" s="168"/>
      <c r="J998" s="168"/>
    </row>
    <row r="999" spans="1:10" ht="17">
      <c r="A999" s="168"/>
      <c r="B999" s="168"/>
      <c r="C999" s="168"/>
      <c r="G999" s="175"/>
      <c r="H999" s="175"/>
      <c r="I999" s="168"/>
      <c r="J999" s="168"/>
    </row>
    <row r="1000" spans="1:10" ht="17">
      <c r="A1000" s="168"/>
      <c r="B1000" s="168"/>
      <c r="C1000" s="168"/>
      <c r="G1000" s="175"/>
      <c r="H1000" s="175"/>
      <c r="I1000" s="168"/>
      <c r="J1000" s="168"/>
    </row>
  </sheetData>
  <customSheetViews>
    <customSheetView guid="{D79BF14D-0E82-45EB-9150-71D665DC09E0}" filter="1" showAutoFilter="1">
      <pageMargins left="0.7" right="0.7" top="0.75" bottom="0.75" header="0.3" footer="0.3"/>
      <autoFilter ref="B1:C200" xr:uid="{87AD9CB5-B5C2-B64B-9190-C0DDE906A138}">
        <filterColumn colId="1">
          <filters>
            <filter val="1. Some calculus and set theory 2. Some memorization required for exam but allowed to use formula sheet"/>
            <filter val="1. The first probability course in the pathway 2. Final exam is tough, requires memorizing formulas not on the formula sheet"/>
            <filter val="Agree with another review: This is difficult, but not more than it needs to be. You should be extremely comfortable with calc before attempting this course: Brush up at least on derivatives, integrals, and series summation."/>
            <filter val="Algebra, Calculus, R. Some of the reading did not fit well with the lectures. The first couple of weeks are difficult and unclear until reading into week 3. Not enough examples to help."/>
            <filter val="Compared with other courses, this and next statistics course is proctored &amp; one-time exam. You need to be prepared if you want higher grade."/>
            <filter val="Honestly dont feel that this is required. Mostly concepts about the databases etc but no technical learning."/>
            <filter val="I didn't love the &quot;cadence&quot; set between lectures, quizzes, and assignments. R, Calculus, Algebra, and additional resources were needed to complete the course."/>
            <filter val="None"/>
            <filter val="Quite Good"/>
            <filter val="Relatively chill content. And the prof teaches well."/>
            <filter val="The content are relatively straightforward and assignments and exams are easy too."/>
            <filter val="The course is structured well. Probability theory is hard but the course doesn't make it any harder than it needs to be."/>
            <filter val="This course is really without any experience in mathematical statistics. The professor does not fill in the blanks for a lot of the math, leaving you in the dark. The best advice for this class is to just practice practice practice."/>
          </filters>
        </filterColumn>
      </autoFilter>
    </customSheetView>
  </customSheetViews>
  <conditionalFormatting sqref="G1:G1000">
    <cfRule type="containsText" dxfId="14" priority="1" operator="containsText" text="DTSA">
      <formula>NOT(ISERROR(SEARCH(("DTSA"),(G1))))</formula>
    </cfRule>
    <cfRule type="containsText" dxfId="13" priority="2" operator="containsText" text="EMEA">
      <formula>NOT(ISERROR(SEARCH(("EMEA"),(G1))))</formula>
    </cfRule>
    <cfRule type="containsText" dxfId="12" priority="3" operator="containsText" text="ECEA">
      <formula>NOT(ISERROR(SEARCH(("ECEA"),(G1))))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MSCS Info</vt:lpstr>
      <vt:lpstr>MSCS Module Descriptions</vt:lpstr>
      <vt:lpstr>MSCS Reviews</vt:lpstr>
      <vt:lpstr>MSCS OE Reviews</vt:lpstr>
      <vt:lpstr>MSCS Review Responses</vt:lpstr>
      <vt:lpstr>FAQs</vt:lpstr>
      <vt:lpstr>MSDS Info</vt:lpstr>
      <vt:lpstr>MSDS Reviews</vt:lpstr>
      <vt:lpstr>MSDS OE Reviews</vt:lpstr>
      <vt:lpstr>MEEM Info</vt:lpstr>
      <vt:lpstr>MEEM Reviews</vt:lpstr>
      <vt:lpstr>MEEM OE Reviews</vt:lpstr>
      <vt:lpstr>MSEE Info</vt:lpstr>
      <vt:lpstr>MSEE Reviews</vt:lpstr>
      <vt:lpstr>Outside Review Form Responses</vt:lpstr>
      <vt:lpstr>MSEE OE Reviews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Ryan Talbot</cp:lastModifiedBy>
  <dcterms:created xsi:type="dcterms:W3CDTF">2024-09-05T18:58:52Z</dcterms:created>
  <dcterms:modified xsi:type="dcterms:W3CDTF">2024-09-05T18:58:52Z</dcterms:modified>
</cp:coreProperties>
</file>