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8_{85669E2B-E332-4309-931B-C85B83314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K15" i="1"/>
  <c r="AF15" i="1"/>
  <c r="AE15" i="1"/>
  <c r="X15" i="1"/>
  <c r="W15" i="1"/>
  <c r="V15" i="1"/>
  <c r="T15" i="1"/>
  <c r="R15" i="1"/>
  <c r="Q15" i="1"/>
  <c r="M15" i="1"/>
  <c r="L15" i="1"/>
  <c r="K15" i="1"/>
  <c r="I15" i="1"/>
  <c r="H15" i="1"/>
  <c r="G15" i="1"/>
  <c r="F15" i="1"/>
  <c r="J13" i="1"/>
  <c r="J12" i="1"/>
  <c r="N12" i="1" s="1"/>
  <c r="AH14" i="1"/>
  <c r="AG14" i="1"/>
  <c r="AA14" i="1"/>
  <c r="AB14" i="1" s="1"/>
  <c r="J14" i="1"/>
  <c r="N14" i="1" s="1"/>
  <c r="AH13" i="1"/>
  <c r="AG13" i="1"/>
  <c r="AA13" i="1"/>
  <c r="AB13" i="1" s="1"/>
  <c r="N13" i="1"/>
  <c r="AH12" i="1"/>
  <c r="AG12" i="1"/>
  <c r="AA12" i="1"/>
  <c r="AJ12" i="1" s="1"/>
  <c r="AH11" i="1"/>
  <c r="AG11" i="1"/>
  <c r="AA11" i="1"/>
  <c r="AB11" i="1" s="1"/>
  <c r="J11" i="1"/>
  <c r="N11" i="1" s="1"/>
  <c r="AJ13" i="1" l="1"/>
  <c r="AJ14" i="1"/>
  <c r="AJ11" i="1"/>
  <c r="P12" i="1"/>
  <c r="S12" i="1" s="1"/>
  <c r="O12" i="1"/>
  <c r="P14" i="1"/>
  <c r="S14" i="1" s="1"/>
  <c r="O14" i="1"/>
  <c r="P13" i="1"/>
  <c r="S13" i="1" s="1"/>
  <c r="O13" i="1"/>
  <c r="AB12" i="1"/>
  <c r="P11" i="1"/>
  <c r="S11" i="1" s="1"/>
  <c r="O11" i="1"/>
  <c r="U14" i="1" l="1"/>
  <c r="Y14" i="1" s="1"/>
  <c r="U12" i="1"/>
  <c r="Z12" i="1" s="1"/>
  <c r="U13" i="1"/>
  <c r="U11" i="1"/>
  <c r="AN15" i="1"/>
  <c r="AH10" i="1"/>
  <c r="AH15" i="1" s="1"/>
  <c r="AA10" i="1"/>
  <c r="AB10" i="1" s="1"/>
  <c r="J10" i="1"/>
  <c r="J15" i="1" s="1"/>
  <c r="AB15" i="1" l="1"/>
  <c r="AA15" i="1"/>
  <c r="AI14" i="1"/>
  <c r="AM14" i="1" s="1"/>
  <c r="Z14" i="1"/>
  <c r="AC14" i="1" s="1"/>
  <c r="AD14" i="1" s="1"/>
  <c r="Y12" i="1"/>
  <c r="AC12" i="1" s="1"/>
  <c r="AD12" i="1" s="1"/>
  <c r="Z13" i="1"/>
  <c r="AI12" i="1"/>
  <c r="AM12" i="1" s="1"/>
  <c r="Y13" i="1"/>
  <c r="AI13" i="1"/>
  <c r="AM13" i="1" s="1"/>
  <c r="AI11" i="1"/>
  <c r="AM11" i="1" s="1"/>
  <c r="Y11" i="1"/>
  <c r="Z11" i="1"/>
  <c r="AJ10" i="1"/>
  <c r="AJ15" i="1" s="1"/>
  <c r="N10" i="1"/>
  <c r="N15" i="1" s="1"/>
  <c r="AG10" i="1"/>
  <c r="AG15" i="1" s="1"/>
  <c r="I18" i="1" l="1"/>
  <c r="AC13" i="1"/>
  <c r="AD13" i="1" s="1"/>
  <c r="AC11" i="1"/>
  <c r="AD11" i="1" s="1"/>
  <c r="P10" i="1"/>
  <c r="P15" i="1" s="1"/>
  <c r="O10" i="1"/>
  <c r="O15" i="1" l="1"/>
  <c r="S10" i="1"/>
  <c r="S15" i="1" s="1"/>
  <c r="U10" i="1" l="1"/>
  <c r="U15" i="1"/>
  <c r="AI10" i="1" l="1"/>
  <c r="AI15" i="1" s="1"/>
  <c r="Z10" i="1"/>
  <c r="Z15" i="1" s="1"/>
  <c r="Y10" i="1"/>
  <c r="Y15" i="1" s="1"/>
  <c r="I19" i="1" l="1"/>
  <c r="I21" i="1" s="1"/>
  <c r="AC10" i="1"/>
  <c r="AC15" i="1" s="1"/>
  <c r="AM10" i="1"/>
  <c r="AM15" i="1" s="1"/>
  <c r="AD10" i="1" l="1"/>
  <c r="AD15" i="1" s="1"/>
</calcChain>
</file>

<file path=xl/sharedStrings.xml><?xml version="1.0" encoding="utf-8"?>
<sst xmlns="http://schemas.openxmlformats.org/spreadsheetml/2006/main" count="52" uniqueCount="49">
  <si>
    <t xml:space="preserve">         </t>
  </si>
  <si>
    <t xml:space="preserve">        </t>
  </si>
  <si>
    <t>`</t>
  </si>
  <si>
    <t>Name</t>
  </si>
  <si>
    <t>Days Payable For The Month Payable-Paid</t>
  </si>
  <si>
    <t>Basic</t>
  </si>
  <si>
    <t>D.A</t>
  </si>
  <si>
    <t>HRA</t>
  </si>
  <si>
    <t>Edu. cation</t>
  </si>
  <si>
    <t>Med. Allo</t>
  </si>
  <si>
    <t>Conv</t>
  </si>
  <si>
    <t>Rate Gross  PM</t>
  </si>
  <si>
    <t>Gross Earning</t>
  </si>
  <si>
    <t>Per Hour  OT Rate Double</t>
  </si>
  <si>
    <t>Applicable For Singal (Hrs)</t>
  </si>
  <si>
    <t>Applicable For Double (Hrs)</t>
  </si>
  <si>
    <t>OT Amount</t>
  </si>
  <si>
    <t>Difference</t>
  </si>
  <si>
    <t>Total Gross Earning</t>
  </si>
  <si>
    <t>MLWF</t>
  </si>
  <si>
    <t>Advance</t>
  </si>
  <si>
    <t>Canteen</t>
  </si>
  <si>
    <t>Prof. Tax</t>
  </si>
  <si>
    <t>Cal.Basic+spl.al./26*pre days</t>
  </si>
  <si>
    <t>PF 12%</t>
  </si>
  <si>
    <t xml:space="preserve">Total Ded'n </t>
  </si>
  <si>
    <t>Pay slip Net PM</t>
  </si>
  <si>
    <t>Telep PM</t>
  </si>
  <si>
    <t>Sub Total</t>
  </si>
  <si>
    <t>ER Contribution MLWF</t>
  </si>
  <si>
    <t>CTC Per Month</t>
  </si>
  <si>
    <t>Service charges 10%</t>
  </si>
  <si>
    <t>ESIC</t>
  </si>
  <si>
    <t xml:space="preserve">ARTI  ENTERPRISES </t>
  </si>
  <si>
    <t>PRASAD DHONDIBHAU MUTAKE</t>
  </si>
  <si>
    <t>Emper PF 13%</t>
  </si>
  <si>
    <t>Emper ESIC 3.25%</t>
  </si>
  <si>
    <t>ESIC 0.75%</t>
  </si>
  <si>
    <t>UAN</t>
  </si>
  <si>
    <t xml:space="preserve">ABHISHEK MUTKE </t>
  </si>
  <si>
    <t>SANDIP RANGNATH KURKUTE</t>
  </si>
  <si>
    <t>KIRAN PRAKASH GUNJAL</t>
  </si>
  <si>
    <t>SKILLED</t>
  </si>
  <si>
    <t>SEMISKILLED</t>
  </si>
  <si>
    <t>UNSKILLED</t>
  </si>
  <si>
    <t xml:space="preserve">EPF </t>
  </si>
  <si>
    <t>TOTAL</t>
  </si>
  <si>
    <t>PRADIP PANDHARINATH BORHADE</t>
  </si>
  <si>
    <t>Workers Paysheet For JUNE-2025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</si>
</sst>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5" fontId="2" fillId="2" borderId="0" xfId="0" applyNumberFormat="1" applyFont="1" applyFill="1"/>
    <xf numFmtId="0" fontId="4" fillId="2" borderId="0" xfId="0" applyFont="1" applyFill="1"/>
    <xf numFmtId="165" fontId="2" fillId="2" borderId="1" xfId="1" applyNumberFormat="1" applyFont="1" applyFill="1" applyBorder="1" applyAlignment="1">
      <alignment horizontal="center" wrapText="1"/>
    </xf>
    <xf numFmtId="165" fontId="2" fillId="2" borderId="1" xfId="1" applyNumberFormat="1" applyFont="1" applyFill="1" applyBorder="1"/>
    <xf numFmtId="165" fontId="3" fillId="2" borderId="1" xfId="1" applyNumberFormat="1" applyFont="1" applyFill="1" applyBorder="1"/>
    <xf numFmtId="1" fontId="0" fillId="2" borderId="1" xfId="0" applyNumberFormat="1" applyFill="1" applyBorder="1"/>
    <xf numFmtId="165" fontId="2" fillId="2" borderId="0" xfId="1" applyNumberFormat="1" applyFont="1" applyFill="1"/>
    <xf numFmtId="164" fontId="2" fillId="2" borderId="0" xfId="1" applyNumberFormat="1" applyFont="1" applyFill="1"/>
    <xf numFmtId="165" fontId="2" fillId="2" borderId="0" xfId="2" applyNumberFormat="1" applyFont="1" applyFill="1"/>
    <xf numFmtId="165" fontId="4" fillId="2" borderId="0" xfId="0" applyNumberFormat="1" applyFont="1" applyFill="1"/>
    <xf numFmtId="164" fontId="2" fillId="2" borderId="0" xfId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5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3" fillId="2" borderId="1" xfId="0" applyFont="1" applyFill="1" applyBorder="1"/>
    <xf numFmtId="165" fontId="5" fillId="2" borderId="1" xfId="1" applyNumberFormat="1" applyFont="1" applyFill="1" applyBorder="1"/>
    <xf numFmtId="0" fontId="0" fillId="2" borderId="1" xfId="0" applyFill="1" applyBorder="1"/>
    <xf numFmtId="16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N21"/>
  <sheetViews>
    <sheetView tabSelected="1" workbookViewId="0">
      <pane xSplit="2" ySplit="9" topLeftCell="E10" activePane="bottomRight" state="frozen"/>
      <selection pane="topRight" activeCell="C1" sqref="C1"/>
      <selection pane="bottomLeft" activeCell="A10" sqref="A10"/>
      <selection pane="bottomRight" activeCell="N10" sqref="N10"/>
    </sheetView>
  </sheetViews>
  <sheetFormatPr defaultColWidth="9.109375" defaultRowHeight="13.2" x14ac:dyDescent="0.25"/>
  <cols>
    <col min="1" max="1" width="7" style="1" customWidth="1"/>
    <col min="2" max="2" width="32.88671875" style="1" bestFit="1" customWidth="1"/>
    <col min="3" max="3" width="11" style="1" bestFit="1" customWidth="1"/>
    <col min="4" max="4" width="13.109375" style="1" bestFit="1" customWidth="1"/>
    <col min="5" max="5" width="12" style="1" bestFit="1" customWidth="1"/>
    <col min="6" max="6" width="6.6640625" style="1" bestFit="1" customWidth="1"/>
    <col min="7" max="7" width="6.88671875" style="1" customWidth="1"/>
    <col min="8" max="8" width="11.5546875" style="1" customWidth="1"/>
    <col min="9" max="9" width="9.109375" style="1" customWidth="1"/>
    <col min="10" max="10" width="10.5546875" style="1" customWidth="1"/>
    <col min="11" max="11" width="11.109375" style="1" hidden="1" customWidth="1"/>
    <col min="12" max="12" width="10.5546875" style="1" hidden="1" customWidth="1"/>
    <col min="13" max="13" width="11.33203125" style="1" hidden="1" customWidth="1"/>
    <col min="14" max="14" width="10.5546875" style="9" customWidth="1"/>
    <col min="15" max="15" width="12.5546875" style="1" customWidth="1"/>
    <col min="16" max="16" width="12.6640625" style="1" customWidth="1"/>
    <col min="17" max="17" width="15.88671875" style="1" customWidth="1"/>
    <col min="18" max="18" width="14.5546875" style="1" customWidth="1"/>
    <col min="19" max="19" width="13.6640625" style="1" customWidth="1"/>
    <col min="20" max="20" width="9.6640625" style="1" customWidth="1"/>
    <col min="21" max="21" width="13.88671875" style="1" customWidth="1"/>
    <col min="22" max="22" width="6" style="1" hidden="1" customWidth="1"/>
    <col min="23" max="23" width="15.6640625" style="1" hidden="1" customWidth="1"/>
    <col min="24" max="24" width="12" style="1" hidden="1" customWidth="1"/>
    <col min="25" max="25" width="10.44140625" style="1" bestFit="1" customWidth="1"/>
    <col min="26" max="26" width="10.5546875" style="1" customWidth="1"/>
    <col min="27" max="27" width="17.109375" style="1" bestFit="1" customWidth="1"/>
    <col min="28" max="28" width="9" style="1" bestFit="1" customWidth="1"/>
    <col min="29" max="29" width="10.6640625" style="1" bestFit="1" customWidth="1"/>
    <col min="30" max="30" width="12.33203125" style="9" bestFit="1" customWidth="1"/>
    <col min="31" max="31" width="9.6640625" style="1" hidden="1" customWidth="1"/>
    <col min="32" max="32" width="11.33203125" style="1" hidden="1" customWidth="1"/>
    <col min="33" max="33" width="10.109375" style="1" hidden="1" customWidth="1"/>
    <col min="34" max="34" width="12.109375" style="1" hidden="1" customWidth="1"/>
    <col min="35" max="35" width="12" style="1" customWidth="1"/>
    <col min="36" max="36" width="12" style="1" bestFit="1" customWidth="1"/>
    <col min="37" max="38" width="12" style="1" hidden="1" customWidth="1"/>
    <col min="39" max="39" width="11.109375" style="1" bestFit="1" customWidth="1"/>
    <col min="40" max="40" width="11.109375" style="1" hidden="1" customWidth="1"/>
    <col min="41" max="16384" width="9.109375" style="1"/>
  </cols>
  <sheetData>
    <row r="2" spans="1:40" x14ac:dyDescent="0.25">
      <c r="B2" s="1" t="s">
        <v>33</v>
      </c>
    </row>
    <row r="3" spans="1:40" x14ac:dyDescent="0.25">
      <c r="A3" s="10" t="s">
        <v>0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40" x14ac:dyDescent="0.25">
      <c r="A4" s="2" t="s">
        <v>1</v>
      </c>
      <c r="B4" s="2" t="s">
        <v>48</v>
      </c>
      <c r="C4" s="2"/>
      <c r="D4" s="2"/>
      <c r="E4" s="2"/>
      <c r="N4" s="1"/>
      <c r="O4" s="11"/>
      <c r="R4" s="3"/>
      <c r="S4" s="3"/>
      <c r="T4" s="3"/>
      <c r="U4" s="3"/>
      <c r="V4" s="12"/>
      <c r="W4" s="3"/>
      <c r="X4" s="3"/>
      <c r="Y4" s="3"/>
      <c r="Z4" s="3"/>
      <c r="AA4" s="3"/>
      <c r="AB4" s="3"/>
      <c r="AI4" s="3"/>
      <c r="AJ4" s="3"/>
      <c r="AK4" s="3"/>
      <c r="AL4" s="3"/>
    </row>
    <row r="5" spans="1:40" x14ac:dyDescent="0.25">
      <c r="G5" s="2"/>
      <c r="J5" s="2"/>
      <c r="N5" s="1"/>
      <c r="O5" s="11"/>
      <c r="R5" s="3"/>
      <c r="S5" s="3"/>
      <c r="T5" s="3"/>
      <c r="U5" s="3"/>
      <c r="V5" s="12"/>
      <c r="W5" s="3"/>
      <c r="X5" s="3"/>
      <c r="Y5" s="3"/>
      <c r="Z5" s="3"/>
      <c r="AA5" s="3"/>
      <c r="AB5" s="3"/>
      <c r="AI5" s="3"/>
      <c r="AJ5" s="3"/>
      <c r="AK5" s="3"/>
      <c r="AL5" s="3"/>
    </row>
    <row r="6" spans="1:40" x14ac:dyDescent="0.25">
      <c r="G6" s="2"/>
      <c r="M6" s="11"/>
      <c r="N6" s="1"/>
      <c r="O6" s="11"/>
      <c r="Q6" s="3"/>
      <c r="R6" s="3"/>
      <c r="S6" s="3"/>
      <c r="T6" s="3"/>
      <c r="U6" s="3"/>
      <c r="V6" s="12"/>
      <c r="W6" s="3"/>
      <c r="X6" s="3"/>
      <c r="Y6" s="3"/>
      <c r="Z6" s="3"/>
      <c r="AA6" s="3"/>
      <c r="AB6" s="3"/>
      <c r="AI6" s="3"/>
      <c r="AJ6" s="3"/>
      <c r="AK6" s="3"/>
      <c r="AL6" s="3"/>
    </row>
    <row r="7" spans="1:40" x14ac:dyDescent="0.25">
      <c r="I7" s="3"/>
      <c r="K7" s="3"/>
      <c r="N7" s="1"/>
      <c r="O7" s="11"/>
      <c r="P7" s="3"/>
      <c r="Q7" s="3"/>
      <c r="R7" s="3"/>
      <c r="S7" s="3"/>
      <c r="T7" s="3"/>
      <c r="U7" s="3"/>
      <c r="V7" s="12"/>
      <c r="W7" s="3"/>
      <c r="X7" s="3"/>
      <c r="Y7" s="3"/>
      <c r="Z7" s="3"/>
      <c r="AA7" s="10" t="s">
        <v>2</v>
      </c>
      <c r="AB7" s="3"/>
      <c r="AI7" s="3"/>
      <c r="AJ7" s="3"/>
      <c r="AK7" s="3"/>
      <c r="AL7" s="3"/>
    </row>
    <row r="8" spans="1:40" x14ac:dyDescent="0.25">
      <c r="C8" s="2"/>
      <c r="I8" s="13"/>
      <c r="V8" s="4"/>
      <c r="W8" s="4"/>
    </row>
    <row r="9" spans="1:40" ht="39.6" x14ac:dyDescent="0.25">
      <c r="A9" s="14">
        <v>1</v>
      </c>
      <c r="B9" s="15" t="s">
        <v>3</v>
      </c>
      <c r="C9" s="15" t="s">
        <v>32</v>
      </c>
      <c r="D9" s="15" t="s">
        <v>38</v>
      </c>
      <c r="E9" s="15"/>
      <c r="F9" s="26" t="s">
        <v>4</v>
      </c>
      <c r="G9" s="26"/>
      <c r="H9" s="17" t="s">
        <v>5</v>
      </c>
      <c r="I9" s="5" t="s">
        <v>6</v>
      </c>
      <c r="J9" s="17" t="s">
        <v>7</v>
      </c>
      <c r="K9" s="5" t="s">
        <v>8</v>
      </c>
      <c r="L9" s="5" t="s">
        <v>9</v>
      </c>
      <c r="M9" s="17" t="s">
        <v>10</v>
      </c>
      <c r="N9" s="5" t="s">
        <v>11</v>
      </c>
      <c r="O9" s="5" t="s">
        <v>12</v>
      </c>
      <c r="P9" s="5" t="s">
        <v>13</v>
      </c>
      <c r="Q9" s="5" t="s">
        <v>14</v>
      </c>
      <c r="R9" s="5" t="s">
        <v>15</v>
      </c>
      <c r="S9" s="5" t="s">
        <v>16</v>
      </c>
      <c r="T9" s="5" t="s">
        <v>17</v>
      </c>
      <c r="U9" s="5" t="s">
        <v>18</v>
      </c>
      <c r="V9" s="5" t="s">
        <v>19</v>
      </c>
      <c r="W9" s="5" t="s">
        <v>20</v>
      </c>
      <c r="X9" s="5" t="s">
        <v>21</v>
      </c>
      <c r="Y9" s="5" t="s">
        <v>22</v>
      </c>
      <c r="Z9" s="5" t="s">
        <v>37</v>
      </c>
      <c r="AA9" s="16" t="s">
        <v>23</v>
      </c>
      <c r="AB9" s="5" t="s">
        <v>24</v>
      </c>
      <c r="AC9" s="5" t="s">
        <v>25</v>
      </c>
      <c r="AD9" s="5" t="s">
        <v>26</v>
      </c>
      <c r="AE9" s="5"/>
      <c r="AF9" s="5" t="s">
        <v>27</v>
      </c>
      <c r="AG9" s="5" t="s">
        <v>28</v>
      </c>
      <c r="AH9" s="5" t="s">
        <v>29</v>
      </c>
      <c r="AI9" s="5" t="s">
        <v>36</v>
      </c>
      <c r="AJ9" s="5" t="s">
        <v>35</v>
      </c>
      <c r="AK9" s="18"/>
      <c r="AL9" s="18"/>
      <c r="AM9" s="5" t="s">
        <v>30</v>
      </c>
      <c r="AN9" s="18" t="s">
        <v>31</v>
      </c>
    </row>
    <row r="10" spans="1:40" ht="14.4" x14ac:dyDescent="0.3">
      <c r="A10" s="7">
        <v>1</v>
      </c>
      <c r="B10" s="19" t="s">
        <v>39</v>
      </c>
      <c r="C10" s="20">
        <v>3308712113</v>
      </c>
      <c r="D10" s="8">
        <v>100073224552</v>
      </c>
      <c r="E10" s="21" t="s">
        <v>42</v>
      </c>
      <c r="F10" s="19">
        <v>26</v>
      </c>
      <c r="G10" s="19">
        <v>8</v>
      </c>
      <c r="H10" s="19">
        <v>15225</v>
      </c>
      <c r="I10" s="22">
        <v>775</v>
      </c>
      <c r="J10" s="6">
        <f t="shared" ref="J10:J14" si="0">ROUND((+H10+I10)*5%,0)</f>
        <v>800</v>
      </c>
      <c r="K10" s="6">
        <v>0</v>
      </c>
      <c r="L10" s="6">
        <v>0</v>
      </c>
      <c r="M10" s="6">
        <v>0</v>
      </c>
      <c r="N10" s="6">
        <f>SUM(H10:M10)</f>
        <v>16800</v>
      </c>
      <c r="O10" s="6">
        <f>+N10/F10*G10</f>
        <v>5169.2307692307695</v>
      </c>
      <c r="P10" s="6">
        <f>N10/F10/8</f>
        <v>80.769230769230774</v>
      </c>
      <c r="Q10" s="6"/>
      <c r="R10" s="6"/>
      <c r="S10" s="6">
        <f t="shared" ref="S10:S14" si="1">+(P10*Q10)+((P10*2)*R10)</f>
        <v>0</v>
      </c>
      <c r="T10" s="6"/>
      <c r="U10" s="6">
        <f t="shared" ref="U10:U14" si="2">+O10+S10+T10</f>
        <v>5169.2307692307695</v>
      </c>
      <c r="V10" s="17">
        <v>0</v>
      </c>
      <c r="W10" s="6">
        <v>0</v>
      </c>
      <c r="X10" s="6">
        <v>0</v>
      </c>
      <c r="Y10" s="17">
        <f>ROUND(IF(U10&lt;7501,"0",IF(U10&lt;10001,"175",IF(U10&gt;10000,"200"))),0)</f>
        <v>0</v>
      </c>
      <c r="Z10" s="7">
        <f>+ROUNDUP(U10*0.75%,0)</f>
        <v>39</v>
      </c>
      <c r="AA10" s="6">
        <f>ROUND((((+H10+I10)/F10)*G10),0)</f>
        <v>4923</v>
      </c>
      <c r="AB10" s="6">
        <f>+ROUND(AA10*12%,0)</f>
        <v>591</v>
      </c>
      <c r="AC10" s="6">
        <f t="shared" ref="AC10:AC14" si="3">+X10+V10+Y10+Z10+AB10+W10</f>
        <v>630</v>
      </c>
      <c r="AD10" s="6">
        <f>ROUND(U10-AC10,0)</f>
        <v>4539</v>
      </c>
      <c r="AE10" s="23"/>
      <c r="AF10" s="6">
        <v>0</v>
      </c>
      <c r="AG10" s="6">
        <f>(SUM(AE10:AF10)/F10)*G10</f>
        <v>0</v>
      </c>
      <c r="AH10" s="6">
        <f t="shared" ref="AH10:AH14" si="4">+V10*3</f>
        <v>0</v>
      </c>
      <c r="AI10" s="7">
        <f>+ROUND(U10*3.25%,0)</f>
        <v>168</v>
      </c>
      <c r="AJ10" s="6">
        <f>+AA10*13%</f>
        <v>639.99</v>
      </c>
      <c r="AK10" s="6"/>
      <c r="AL10" s="23"/>
      <c r="AM10" s="17">
        <f>+U10+AI10+AJ10+AH10+AE10+AK10+AL10</f>
        <v>5977.2207692307693</v>
      </c>
      <c r="AN10" s="6"/>
    </row>
    <row r="11" spans="1:40" ht="14.4" x14ac:dyDescent="0.3">
      <c r="A11" s="7">
        <v>2</v>
      </c>
      <c r="B11" s="24" t="s">
        <v>34</v>
      </c>
      <c r="C11" s="20">
        <v>3308988624</v>
      </c>
      <c r="D11" s="8">
        <v>101191349026</v>
      </c>
      <c r="E11" s="21" t="s">
        <v>43</v>
      </c>
      <c r="F11" s="19">
        <v>26</v>
      </c>
      <c r="G11" s="19">
        <v>9</v>
      </c>
      <c r="H11" s="19">
        <v>13805</v>
      </c>
      <c r="I11" s="22">
        <v>775</v>
      </c>
      <c r="J11" s="6">
        <f t="shared" si="0"/>
        <v>729</v>
      </c>
      <c r="K11" s="6">
        <v>0</v>
      </c>
      <c r="L11" s="6">
        <v>0</v>
      </c>
      <c r="M11" s="6">
        <v>0</v>
      </c>
      <c r="N11" s="6">
        <f>SUM(H11:M11)</f>
        <v>15309</v>
      </c>
      <c r="O11" s="6">
        <f>+N11/F11*G11</f>
        <v>5299.2692307692305</v>
      </c>
      <c r="P11" s="6">
        <f>N11/F11/8</f>
        <v>73.600961538461533</v>
      </c>
      <c r="Q11" s="6"/>
      <c r="R11" s="6"/>
      <c r="S11" s="6">
        <f t="shared" si="1"/>
        <v>0</v>
      </c>
      <c r="T11" s="6"/>
      <c r="U11" s="6">
        <f t="shared" si="2"/>
        <v>5299.2692307692305</v>
      </c>
      <c r="V11" s="17">
        <v>0</v>
      </c>
      <c r="W11" s="6">
        <v>0</v>
      </c>
      <c r="X11" s="6">
        <v>0</v>
      </c>
      <c r="Y11" s="17">
        <f>ROUND(IF(U11&lt;7501,"0",IF(U11&lt;10001,"175",IF(U11&gt;10000,"200"))),0)</f>
        <v>0</v>
      </c>
      <c r="Z11" s="7">
        <f>+ROUNDUP(U11*0.75%,0)</f>
        <v>40</v>
      </c>
      <c r="AA11" s="6">
        <f>ROUND((((+H11+I11)/F11)*G11),0)</f>
        <v>5047</v>
      </c>
      <c r="AB11" s="6">
        <f>+ROUND(AA11*12%,0)</f>
        <v>606</v>
      </c>
      <c r="AC11" s="6">
        <f t="shared" si="3"/>
        <v>646</v>
      </c>
      <c r="AD11" s="6">
        <f>ROUND(U11-AC11,0)</f>
        <v>4653</v>
      </c>
      <c r="AE11" s="23"/>
      <c r="AF11" s="6">
        <v>0</v>
      </c>
      <c r="AG11" s="6">
        <f>(SUM(AE11:AF11)/F11)*G11</f>
        <v>0</v>
      </c>
      <c r="AH11" s="6">
        <f t="shared" si="4"/>
        <v>0</v>
      </c>
      <c r="AI11" s="7">
        <f>+ROUND(U11*3.25%,0)</f>
        <v>172</v>
      </c>
      <c r="AJ11" s="6">
        <f>+AA11*13%</f>
        <v>656.11</v>
      </c>
      <c r="AK11" s="6"/>
      <c r="AL11" s="23"/>
      <c r="AM11" s="17">
        <f>+U11+AI11+AJ11+AH11+AE11+AK11+AL11</f>
        <v>6127.3792307692302</v>
      </c>
      <c r="AN11" s="6"/>
    </row>
    <row r="12" spans="1:40" ht="14.4" x14ac:dyDescent="0.3">
      <c r="A12" s="7">
        <v>3</v>
      </c>
      <c r="B12" s="24" t="s">
        <v>40</v>
      </c>
      <c r="C12" s="20">
        <v>3315286974</v>
      </c>
      <c r="D12" s="8">
        <v>101963944595</v>
      </c>
      <c r="E12" s="21" t="s">
        <v>43</v>
      </c>
      <c r="F12" s="19">
        <v>26</v>
      </c>
      <c r="G12" s="19">
        <v>3</v>
      </c>
      <c r="H12" s="19">
        <v>13805</v>
      </c>
      <c r="I12" s="22">
        <v>775</v>
      </c>
      <c r="J12" s="6">
        <f t="shared" ref="J12:J13" si="5">ROUND((+H12+I12)*5%,0)</f>
        <v>729</v>
      </c>
      <c r="K12" s="6">
        <v>0</v>
      </c>
      <c r="L12" s="6">
        <v>0</v>
      </c>
      <c r="M12" s="6">
        <v>0</v>
      </c>
      <c r="N12" s="6">
        <f t="shared" ref="N12:N14" si="6">SUM(H12:M12)</f>
        <v>15309</v>
      </c>
      <c r="O12" s="6">
        <f t="shared" ref="O12:O14" si="7">+N12/F12*G12</f>
        <v>1766.4230769230767</v>
      </c>
      <c r="P12" s="6">
        <f t="shared" ref="P12:P14" si="8">N12/F12/8</f>
        <v>73.600961538461533</v>
      </c>
      <c r="Q12" s="6"/>
      <c r="R12" s="6"/>
      <c r="S12" s="6">
        <f t="shared" si="1"/>
        <v>0</v>
      </c>
      <c r="T12" s="6"/>
      <c r="U12" s="6">
        <f t="shared" si="2"/>
        <v>1766.4230769230767</v>
      </c>
      <c r="V12" s="17">
        <v>0</v>
      </c>
      <c r="W12" s="6">
        <v>0</v>
      </c>
      <c r="X12" s="6">
        <v>0</v>
      </c>
      <c r="Y12" s="17">
        <f t="shared" ref="Y12:Y14" si="9">ROUND(IF(U12&lt;7501,"0",IF(U12&lt;10001,"175",IF(U12&gt;10000,"200"))),0)</f>
        <v>0</v>
      </c>
      <c r="Z12" s="7">
        <f t="shared" ref="Z12:Z14" si="10">+ROUNDUP(U12*0.75%,0)</f>
        <v>14</v>
      </c>
      <c r="AA12" s="6">
        <f t="shared" ref="AA12:AA14" si="11">ROUND((((+H12+I12)/F12)*G12),0)</f>
        <v>1682</v>
      </c>
      <c r="AB12" s="6">
        <f t="shared" ref="AB12:AB14" si="12">+ROUND(AA12*12%,0)</f>
        <v>202</v>
      </c>
      <c r="AC12" s="6">
        <f t="shared" si="3"/>
        <v>216</v>
      </c>
      <c r="AD12" s="6">
        <f t="shared" ref="AD12:AD14" si="13">ROUND(U12-AC12,0)</f>
        <v>1550</v>
      </c>
      <c r="AE12" s="23"/>
      <c r="AF12" s="6">
        <v>0</v>
      </c>
      <c r="AG12" s="6">
        <f t="shared" ref="AG12:AG14" si="14">(SUM(AE12:AF12)/F12)*G12</f>
        <v>0</v>
      </c>
      <c r="AH12" s="6">
        <f t="shared" si="4"/>
        <v>0</v>
      </c>
      <c r="AI12" s="7">
        <f t="shared" ref="AI12:AI14" si="15">+ROUND(U12*3.25%,0)</f>
        <v>57</v>
      </c>
      <c r="AJ12" s="6">
        <f t="shared" ref="AJ12:AJ14" si="16">+AA12*13%</f>
        <v>218.66</v>
      </c>
      <c r="AK12" s="6"/>
      <c r="AL12" s="23"/>
      <c r="AM12" s="17">
        <f t="shared" ref="AM12:AM14" si="17">+U12+AI12+AJ12+AH12+AE12+AK12+AL12</f>
        <v>2042.0830769230768</v>
      </c>
      <c r="AN12" s="6"/>
    </row>
    <row r="13" spans="1:40" ht="14.4" x14ac:dyDescent="0.3">
      <c r="A13" s="7">
        <v>4</v>
      </c>
      <c r="B13" s="24" t="s">
        <v>41</v>
      </c>
      <c r="C13" s="20">
        <v>3315286992</v>
      </c>
      <c r="D13" s="8">
        <v>101257212032</v>
      </c>
      <c r="E13" s="21" t="s">
        <v>43</v>
      </c>
      <c r="F13" s="19">
        <v>26</v>
      </c>
      <c r="G13" s="19">
        <v>3</v>
      </c>
      <c r="H13" s="19">
        <v>13805</v>
      </c>
      <c r="I13" s="22">
        <v>775</v>
      </c>
      <c r="J13" s="6">
        <f t="shared" si="5"/>
        <v>729</v>
      </c>
      <c r="K13" s="6">
        <v>0</v>
      </c>
      <c r="L13" s="6">
        <v>0</v>
      </c>
      <c r="M13" s="6">
        <v>0</v>
      </c>
      <c r="N13" s="6">
        <f t="shared" si="6"/>
        <v>15309</v>
      </c>
      <c r="O13" s="6">
        <f t="shared" si="7"/>
        <v>1766.4230769230767</v>
      </c>
      <c r="P13" s="6">
        <f t="shared" si="8"/>
        <v>73.600961538461533</v>
      </c>
      <c r="Q13" s="6"/>
      <c r="R13" s="6"/>
      <c r="S13" s="6">
        <f t="shared" si="1"/>
        <v>0</v>
      </c>
      <c r="T13" s="6"/>
      <c r="U13" s="6">
        <f t="shared" si="2"/>
        <v>1766.4230769230767</v>
      </c>
      <c r="V13" s="17">
        <v>0</v>
      </c>
      <c r="W13" s="6">
        <v>0</v>
      </c>
      <c r="X13" s="6">
        <v>0</v>
      </c>
      <c r="Y13" s="17">
        <f t="shared" si="9"/>
        <v>0</v>
      </c>
      <c r="Z13" s="7">
        <f t="shared" si="10"/>
        <v>14</v>
      </c>
      <c r="AA13" s="6">
        <f t="shared" si="11"/>
        <v>1682</v>
      </c>
      <c r="AB13" s="6">
        <f t="shared" si="12"/>
        <v>202</v>
      </c>
      <c r="AC13" s="6">
        <f t="shared" si="3"/>
        <v>216</v>
      </c>
      <c r="AD13" s="6">
        <f t="shared" si="13"/>
        <v>1550</v>
      </c>
      <c r="AE13" s="23"/>
      <c r="AF13" s="6">
        <v>0</v>
      </c>
      <c r="AG13" s="6">
        <f t="shared" si="14"/>
        <v>0</v>
      </c>
      <c r="AH13" s="6">
        <f t="shared" si="4"/>
        <v>0</v>
      </c>
      <c r="AI13" s="7">
        <f t="shared" si="15"/>
        <v>57</v>
      </c>
      <c r="AJ13" s="6">
        <f t="shared" si="16"/>
        <v>218.66</v>
      </c>
      <c r="AK13" s="6"/>
      <c r="AL13" s="23"/>
      <c r="AM13" s="17">
        <f t="shared" si="17"/>
        <v>2042.0830769230768</v>
      </c>
      <c r="AN13" s="6"/>
    </row>
    <row r="14" spans="1:40" ht="14.4" x14ac:dyDescent="0.3">
      <c r="A14" s="7">
        <v>5</v>
      </c>
      <c r="B14" s="24" t="s">
        <v>47</v>
      </c>
      <c r="C14" s="20">
        <v>3315287002</v>
      </c>
      <c r="D14" s="8">
        <v>101912480202</v>
      </c>
      <c r="E14" s="21" t="s">
        <v>44</v>
      </c>
      <c r="F14" s="19">
        <v>26</v>
      </c>
      <c r="G14" s="19">
        <v>2</v>
      </c>
      <c r="H14" s="19">
        <v>12795</v>
      </c>
      <c r="I14" s="22">
        <v>775</v>
      </c>
      <c r="J14" s="6">
        <f t="shared" si="0"/>
        <v>679</v>
      </c>
      <c r="K14" s="6">
        <v>0</v>
      </c>
      <c r="L14" s="6">
        <v>0</v>
      </c>
      <c r="M14" s="6">
        <v>0</v>
      </c>
      <c r="N14" s="6">
        <f t="shared" si="6"/>
        <v>14249</v>
      </c>
      <c r="O14" s="6">
        <f t="shared" si="7"/>
        <v>1096.0769230769231</v>
      </c>
      <c r="P14" s="6">
        <f t="shared" si="8"/>
        <v>68.504807692307693</v>
      </c>
      <c r="Q14" s="6"/>
      <c r="R14" s="6"/>
      <c r="S14" s="6">
        <f t="shared" si="1"/>
        <v>0</v>
      </c>
      <c r="T14" s="6"/>
      <c r="U14" s="6">
        <f t="shared" si="2"/>
        <v>1096.0769230769231</v>
      </c>
      <c r="V14" s="17">
        <v>0</v>
      </c>
      <c r="W14" s="6">
        <v>0</v>
      </c>
      <c r="X14" s="6">
        <v>0</v>
      </c>
      <c r="Y14" s="17">
        <f t="shared" si="9"/>
        <v>0</v>
      </c>
      <c r="Z14" s="7">
        <f t="shared" si="10"/>
        <v>9</v>
      </c>
      <c r="AA14" s="6">
        <f t="shared" si="11"/>
        <v>1044</v>
      </c>
      <c r="AB14" s="6">
        <f t="shared" si="12"/>
        <v>125</v>
      </c>
      <c r="AC14" s="6">
        <f t="shared" si="3"/>
        <v>134</v>
      </c>
      <c r="AD14" s="6">
        <f t="shared" si="13"/>
        <v>962</v>
      </c>
      <c r="AE14" s="23"/>
      <c r="AF14" s="6">
        <v>0</v>
      </c>
      <c r="AG14" s="6">
        <f t="shared" si="14"/>
        <v>0</v>
      </c>
      <c r="AH14" s="6">
        <f t="shared" si="4"/>
        <v>0</v>
      </c>
      <c r="AI14" s="7">
        <f t="shared" si="15"/>
        <v>36</v>
      </c>
      <c r="AJ14" s="6">
        <f t="shared" si="16"/>
        <v>135.72</v>
      </c>
      <c r="AK14" s="6"/>
      <c r="AL14" s="23"/>
      <c r="AM14" s="17">
        <f t="shared" si="17"/>
        <v>1267.7969230769231</v>
      </c>
      <c r="AN14" s="6"/>
    </row>
    <row r="15" spans="1:40" x14ac:dyDescent="0.25">
      <c r="A15" s="19"/>
      <c r="B15" s="19"/>
      <c r="C15" s="19"/>
      <c r="D15" s="19"/>
      <c r="E15" s="19"/>
      <c r="F15" s="25">
        <f t="shared" ref="F15:AM15" si="18">SUBTOTAL(9,F10:F14)</f>
        <v>130</v>
      </c>
      <c r="G15" s="25">
        <f t="shared" si="18"/>
        <v>25</v>
      </c>
      <c r="H15" s="25">
        <f t="shared" si="18"/>
        <v>69435</v>
      </c>
      <c r="I15" s="25">
        <f t="shared" si="18"/>
        <v>3875</v>
      </c>
      <c r="J15" s="25">
        <f t="shared" si="18"/>
        <v>3666</v>
      </c>
      <c r="K15" s="25">
        <f t="shared" si="18"/>
        <v>0</v>
      </c>
      <c r="L15" s="25">
        <f t="shared" si="18"/>
        <v>0</v>
      </c>
      <c r="M15" s="25">
        <f t="shared" si="18"/>
        <v>0</v>
      </c>
      <c r="N15" s="25">
        <f t="shared" si="18"/>
        <v>76976</v>
      </c>
      <c r="O15" s="25">
        <f t="shared" si="18"/>
        <v>15097.423076923076</v>
      </c>
      <c r="P15" s="25">
        <f t="shared" si="18"/>
        <v>370.07692307692309</v>
      </c>
      <c r="Q15" s="25">
        <f t="shared" si="18"/>
        <v>0</v>
      </c>
      <c r="R15" s="25">
        <f t="shared" si="18"/>
        <v>0</v>
      </c>
      <c r="S15" s="25">
        <f t="shared" si="18"/>
        <v>0</v>
      </c>
      <c r="T15" s="25">
        <f t="shared" si="18"/>
        <v>0</v>
      </c>
      <c r="U15" s="25">
        <f t="shared" si="18"/>
        <v>15097.423076923076</v>
      </c>
      <c r="V15" s="25">
        <f t="shared" si="18"/>
        <v>0</v>
      </c>
      <c r="W15" s="25">
        <f t="shared" si="18"/>
        <v>0</v>
      </c>
      <c r="X15" s="25">
        <f t="shared" si="18"/>
        <v>0</v>
      </c>
      <c r="Y15" s="25">
        <f t="shared" si="18"/>
        <v>0</v>
      </c>
      <c r="Z15" s="25">
        <f t="shared" si="18"/>
        <v>116</v>
      </c>
      <c r="AA15" s="25">
        <f t="shared" si="18"/>
        <v>14378</v>
      </c>
      <c r="AB15" s="25">
        <f t="shared" si="18"/>
        <v>1726</v>
      </c>
      <c r="AC15" s="25">
        <f t="shared" si="18"/>
        <v>1842</v>
      </c>
      <c r="AD15" s="25">
        <f t="shared" si="18"/>
        <v>13254</v>
      </c>
      <c r="AE15" s="25">
        <f t="shared" si="18"/>
        <v>0</v>
      </c>
      <c r="AF15" s="25">
        <f t="shared" si="18"/>
        <v>0</v>
      </c>
      <c r="AG15" s="25">
        <f t="shared" si="18"/>
        <v>0</v>
      </c>
      <c r="AH15" s="25">
        <f t="shared" si="18"/>
        <v>0</v>
      </c>
      <c r="AI15" s="25">
        <f t="shared" si="18"/>
        <v>490</v>
      </c>
      <c r="AJ15" s="25">
        <f t="shared" si="18"/>
        <v>1869.14</v>
      </c>
      <c r="AK15" s="25">
        <f t="shared" si="18"/>
        <v>0</v>
      </c>
      <c r="AL15" s="25">
        <f t="shared" si="18"/>
        <v>0</v>
      </c>
      <c r="AM15" s="25">
        <f t="shared" si="18"/>
        <v>17456.563076923074</v>
      </c>
      <c r="AN15" s="25">
        <f>SUBTOTAL(9,AN10:AN10)</f>
        <v>0</v>
      </c>
    </row>
    <row r="16" spans="1:40" x14ac:dyDescent="0.25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8" spans="8:9" x14ac:dyDescent="0.25">
      <c r="H18" s="19" t="s">
        <v>45</v>
      </c>
      <c r="I18" s="25">
        <f>+AB15+AJ15</f>
        <v>3595.1400000000003</v>
      </c>
    </row>
    <row r="19" spans="8:9" x14ac:dyDescent="0.25">
      <c r="H19" s="19" t="s">
        <v>32</v>
      </c>
      <c r="I19" s="25">
        <f>+Z15+AI15</f>
        <v>606</v>
      </c>
    </row>
    <row r="20" spans="8:9" x14ac:dyDescent="0.25">
      <c r="H20" s="19"/>
      <c r="I20" s="19"/>
    </row>
    <row r="21" spans="8:9" x14ac:dyDescent="0.25">
      <c r="H21" s="19" t="s">
        <v>46</v>
      </c>
      <c r="I21" s="25">
        <f>+I18+I19</f>
        <v>4201.1400000000003</v>
      </c>
    </row>
  </sheetData>
  <mergeCells count="1">
    <mergeCell ref="F9:G9"/>
  </mergeCells>
  <pageMargins left="0.15748031496062992" right="0.23622047244094491" top="0.74803149606299213" bottom="0.74803149606299213" header="0.31496062992125984" footer="0.31496062992125984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2025-10-03T05:51:55Z</dcterms:modified>
</cp:coreProperties>
</file>