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640" tabRatio="651" activeTab="3"/>
  </bookViews>
  <sheets>
    <sheet name="Parameters" sheetId="1" r:id="rId1"/>
    <sheet name="Test" sheetId="2" r:id="rId2"/>
    <sheet name="Pivot" sheetId="3" r:id="rId3"/>
    <sheet name="Result" sheetId="4" r:id="rId4"/>
    <sheet name="Instructions" sheetId="5" r:id="rId5"/>
  </sheets>
  <definedNames>
    <definedName name="_xlnm._FilterDatabase" localSheetId="1" hidden="1">Test!$A$1:$AG$37</definedName>
    <definedName name="Capital">Parameters!$B$1</definedName>
    <definedName name="Leverage">Parameters!$B$2</definedName>
    <definedName name="TradingCapital">Parameters!$B$3</definedName>
    <definedName name="Tick">Parameters!$B$4</definedName>
    <definedName name="Limit">Parameters!$B$5</definedName>
  </definedNames>
  <calcPr calcId="144525"/>
  <pivotCaches>
    <pivotCache cacheId="0" r:id="rId6"/>
  </pivotCaches>
</workbook>
</file>

<file path=xl/comments1.xml><?xml version="1.0" encoding="utf-8"?>
<comments xmlns="http://schemas.openxmlformats.org/spreadsheetml/2006/main">
  <authors>
    <author>machine</author>
  </authors>
  <commentList>
    <comment ref="R1" authorId="0">
      <text>
        <r>
          <rPr>
            <sz val="9"/>
            <color indexed="81"/>
            <rFont val="宋体"/>
            <charset val="134"/>
          </rPr>
          <t xml:space="preserve">machine:
This is manually adjusted for each strategy</t>
        </r>
      </text>
    </comment>
    <comment ref="AC1" authorId="0">
      <text>
        <r>
          <rPr>
            <sz val="9"/>
            <color indexed="81"/>
            <rFont val="宋体"/>
            <charset val="134"/>
          </rPr>
          <t xml:space="preserve">machine:
This is manually adjusted for each strategy</t>
        </r>
      </text>
    </comment>
  </commentList>
</comments>
</file>

<file path=xl/sharedStrings.xml><?xml version="1.0" encoding="utf-8"?>
<sst xmlns="http://schemas.openxmlformats.org/spreadsheetml/2006/main" count="75">
  <si>
    <t>Capital</t>
  </si>
  <si>
    <t>Leverage</t>
  </si>
  <si>
    <t>TradingCapital</t>
  </si>
  <si>
    <t>Tick</t>
  </si>
  <si>
    <t>Limit</t>
  </si>
  <si>
    <t>timestamp</t>
  </si>
  <si>
    <t>symbol</t>
  </si>
  <si>
    <t>open</t>
  </si>
  <si>
    <t>high</t>
  </si>
  <si>
    <t>low</t>
  </si>
  <si>
    <t>close</t>
  </si>
  <si>
    <t>volume</t>
  </si>
  <si>
    <t>prevclose</t>
  </si>
  <si>
    <t>open_gt_prevclose</t>
  </si>
  <si>
    <t>open_eq_high</t>
  </si>
  <si>
    <t>open_eq_low</t>
  </si>
  <si>
    <t>ret_1</t>
  </si>
  <si>
    <t>cond_0</t>
  </si>
  <si>
    <t>buy_0</t>
  </si>
  <si>
    <t>stop_loss_0</t>
  </si>
  <si>
    <t>sell_0</t>
  </si>
  <si>
    <t>count</t>
  </si>
  <si>
    <t>Flag</t>
  </si>
  <si>
    <t>capital</t>
  </si>
  <si>
    <t>qty</t>
  </si>
  <si>
    <t>profit</t>
  </si>
  <si>
    <t>value</t>
  </si>
  <si>
    <t>cond_1</t>
  </si>
  <si>
    <t>price_1</t>
  </si>
  <si>
    <t>stop_loss_1</t>
  </si>
  <si>
    <t>buy_1</t>
  </si>
  <si>
    <t>sell_1</t>
  </si>
  <si>
    <t>five</t>
  </si>
  <si>
    <t>four</t>
  </si>
  <si>
    <t>one</t>
  </si>
  <si>
    <t>six</t>
  </si>
  <si>
    <t>three</t>
  </si>
  <si>
    <t>two</t>
  </si>
  <si>
    <t>Max</t>
  </si>
  <si>
    <t>Min</t>
  </si>
  <si>
    <t>Sharpe</t>
  </si>
  <si>
    <t>DD</t>
  </si>
  <si>
    <t>Data</t>
  </si>
  <si>
    <t>Sum of profit2</t>
  </si>
  <si>
    <t>Sum of value2</t>
  </si>
  <si>
    <t>Commission</t>
  </si>
  <si>
    <t>slippage</t>
  </si>
  <si>
    <t>net profit</t>
  </si>
  <si>
    <t>cum profit</t>
  </si>
  <si>
    <t>strategy</t>
  </si>
  <si>
    <t>start</t>
  </si>
  <si>
    <t>end</t>
  </si>
  <si>
    <t>lev</t>
  </si>
  <si>
    <t>comm</t>
  </si>
  <si>
    <t>slip</t>
  </si>
  <si>
    <t>sl</t>
  </si>
  <si>
    <t>order</t>
  </si>
  <si>
    <t>limit</t>
  </si>
  <si>
    <t>universe</t>
  </si>
  <si>
    <t>sort_by</t>
  </si>
  <si>
    <t>sort_mode</t>
  </si>
  <si>
    <t>commission</t>
  </si>
  <si>
    <t>net_profit</t>
  </si>
  <si>
    <t>drawdown</t>
  </si>
  <si>
    <t>returns</t>
  </si>
  <si>
    <t>sharpe</t>
  </si>
  <si>
    <t>s_0</t>
  </si>
  <si>
    <t>B</t>
  </si>
  <si>
    <t>all</t>
  </si>
  <si>
    <t>price</t>
  </si>
  <si>
    <t>s_1</t>
  </si>
  <si>
    <t>S</t>
  </si>
  <si>
    <t>Notes</t>
  </si>
  <si>
    <t>Capital taken at 100000 and leverage at 1</t>
  </si>
  <si>
    <t>This is the list of strategies</t>
  </si>
</sst>
</file>

<file path=xl/styles.xml><?xml version="1.0" encoding="utf-8"?>
<styleSheet xmlns="http://schemas.openxmlformats.org/spreadsheetml/2006/main">
  <numFmts count="8">
    <numFmt numFmtId="176" formatCode="0_ "/>
    <numFmt numFmtId="177" formatCode="yyyy\-m\-d"/>
    <numFmt numFmtId="178" formatCode="_ * #,##0_ ;_ * \-#,##0_ ;_ * &quot;-&quot;_ ;_ @_ "/>
    <numFmt numFmtId="42" formatCode="_(&quot;$&quot;* #,##0_);_(&quot;$&quot;* \(#,##0\);_(&quot;$&quot;* &quot;-&quot;_);_(@_)"/>
    <numFmt numFmtId="179" formatCode="0.00_ "/>
    <numFmt numFmtId="180" formatCode="_ * #,##0.00_ ;_ * \-#,##0.00_ ;_ * &quot;-&quot;??_ ;_ @_ "/>
    <numFmt numFmtId="44" formatCode="_(&quot;$&quot;* #,##0.00_);_(&quot;$&quot;* \(#,##0.00\);_(&quot;$&quot;* &quot;-&quot;??_);_(@_)"/>
    <numFmt numFmtId="181" formatCode="0.00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4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11" fillId="7" borderId="1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" fillId="3" borderId="1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2" borderId="2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177" fontId="0" fillId="0" borderId="7" xfId="0" applyNumberFormat="1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177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3330.5476157407" recordCount="36">
  <cacheSource type="worksheet">
    <worksheetSource ref="A1:AG37" sheet="Test"/>
  </cacheSource>
  <cacheFields count="33">
    <cacheField name="timestamp">
      <sharedItems containsSemiMixedTypes="0" containsNonDate="0" containsDate="1" containsString="0" count="6">
        <d v="2018-01-01T00:00:00"/>
        <d v="2018-01-02T00:00:00"/>
        <d v="2018-01-03T00:00:00"/>
        <d v="2018-01-04T00:00:00"/>
        <d v="2018-01-05T00:00:00"/>
        <d v="2018-01-06T00:00:00"/>
      </sharedItems>
    </cacheField>
    <cacheField name="symbol">
      <sharedItems count="6">
        <s v="five"/>
        <s v="four"/>
        <s v="one"/>
        <s v="six"/>
        <s v="three"/>
        <s v="two"/>
      </sharedItems>
    </cacheField>
    <cacheField name="open">
      <sharedItems containsSemiMixedTypes="0" containsNumber="1" containsString="0" count="32">
        <n v="25"/>
        <n v="150"/>
        <n v="10"/>
        <n v="73"/>
        <n v="100"/>
        <n v="1000"/>
        <n v="25.5"/>
        <n v="153"/>
        <n v="10.12"/>
        <n v="69"/>
        <n v="102"/>
        <n v="25.65"/>
        <n v="168"/>
        <n v="10.25"/>
        <n v="66.5"/>
        <n v="112"/>
        <n v="1001"/>
        <n v="26.3"/>
        <n v="162"/>
        <n v="11.1"/>
        <n v="65"/>
        <n v="108"/>
        <n v="26.5"/>
        <n v="174.5"/>
        <n v="10.6"/>
        <n v="65.4"/>
        <n v="107.5"/>
        <n v="27.5"/>
        <n v="174"/>
        <n v="10.64"/>
        <n v="64.5"/>
        <n v="101.3"/>
      </sharedItems>
    </cacheField>
    <cacheField name="high">
      <sharedItems containsSemiMixedTypes="0" containsNumber="1" containsString="0" count="32">
        <n v="26"/>
        <n v="153.3"/>
        <n v="10.22"/>
        <n v="73.5"/>
        <n v="102.2"/>
        <n v="1001"/>
        <n v="25.7"/>
        <n v="154"/>
        <n v="10.25"/>
        <n v="69"/>
        <n v="102.5"/>
        <n v="1000.5"/>
        <n v="27"/>
        <n v="174"/>
        <n v="11.2"/>
        <n v="67.2"/>
        <n v="112"/>
        <n v="26.8"/>
        <n v="181"/>
        <n v="11.15"/>
        <n v="66.2"/>
        <n v="112.4"/>
        <n v="28"/>
        <n v="178.85"/>
        <n v="10.62"/>
        <n v="70"/>
        <n v="107.5"/>
        <n v="1000"/>
        <n v="33"/>
        <n v="10.7"/>
        <n v="64.5"/>
        <n v="102.4"/>
      </sharedItems>
    </cacheField>
    <cacheField name="low">
      <sharedItems containsSemiMixedTypes="0" containsNumber="1" containsString="0" count="32">
        <n v="25"/>
        <n v="142.5"/>
        <n v="9.98"/>
        <n v="71"/>
        <n v="95"/>
        <n v="999"/>
        <n v="24.5"/>
        <n v="152"/>
        <n v="10.12"/>
        <n v="64"/>
        <n v="101.2"/>
        <n v="999.5"/>
        <n v="25.65"/>
        <n v="163.5"/>
        <n v="10.25"/>
        <n v="65"/>
        <n v="109"/>
        <n v="1000"/>
        <n v="26"/>
        <n v="159"/>
        <n v="10.45"/>
        <n v="64.5"/>
        <n v="106.05"/>
        <n v="26.45"/>
        <n v="165.6"/>
        <n v="10.6"/>
        <n v="63"/>
        <n v="99.4"/>
        <n v="27.5"/>
        <n v="161.25"/>
        <n v="56"/>
        <n v="96.5"/>
      </sharedItems>
    </cacheField>
    <cacheField name="close">
      <sharedItems containsSemiMixedTypes="0" containsNumber="1" containsString="0" count="30">
        <n v="25.4"/>
        <n v="151.8"/>
        <n v="10.12"/>
        <n v="72.4"/>
        <n v="101.2"/>
        <n v="1000"/>
        <n v="25.55"/>
        <n v="153.3"/>
        <n v="10.22"/>
        <n v="66.5"/>
        <n v="102.2"/>
        <n v="26.5"/>
        <n v="165"/>
        <n v="11"/>
        <n v="65.4"/>
        <n v="110"/>
        <n v="26.45"/>
        <n v="174"/>
        <n v="10.54"/>
        <n v="65"/>
        <n v="109"/>
        <n v="27.4"/>
        <n v="173"/>
        <n v="10.6"/>
        <n v="64.5"/>
        <n v="32"/>
        <n v="166.45"/>
        <n v="10.4"/>
        <n v="58"/>
        <n v="98"/>
      </sharedItems>
    </cacheField>
    <cacheField name="volume">
      <sharedItems containsSemiMixedTypes="0" containsNumber="1" containsInteger="1" containsString="0" count="36">
        <n v="41688"/>
        <n v="803189"/>
        <n v="392523"/>
        <n v="818035"/>
        <n v="340149"/>
        <n v="470737"/>
        <n v="682644"/>
        <n v="119604"/>
        <n v="403480"/>
        <n v="105778"/>
        <n v="167084"/>
        <n v="600935"/>
        <n v="971704"/>
        <n v="393708"/>
        <n v="163698"/>
        <n v="145497"/>
        <n v="433733"/>
        <n v="426030"/>
        <n v="449791"/>
        <n v="767938"/>
        <n v="495028"/>
        <n v="86014"/>
        <n v="281131"/>
        <n v="167272"/>
        <n v="850786"/>
        <n v="983684"/>
        <n v="610039"/>
        <n v="195539"/>
        <n v="659252"/>
        <n v="38997"/>
        <n v="533203"/>
        <n v="637858"/>
        <n v="808660"/>
        <n v="333149"/>
        <n v="444321"/>
        <n v="174296"/>
      </sharedItems>
    </cacheField>
    <cacheField name="prevclose">
      <sharedItems containsSemiMixedTypes="0" containsNumber="1" containsString="0" count="30">
        <n v="24.9"/>
        <n v="154"/>
        <n v="9.8"/>
        <n v="72"/>
        <n v="100.5"/>
        <n v="1000"/>
        <n v="25.4"/>
        <n v="151.8"/>
        <n v="10.12"/>
        <n v="72.4"/>
        <n v="101.2"/>
        <n v="25.55"/>
        <n v="153.3"/>
        <n v="10.22"/>
        <n v="66.5"/>
        <n v="102.2"/>
        <n v="26.5"/>
        <n v="165"/>
        <n v="11"/>
        <n v="65.4"/>
        <n v="110"/>
        <n v="26.45"/>
        <n v="174"/>
        <n v="10.54"/>
        <n v="65"/>
        <n v="109"/>
        <n v="27.4"/>
        <n v="173"/>
        <n v="10.6"/>
        <n v="64.5"/>
      </sharedItems>
    </cacheField>
    <cacheField name="open_gt_prevclose">
      <sharedItems count="2">
        <b v="1"/>
        <b v="0"/>
      </sharedItems>
    </cacheField>
    <cacheField name="open_eq_high">
      <sharedItems count="2">
        <b v="0"/>
        <b v="1"/>
      </sharedItems>
    </cacheField>
    <cacheField name="open_eq_low">
      <sharedItems count="2">
        <b v="1"/>
        <b v="0"/>
      </sharedItems>
    </cacheField>
    <cacheField name="ret_1">
      <sharedItems containsNumber="1" containsString="0" containsBlank="1" count="45">
        <m/>
        <n v="0"/>
        <n v="0.00590551181102361"/>
        <n v="0.00988142292490113"/>
        <n v="0.00988142292490135"/>
        <n v="-0.0814917127071824"/>
        <n v="0.0371819960861057"/>
        <n v="0.0763209393346378"/>
        <n v="-0.0165413533834585"/>
        <n v="0.076320939334638"/>
        <n v="-0.00188679245283019"/>
        <n v="0.0545454545454545"/>
        <n v="-0.0418181818181819"/>
        <n v="-0.00611620795107037"/>
        <n v="-0.00909090909090904"/>
        <n v="0.0359168241965973"/>
        <n v="-0.00574712643678166"/>
        <n v="0.00569259962049351"/>
        <n v="-0.00769230769230766"/>
        <n v="-0.0715596330275229"/>
        <n v="0.167883211678832"/>
        <n v="-0.0378612716763006"/>
        <n v="-0.0188679245283018"/>
        <n v="-0.10077519379845"/>
        <n v="-0.0316205533596838"/>
        <n v="0.0200803212851406"/>
        <n v="0.00590551181102361"/>
        <n v="0.0371819960861057"/>
        <n v="-0.00188679245283019"/>
        <n v="0.0359168241965973"/>
        <n v="-0.0142857142857142"/>
        <n v="0.00988142292490113"/>
        <n v="0.0545454545454545"/>
        <n v="-0.00574712643678166"/>
        <n v="0.0326530612244897"/>
        <n v="-0.0418181818181819"/>
        <n v="0.00555555555555554"/>
        <n v="-0.0814917127071824"/>
        <n v="-0.0165413533834585"/>
        <n v="-0.00611620795107037"/>
        <n v="-0.00769230769230766"/>
        <n v="0.00696517412935327"/>
        <n v="0.076320939334638"/>
        <n v="-0.00909090909090904"/>
        <n v="-0.0715596330275229"/>
      </sharedItems>
    </cacheField>
    <cacheField name="cond_0">
      <sharedItems count="2">
        <b v="1"/>
        <b v="0"/>
      </sharedItems>
    </cacheField>
    <cacheField name="buy_0">
      <sharedItems containsSemiMixedTypes="0" containsNumber="1" containsString="0" count="36">
        <n v="25"/>
        <n v="150"/>
        <n v="10"/>
        <n v="73"/>
        <n v="100"/>
        <n v="1000"/>
        <n v="25.5"/>
        <n v="153"/>
        <n v="10.15"/>
        <n v="69"/>
        <n v="102"/>
        <n v="25.65"/>
        <n v="168"/>
        <n v="10.25"/>
        <n v="66.5"/>
        <n v="112"/>
        <n v="1001"/>
        <n v="26.3"/>
        <n v="162"/>
        <n v="11.1"/>
        <n v="65"/>
        <n v="108"/>
        <n v="26.5"/>
        <n v="174.5"/>
        <n v="10.6"/>
        <n v="65.4"/>
        <n v="107.5"/>
        <n v="27.5"/>
        <n v="174"/>
        <n v="10.65"/>
        <n v="64.5"/>
        <n v="101.3"/>
        <n v="10.15"/>
        <n v="10.65"/>
        <n v="10.12"/>
        <n v="10.64"/>
      </sharedItems>
    </cacheField>
    <cacheField name="stop_loss_0">
      <sharedItems containsSemiMixedTypes="0" containsNumber="1" containsString="0" count="92">
        <n v="24.75"/>
        <n v="148.5"/>
        <n v="9.9"/>
        <n v="72.25"/>
        <n v="99"/>
        <n v="990"/>
        <n v="25.25"/>
        <n v="151.45"/>
        <n v="10.05"/>
        <n v="68.3"/>
        <n v="101"/>
        <n v="25.4"/>
        <n v="166.3"/>
        <n v="10.15"/>
        <n v="65.85"/>
        <n v="110.9"/>
        <n v="991"/>
        <n v="26.05"/>
        <n v="160.4"/>
        <n v="11"/>
        <n v="64.35"/>
        <n v="106.9"/>
        <n v="26.25"/>
        <n v="172.75"/>
        <n v="10.5"/>
        <n v="64.75"/>
        <n v="106.45"/>
        <n v="27.25"/>
        <n v="172.25"/>
        <n v="10.55"/>
        <n v="63.85"/>
        <n v="100.3"/>
        <n v="25.4"/>
        <n v="151.45"/>
        <n v="65.85"/>
        <n v="64.35"/>
        <n v="100.3"/>
        <n v="970"/>
        <n v="145.5"/>
        <n v="97"/>
        <n v="70.8"/>
        <n v="24.25"/>
        <n v="9.7"/>
        <n v="66.95"/>
        <n v="9.85"/>
        <n v="148.4"/>
        <n v="98.95"/>
        <n v="64.5"/>
        <n v="970.95"/>
        <n v="162.95"/>
        <n v="108.65"/>
        <n v="24.9"/>
        <n v="9.95"/>
        <n v="157.15"/>
        <n v="104.75"/>
        <n v="63.05"/>
        <n v="25.5"/>
        <n v="10.75"/>
        <n v="104.3"/>
        <n v="169.25"/>
        <n v="63.45"/>
        <n v="25.7"/>
        <n v="10.3"/>
        <n v="62.55"/>
        <n v="168.8"/>
        <n v="98.25"/>
        <n v="26.7"/>
        <n v="10.35"/>
        <n v="9.8"/>
        <n v="10.25"/>
        <n v="98.9"/>
        <n v="108.6"/>
        <n v="104.25"/>
        <n v="157.1"/>
        <n v="168.75"/>
        <n v="24.7"/>
        <n v="24.85"/>
        <n v="26.65"/>
        <n v="66.9"/>
        <n v="63.4"/>
        <n v="10.8"/>
        <n v="971"/>
        <n v="104.8"/>
        <n v="98.3"/>
        <n v="148.45"/>
        <n v="163"/>
        <n v="169.3"/>
        <n v="25.55"/>
        <n v="25.75"/>
        <n v="70.85"/>
        <n v="64.55"/>
        <n v="62.6"/>
      </sharedItems>
    </cacheField>
    <cacheField name="sell_0">
      <sharedItems containsSemiMixedTypes="0" containsNumber="1" containsString="0" count="61">
        <n v="25.4"/>
        <n v="148.5"/>
        <n v="10.12"/>
        <n v="72.25"/>
        <n v="99"/>
        <n v="1000"/>
        <n v="25.25"/>
        <n v="153.3"/>
        <n v="10.22"/>
        <n v="68.3"/>
        <n v="102.2"/>
        <n v="26.5"/>
        <n v="166.3"/>
        <n v="11"/>
        <n v="65.85"/>
        <n v="110.9"/>
        <n v="26.05"/>
        <n v="160.4"/>
        <n v="65"/>
        <n v="106.9"/>
        <n v="27.4"/>
        <n v="172.75"/>
        <n v="10.6"/>
        <n v="64.75"/>
        <n v="106.45"/>
        <n v="32"/>
        <n v="172.25"/>
        <n v="10.55"/>
        <n v="63.85"/>
        <n v="100.3"/>
        <n v="65.85"/>
        <n v="100.3"/>
        <n v="145.5"/>
        <n v="97"/>
        <n v="72.4"/>
        <n v="66.95"/>
        <n v="24.75"/>
        <n v="65.4"/>
        <n v="165"/>
        <n v="110"/>
        <n v="174"/>
        <n v="109"/>
        <n v="26.45"/>
        <n v="10.75"/>
        <n v="104.3"/>
        <n v="169.25"/>
        <n v="63.45"/>
        <n v="62.55"/>
        <n v="168.8"/>
        <n v="98.25"/>
        <n v="10.35"/>
        <n v="10.3"/>
        <n v="104.25"/>
        <n v="168.75"/>
        <n v="24.7"/>
        <n v="66.9"/>
        <n v="63.4"/>
        <n v="10.8"/>
        <n v="98.3"/>
        <n v="169.3"/>
        <n v="62.6"/>
      </sharedItems>
    </cacheField>
    <cacheField name="count">
      <sharedItems containsSemiMixedTypes="0" containsNumber="1" containsInteger="1" containsString="0" count="4">
        <n v="3"/>
        <n v="5"/>
        <n v="1"/>
        <n v="4"/>
      </sharedItems>
    </cacheField>
    <cacheField name="Flag">
      <sharedItems containsNumber="1" containsInteger="1" containsBlank="1" containsMixedTypes="1" count="5">
        <n v="1"/>
        <n v="0"/>
        <m/>
        <s v="n"/>
        <s v="y"/>
      </sharedItems>
    </cacheField>
    <cacheField name="capital">
      <sharedItems containsSemiMixedTypes="0" containsNumber="1" containsString="0" count="12">
        <n v="100000"/>
        <n v="60000"/>
        <n v="300000"/>
        <n v="75000"/>
        <n v="33333.3333333333"/>
        <n v="20000"/>
        <n v="25000"/>
        <n v="33333.3333333333"/>
        <n v="66666.6666666667"/>
        <n v="40000"/>
        <n v="200000"/>
        <n v="50000"/>
      </sharedItems>
    </cacheField>
    <cacheField name="qty">
      <sharedItems containsSemiMixedTypes="0" containsNumber="1" containsInteger="1" containsString="0" count="128">
        <n v="4000"/>
        <n v="667"/>
        <n v="10000"/>
        <n v="1370"/>
        <n v="1000"/>
        <n v="100"/>
        <n v="3922"/>
        <n v="654"/>
        <n v="9852"/>
        <n v="1449"/>
        <n v="980"/>
        <n v="2339"/>
        <n v="357"/>
        <n v="5854"/>
        <n v="902"/>
        <n v="536"/>
        <n v="60"/>
        <n v="11407"/>
        <n v="1852"/>
        <n v="27027"/>
        <n v="4615"/>
        <n v="2778"/>
        <n v="300"/>
        <n v="2830"/>
        <n v="430"/>
        <n v="7075"/>
        <n v="1147"/>
        <n v="698"/>
        <n v="75"/>
        <n v="2727"/>
        <n v="431"/>
        <n v="7042"/>
        <n v="1163"/>
        <n v="740"/>
        <n v="1333"/>
        <n v="222"/>
        <n v="3333"/>
        <n v="457"/>
        <n v="333"/>
        <n v="33"/>
        <n v="1307"/>
        <n v="218"/>
        <n v="3284"/>
        <n v="483"/>
        <n v="327"/>
        <n v="780"/>
        <n v="119"/>
        <n v="1951"/>
        <n v="301"/>
        <n v="179"/>
        <n v="20"/>
        <n v="3802"/>
        <n v="617"/>
        <n v="9009"/>
        <n v="1538"/>
        <n v="926"/>
        <n v="943"/>
        <n v="143"/>
        <n v="2358"/>
        <n v="382"/>
        <n v="233"/>
        <n v="25"/>
        <n v="909"/>
        <n v="144"/>
        <n v="2347"/>
        <n v="388"/>
        <n v="247"/>
        <n v="3899"/>
        <n v="3774"/>
        <n v="3636"/>
        <n v="595"/>
        <n v="573"/>
        <n v="575"/>
        <n v="9756"/>
        <n v="9434"/>
        <n v="9390"/>
        <n v="1504"/>
        <n v="1529"/>
        <n v="1550"/>
        <n v="893"/>
        <n v="930"/>
        <n v="987"/>
        <n v="501"/>
        <n v="198"/>
        <n v="298"/>
        <n v="1300"/>
        <n v="3252"/>
        <n v="310"/>
        <n v="191"/>
        <n v="510"/>
        <n v="1258"/>
        <n v="3145"/>
        <n v="517"/>
        <n v="192"/>
        <n v="329"/>
        <n v="1212"/>
        <n v="3130"/>
        <n v="6667"/>
        <n v="6568"/>
        <n v="3902"/>
        <n v="18018"/>
        <n v="4717"/>
        <n v="4695"/>
        <n v="67"/>
        <n v="40"/>
        <n v="200"/>
        <n v="50"/>
        <n v="465"/>
        <n v="494"/>
        <n v="444"/>
        <n v="436"/>
        <n v="238"/>
        <n v="1235"/>
        <n v="287"/>
        <n v="2667"/>
        <n v="2614"/>
        <n v="1559"/>
        <n v="7605"/>
        <n v="1887"/>
        <n v="1818"/>
        <n v="913"/>
        <n v="966"/>
        <n v="602"/>
        <n v="3077"/>
        <n v="765"/>
        <n v="775"/>
        <n v="3294"/>
        <n v="2350"/>
      </sharedItems>
    </cacheField>
    <cacheField name="profit">
      <sharedItems containsSemiMixedTypes="0" containsNumber="1" containsString="0" count="147">
        <n v="1599.99999999999"/>
        <n v="0"/>
        <n v="1199.99999999999"/>
        <n v="-1027.5"/>
        <n v="-980.5"/>
        <n v="196.200000000007"/>
        <n v="196.000000000003"/>
        <n v="1988.15"/>
        <n v="-606.899999999996"/>
        <n v="4390.5"/>
        <n v="-589.599999999997"/>
        <n v="-60"/>
        <n v="-2702.69999999999"/>
        <n v="2547"/>
        <n v="-752.5"/>
        <n v="-745.550000000007"/>
        <n v="12271.5"/>
        <n v="-754.25"/>
        <n v="-704.20000000001"/>
        <n v="-739.99999999999"/>
        <n v="533.199999999998"/>
        <n v="399.959999999997"/>
        <n v="-342.75"/>
        <n v="-326.75"/>
        <n v="65.4000000000025"/>
        <n v="65.4000000000009"/>
        <n v="663.000000000001"/>
        <n v="-202.299999999999"/>
        <n v="1463.25"/>
        <n v="-196.899999999999"/>
        <n v="-20"/>
        <n v="-900.899999999997"/>
        <n v="848.699999999999"/>
        <n v="-250.25"/>
        <n v="-248.300000000002"/>
        <n v="4090.5"/>
        <n v="-252"/>
        <n v="-234.700000000003"/>
        <n v="-246.999999999996"/>
        <n v="533.199999999998"/>
        <n v="663.000000000001"/>
        <n v="848.699999999999"/>
        <n v="65.4000000000025"/>
        <n v="-202.299999999999"/>
        <n v="399.959999999997"/>
        <n v="-900.899999999997"/>
        <n v="-234.700000000003"/>
        <n v="-248.300000000002"/>
        <n v="65.4000000000009"/>
        <n v="-196.899999999999"/>
        <n v="-246.999999999996"/>
        <n v="1599.99999999999"/>
        <n v="3314.15000000001"/>
        <n v="3396.59999999999"/>
        <n v="16362"/>
        <n v="196.200000000007"/>
        <n v="-1011.49999999999"/>
        <n v="-1002.75"/>
        <n v="-1006.25"/>
        <n v="1199.99999999999"/>
        <n v="7317"/>
        <n v="-939.000000000013"/>
        <n v="-993.850000000009"/>
        <n v="196.000000000003"/>
        <n v="-982.299999999995"/>
        <n v="-986.999999999986"/>
        <n v="-100"/>
        <n v="-821.999999999992"/>
        <n v="-3153.15"/>
        <n v="-3008.25"/>
        <n v="-2989.99999999999"/>
        <n v="-274.199999999997"/>
        <n v="-980.25"/>
        <n v="-33"/>
        <n v="-594"/>
        <n v="-596"/>
        <n v="-994.500000000001"/>
        <n v="1132.2"/>
        <n v="-998.399999999998"/>
        <n v="-1003.45"/>
        <n v="5454"/>
        <n v="2439"/>
        <n v="1105"/>
        <n v="-939.000000000002"/>
        <n v="-999"/>
        <n v="229.879999999995"/>
        <n v="-990.149999999999"/>
        <n v="-551.099999999997"/>
        <n v="570.299999999995"/>
        <n v="926"/>
        <n v="7404"/>
        <n v="-991.999999999996"/>
        <n v="-1008.15"/>
        <n v="229.880000000001"/>
        <n v="-704.099999999998"/>
        <n v="-358"/>
        <n v="-745.599999999997"/>
        <n v="-753.349999999999"/>
        <n v="-357"/>
        <n v="-750.75"/>
        <n v="-748.799999999998"/>
        <n v="-331.099999999998"/>
        <n v="-744.900000000001"/>
        <n v="-756.599999999998"/>
        <n v="-704.100000000002"/>
        <n v="-745.600000000001"/>
        <n v="-756.600000000001"/>
        <n v="800.039999999995"/>
        <n v="459.760000000002"/>
        <n v="2926.5"/>
        <n v="-6306.29999999999"/>
        <n v="-1408.5"/>
        <n v="-40"/>
        <n v="-2001"/>
        <n v="130.800000000002"/>
        <n v="-714"/>
        <n v="1852"/>
        <n v="-1488"/>
        <n v="-1506.7"/>
        <n v="-1998"/>
        <n v="130.800000000005"/>
        <n v="14820"/>
        <n v="-1506.75"/>
        <n v="-1492.4"/>
        <n v="1066.8"/>
        <n v="-1960.5"/>
        <n v="1325.15"/>
        <n v="1140.74999999999"/>
        <n v="1698.3"/>
        <n v="8181"/>
        <n v="-547.799999999995"/>
        <n v="-1980.3"/>
        <n v="-662.199999999997"/>
        <n v="-1491.75"/>
        <n v="-1511.25"/>
        <n v="329.400000000005"/>
        <n v="-799"/>
        <n v="-757.25"/>
        <n v="-756"/>
        <n v="-1045.6"/>
        <n v="-1014.3"/>
        <n v="-764"/>
        <n v="-2702.69999999999"/>
        <n v="-681.500000000002"/>
        <n v="-741"/>
        <n v="-743.599999999998"/>
        <n v="-737.199999999999"/>
      </sharedItems>
    </cacheField>
    <cacheField name="value">
      <sharedItems containsSemiMixedTypes="0" containsNumber="1" containsString="0" count="104">
        <n v="201600"/>
        <n v="0"/>
        <n v="201200"/>
        <n v="198992.5"/>
        <n v="199041.5"/>
        <n v="200320.2"/>
        <n v="200116"/>
        <n v="121978.85"/>
        <n v="119345.1"/>
        <n v="124397.5"/>
        <n v="119474.4"/>
        <n v="120060"/>
        <n v="597296.7"/>
        <n v="152537"/>
        <n v="149317.5"/>
        <n v="149990"/>
        <n v="149282.05"/>
        <n v="162256.5"/>
        <n v="149233.75"/>
        <n v="149290.4"/>
        <n v="149184"/>
        <n v="67183.2"/>
        <n v="67059.96"/>
        <n v="66379.25"/>
        <n v="66330.25"/>
        <n v="66773.4"/>
        <n v="66773.4"/>
        <n v="40677"/>
        <n v="39781.7"/>
        <n v="41458.75"/>
        <n v="39899.1"/>
        <n v="40020"/>
        <n v="199098.9"/>
        <n v="50827.7"/>
        <n v="49656.75"/>
        <n v="49989.6"/>
        <n v="49717.3"/>
        <n v="54085.5"/>
        <n v="49860"/>
        <n v="49756.4"/>
        <n v="49795.2"/>
        <n v="39781.7"/>
        <n v="67059.96"/>
        <n v="199098.9"/>
        <n v="49756.4"/>
        <n v="49795.2"/>
        <n v="203332.85"/>
        <n v="203418.6"/>
        <n v="216342"/>
        <n v="198908.5"/>
        <n v="198974.25"/>
        <n v="199093.75"/>
        <n v="201200"/>
        <n v="207315"/>
        <n v="200000.8"/>
        <n v="199068"/>
        <n v="198999.35"/>
        <n v="199049.7"/>
        <n v="198979.2"/>
        <n v="200100"/>
        <n v="199198"/>
        <n v="196846.65"/>
        <n v="196968.75"/>
        <n v="197110"/>
        <n v="66447.8"/>
        <n v="65676.75"/>
        <n v="66033"/>
        <n v="65934"/>
        <n v="66156"/>
        <n v="65656.25"/>
        <n v="65713.5"/>
        <n v="67806.2"/>
        <n v="65817.6"/>
        <n v="65651.95"/>
        <n v="72114"/>
        <n v="69105"/>
        <n v="67795"/>
        <n v="66674"/>
        <n v="65730"/>
        <n v="49287"/>
        <n v="39738"/>
        <n v="49288.85"/>
        <n v="39627"/>
        <n v="49156.25"/>
        <n v="49363.2"/>
        <n v="49220.7"/>
        <n v="134140.04"/>
        <n v="82917.5"/>
        <n v="393693.3"/>
        <n v="100000.4"/>
        <n v="98595"/>
        <n v="80040"/>
        <n v="133546.8"/>
        <n v="79254"/>
        <n v="98577.7"/>
        <n v="98656.25"/>
        <n v="98383.6"/>
        <n v="134416.8"/>
        <n v="131353.5"/>
        <n v="81301.85"/>
        <n v="101709.3"/>
        <n v="108171"/>
        <n v="132750.2"/>
        <n v="98570.25"/>
      </sharedItems>
    </cacheField>
    <cacheField name="cond_1">
      <sharedItems count="2">
        <b v="1"/>
        <b v="0"/>
      </sharedItems>
    </cacheField>
    <cacheField name="price_1">
      <sharedItems containsSemiMixedTypes="0" containsNumber="1" containsString="0" count="32">
        <n v="25"/>
        <n v="149.85"/>
        <n v="10"/>
        <n v="72.95"/>
        <n v="99.9"/>
        <n v="999"/>
        <n v="25.45"/>
        <n v="152.85"/>
        <n v="10.1"/>
        <n v="68.95"/>
        <n v="101.9"/>
        <n v="25.6"/>
        <n v="167.85"/>
        <n v="10.25"/>
        <n v="66.45"/>
        <n v="111.9"/>
        <n v="1000"/>
        <n v="26.25"/>
        <n v="161.85"/>
        <n v="11.1"/>
        <n v="64.95"/>
        <n v="107.9"/>
        <n v="26.45"/>
        <n v="174.35"/>
        <n v="10.6"/>
        <n v="65.35"/>
        <n v="107.4"/>
        <n v="27.45"/>
        <n v="173.85"/>
        <n v="10.65"/>
        <n v="64.45"/>
        <n v="101.2"/>
      </sharedItems>
    </cacheField>
    <cacheField name="stop_loss_1">
      <sharedItems containsSemiMixedTypes="0" containsNumber="1" containsString="0" count="32">
        <n v="25.75"/>
        <n v="154.35"/>
        <n v="10.3"/>
        <n v="75.15"/>
        <n v="102.9"/>
        <n v="1028.95"/>
        <n v="26.2"/>
        <n v="157.45"/>
        <n v="10.4"/>
        <n v="71"/>
        <n v="104.95"/>
        <n v="26.35"/>
        <n v="172.9"/>
        <n v="10.55"/>
        <n v="68.45"/>
        <n v="115.25"/>
        <n v="1030"/>
        <n v="27.05"/>
        <n v="166.7"/>
        <n v="11.45"/>
        <n v="66.9"/>
        <n v="111.15"/>
        <n v="27.25"/>
        <n v="179.6"/>
        <n v="10.9"/>
        <n v="67.3"/>
        <n v="110.6"/>
        <n v="28.25"/>
        <n v="179.05"/>
        <n v="10.95"/>
        <n v="66.4"/>
        <n v="104.25"/>
      </sharedItems>
    </cacheField>
    <cacheField name="buy_1">
      <sharedItems containsSemiMixedTypes="0" containsNumber="1" containsString="0" count="30">
        <n v="25.75"/>
        <n v="151.8"/>
        <n v="10.12"/>
        <n v="72.4"/>
        <n v="101.2"/>
        <n v="1000"/>
        <n v="25.55"/>
        <n v="153.3"/>
        <n v="10.22"/>
        <n v="66.5"/>
        <n v="102.2"/>
        <n v="26.35"/>
        <n v="172.9"/>
        <n v="10.55"/>
        <n v="65.4"/>
        <n v="110"/>
        <n v="26.45"/>
        <n v="166.7"/>
        <n v="10.54"/>
        <n v="65"/>
        <n v="111.15"/>
        <n v="27.25"/>
        <n v="173"/>
        <n v="10.6"/>
        <n v="67.3"/>
        <n v="28.25"/>
        <n v="166.45"/>
        <n v="10.4"/>
        <n v="58"/>
        <n v="98"/>
      </sharedItems>
    </cacheField>
    <cacheField name="sell_1">
      <sharedItems containsSemiMixedTypes="0" containsNumber="1" containsString="0" count="32">
        <n v="25"/>
        <n v="149.85"/>
        <n v="10"/>
        <n v="72.95"/>
        <n v="99.9"/>
        <n v="999"/>
        <n v="25.45"/>
        <n v="152.85"/>
        <n v="10.22"/>
        <n v="68.95"/>
        <n v="101.9"/>
        <n v="1000"/>
        <n v="26.5"/>
        <n v="167.85"/>
        <n v="10.25"/>
        <n v="66.45"/>
        <n v="111.9"/>
        <n v="26.25"/>
        <n v="161.85"/>
        <n v="11.1"/>
        <n v="64.95"/>
        <n v="107.9"/>
        <n v="26.45"/>
        <n v="174.35"/>
        <n v="10.6"/>
        <n v="65.35"/>
        <n v="107.4"/>
        <n v="32"/>
        <n v="173.85"/>
        <n v="10.65"/>
        <n v="64.45"/>
        <n v="101.2"/>
      </sharedItems>
    </cacheField>
    <cacheField name="count2">
      <sharedItems containsSemiMixedTypes="0" containsNumber="1" containsInteger="1" containsString="0" count="1">
        <n v="3"/>
      </sharedItems>
    </cacheField>
    <cacheField name="Flag2">
      <sharedItems containsSemiMixedTypes="0" containsNumber="1" containsInteger="1" containsString="0" count="1">
        <n v="1"/>
      </sharedItems>
    </cacheField>
    <cacheField name="capital2">
      <sharedItems containsSemiMixedTypes="0" containsNumber="1" containsInteger="1" containsString="0" count="1">
        <n v="100000"/>
      </sharedItems>
    </cacheField>
    <cacheField name="qty2">
      <sharedItems containsSemiMixedTypes="0" containsNumber="1" containsInteger="1" containsString="0" count="34">
        <n v="4000"/>
        <n v="667"/>
        <n v="10000"/>
        <n v="1371"/>
        <n v="1001"/>
        <n v="100"/>
        <n v="3929"/>
        <n v="654"/>
        <n v="9901"/>
        <n v="1450"/>
        <n v="981"/>
        <n v="3906"/>
        <n v="596"/>
        <n v="9756"/>
        <n v="1505"/>
        <n v="894"/>
        <n v="3810"/>
        <n v="618"/>
        <n v="9009"/>
        <n v="1540"/>
        <n v="927"/>
        <n v="3781"/>
        <n v="574"/>
        <n v="9434"/>
        <n v="1530"/>
        <n v="931"/>
        <n v="3643"/>
        <n v="575"/>
        <n v="9390"/>
        <n v="1552"/>
        <n v="988"/>
        <n v="9785"/>
        <n v="3774"/>
        <n v="3125"/>
      </sharedItems>
    </cacheField>
    <cacheField name="profit2">
      <sharedItems containsSemiMixedTypes="0" containsNumber="1" containsString="0" count="32">
        <n v="-3000"/>
        <n v="-1300.65000000001"/>
        <n v="-1199.99999999999"/>
        <n v="754.049999999996"/>
        <n v="-1301.3"/>
        <n v="-100"/>
        <n v="-392.899999999992"/>
        <n v="-294.300000000011"/>
        <n v="0"/>
        <n v="3552.5"/>
        <n v="-294.299999999997"/>
        <n v="585.899999999994"/>
        <n v="-3009.79999999999"/>
        <n v="-2926.80000000001"/>
        <n v="1580.25"/>
        <n v="1698.60000000001"/>
        <n v="-761.999999999997"/>
        <n v="-2997.3"/>
        <n v="5045.04000000002"/>
        <n v="-76.9999999999956"/>
        <n v="-3012.75"/>
        <n v="-3024.79999999999"/>
        <n v="774.900000000013"/>
        <n v="-2983.49999999998"/>
        <n v="5772.2"/>
        <n v="13661.25"/>
        <n v="4255.00000000002"/>
        <n v="2347.5"/>
        <n v="10010.4"/>
        <n v="3161.6"/>
        <n v="566.099999999995"/>
        <n v="11718.75"/>
      </sharedItems>
    </cacheField>
    <cacheField name="value2">
      <sharedItems containsSemiMixedTypes="0" containsNumber="1" containsString="0" count="22">
        <n v="203000"/>
        <n v="0"/>
        <n v="201200"/>
        <n v="199274.85"/>
        <n v="200379"/>
        <n v="202376.44"/>
        <n v="196402.5"/>
        <n v="206432.1"/>
        <n v="202924.8"/>
        <n v="198434.25"/>
        <n v="200787"/>
        <n v="194954.76"/>
        <n v="200123"/>
        <n v="203039.7"/>
        <n v="200000.8"/>
        <n v="202954.5"/>
        <n v="219490.75"/>
        <n v="197659.5"/>
        <n v="190042.4"/>
        <n v="200005.4"/>
        <n v="199455.9"/>
        <n v="188281.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0"/>
    <x v="1"/>
    <x v="0"/>
    <x v="1"/>
    <x v="1"/>
    <x v="1"/>
    <x v="1"/>
    <x v="0"/>
    <x v="0"/>
    <x v="0"/>
    <x v="1"/>
    <x v="1"/>
    <x v="1"/>
    <x v="1"/>
    <x v="1"/>
    <x v="1"/>
    <x v="1"/>
    <x v="1"/>
    <x v="0"/>
    <x v="0"/>
    <x v="0"/>
    <x v="1"/>
    <x v="1"/>
    <x v="1"/>
  </r>
  <r>
    <x v="0"/>
    <x v="2"/>
    <x v="2"/>
    <x v="2"/>
    <x v="2"/>
    <x v="2"/>
    <x v="2"/>
    <x v="2"/>
    <x v="0"/>
    <x v="0"/>
    <x v="1"/>
    <x v="0"/>
    <x v="0"/>
    <x v="2"/>
    <x v="2"/>
    <x v="2"/>
    <x v="0"/>
    <x v="0"/>
    <x v="0"/>
    <x v="2"/>
    <x v="2"/>
    <x v="2"/>
    <x v="0"/>
    <x v="2"/>
    <x v="2"/>
    <x v="2"/>
    <x v="2"/>
    <x v="0"/>
    <x v="0"/>
    <x v="0"/>
    <x v="2"/>
    <x v="2"/>
    <x v="2"/>
  </r>
  <r>
    <x v="0"/>
    <x v="3"/>
    <x v="3"/>
    <x v="3"/>
    <x v="3"/>
    <x v="3"/>
    <x v="3"/>
    <x v="3"/>
    <x v="0"/>
    <x v="0"/>
    <x v="1"/>
    <x v="0"/>
    <x v="0"/>
    <x v="3"/>
    <x v="3"/>
    <x v="3"/>
    <x v="0"/>
    <x v="0"/>
    <x v="0"/>
    <x v="3"/>
    <x v="3"/>
    <x v="3"/>
    <x v="0"/>
    <x v="3"/>
    <x v="3"/>
    <x v="3"/>
    <x v="3"/>
    <x v="0"/>
    <x v="0"/>
    <x v="0"/>
    <x v="3"/>
    <x v="3"/>
    <x v="3"/>
  </r>
  <r>
    <x v="0"/>
    <x v="4"/>
    <x v="4"/>
    <x v="4"/>
    <x v="4"/>
    <x v="4"/>
    <x v="4"/>
    <x v="4"/>
    <x v="1"/>
    <x v="0"/>
    <x v="1"/>
    <x v="0"/>
    <x v="1"/>
    <x v="4"/>
    <x v="4"/>
    <x v="4"/>
    <x v="0"/>
    <x v="0"/>
    <x v="0"/>
    <x v="4"/>
    <x v="1"/>
    <x v="1"/>
    <x v="1"/>
    <x v="4"/>
    <x v="4"/>
    <x v="4"/>
    <x v="4"/>
    <x v="0"/>
    <x v="0"/>
    <x v="0"/>
    <x v="4"/>
    <x v="4"/>
    <x v="1"/>
  </r>
  <r>
    <x v="0"/>
    <x v="5"/>
    <x v="5"/>
    <x v="5"/>
    <x v="5"/>
    <x v="5"/>
    <x v="5"/>
    <x v="5"/>
    <x v="1"/>
    <x v="0"/>
    <x v="1"/>
    <x v="0"/>
    <x v="1"/>
    <x v="5"/>
    <x v="5"/>
    <x v="5"/>
    <x v="0"/>
    <x v="0"/>
    <x v="0"/>
    <x v="5"/>
    <x v="1"/>
    <x v="1"/>
    <x v="1"/>
    <x v="5"/>
    <x v="5"/>
    <x v="5"/>
    <x v="5"/>
    <x v="0"/>
    <x v="0"/>
    <x v="0"/>
    <x v="5"/>
    <x v="5"/>
    <x v="1"/>
  </r>
  <r>
    <x v="1"/>
    <x v="0"/>
    <x v="6"/>
    <x v="6"/>
    <x v="6"/>
    <x v="6"/>
    <x v="6"/>
    <x v="6"/>
    <x v="0"/>
    <x v="0"/>
    <x v="1"/>
    <x v="1"/>
    <x v="0"/>
    <x v="6"/>
    <x v="6"/>
    <x v="6"/>
    <x v="0"/>
    <x v="0"/>
    <x v="0"/>
    <x v="6"/>
    <x v="4"/>
    <x v="4"/>
    <x v="0"/>
    <x v="6"/>
    <x v="6"/>
    <x v="6"/>
    <x v="6"/>
    <x v="0"/>
    <x v="0"/>
    <x v="0"/>
    <x v="6"/>
    <x v="6"/>
    <x v="4"/>
  </r>
  <r>
    <x v="1"/>
    <x v="1"/>
    <x v="7"/>
    <x v="7"/>
    <x v="7"/>
    <x v="7"/>
    <x v="7"/>
    <x v="7"/>
    <x v="0"/>
    <x v="0"/>
    <x v="1"/>
    <x v="2"/>
    <x v="0"/>
    <x v="7"/>
    <x v="7"/>
    <x v="7"/>
    <x v="0"/>
    <x v="0"/>
    <x v="0"/>
    <x v="7"/>
    <x v="5"/>
    <x v="5"/>
    <x v="1"/>
    <x v="7"/>
    <x v="7"/>
    <x v="7"/>
    <x v="7"/>
    <x v="0"/>
    <x v="0"/>
    <x v="0"/>
    <x v="7"/>
    <x v="7"/>
    <x v="1"/>
  </r>
  <r>
    <x v="1"/>
    <x v="2"/>
    <x v="8"/>
    <x v="8"/>
    <x v="8"/>
    <x v="8"/>
    <x v="8"/>
    <x v="8"/>
    <x v="1"/>
    <x v="0"/>
    <x v="0"/>
    <x v="3"/>
    <x v="1"/>
    <x v="8"/>
    <x v="8"/>
    <x v="8"/>
    <x v="0"/>
    <x v="0"/>
    <x v="0"/>
    <x v="8"/>
    <x v="1"/>
    <x v="1"/>
    <x v="0"/>
    <x v="8"/>
    <x v="8"/>
    <x v="8"/>
    <x v="8"/>
    <x v="0"/>
    <x v="0"/>
    <x v="0"/>
    <x v="8"/>
    <x v="8"/>
    <x v="5"/>
  </r>
  <r>
    <x v="1"/>
    <x v="3"/>
    <x v="9"/>
    <x v="9"/>
    <x v="9"/>
    <x v="9"/>
    <x v="9"/>
    <x v="9"/>
    <x v="1"/>
    <x v="1"/>
    <x v="1"/>
    <x v="4"/>
    <x v="1"/>
    <x v="9"/>
    <x v="9"/>
    <x v="9"/>
    <x v="0"/>
    <x v="0"/>
    <x v="0"/>
    <x v="9"/>
    <x v="1"/>
    <x v="1"/>
    <x v="0"/>
    <x v="9"/>
    <x v="9"/>
    <x v="9"/>
    <x v="9"/>
    <x v="0"/>
    <x v="0"/>
    <x v="0"/>
    <x v="9"/>
    <x v="9"/>
    <x v="6"/>
  </r>
  <r>
    <x v="1"/>
    <x v="4"/>
    <x v="10"/>
    <x v="10"/>
    <x v="10"/>
    <x v="10"/>
    <x v="10"/>
    <x v="10"/>
    <x v="0"/>
    <x v="0"/>
    <x v="1"/>
    <x v="5"/>
    <x v="0"/>
    <x v="10"/>
    <x v="10"/>
    <x v="10"/>
    <x v="0"/>
    <x v="0"/>
    <x v="0"/>
    <x v="10"/>
    <x v="6"/>
    <x v="6"/>
    <x v="1"/>
    <x v="10"/>
    <x v="10"/>
    <x v="10"/>
    <x v="10"/>
    <x v="0"/>
    <x v="0"/>
    <x v="0"/>
    <x v="10"/>
    <x v="10"/>
    <x v="1"/>
  </r>
  <r>
    <x v="1"/>
    <x v="5"/>
    <x v="5"/>
    <x v="11"/>
    <x v="11"/>
    <x v="5"/>
    <x v="11"/>
    <x v="5"/>
    <x v="1"/>
    <x v="0"/>
    <x v="1"/>
    <x v="3"/>
    <x v="1"/>
    <x v="5"/>
    <x v="5"/>
    <x v="5"/>
    <x v="0"/>
    <x v="0"/>
    <x v="0"/>
    <x v="5"/>
    <x v="1"/>
    <x v="1"/>
    <x v="1"/>
    <x v="5"/>
    <x v="5"/>
    <x v="5"/>
    <x v="11"/>
    <x v="0"/>
    <x v="0"/>
    <x v="0"/>
    <x v="5"/>
    <x v="8"/>
    <x v="1"/>
  </r>
  <r>
    <x v="2"/>
    <x v="0"/>
    <x v="11"/>
    <x v="12"/>
    <x v="12"/>
    <x v="11"/>
    <x v="12"/>
    <x v="11"/>
    <x v="0"/>
    <x v="0"/>
    <x v="0"/>
    <x v="1"/>
    <x v="0"/>
    <x v="11"/>
    <x v="11"/>
    <x v="11"/>
    <x v="1"/>
    <x v="0"/>
    <x v="1"/>
    <x v="11"/>
    <x v="7"/>
    <x v="7"/>
    <x v="0"/>
    <x v="11"/>
    <x v="11"/>
    <x v="11"/>
    <x v="12"/>
    <x v="0"/>
    <x v="0"/>
    <x v="0"/>
    <x v="11"/>
    <x v="11"/>
    <x v="7"/>
  </r>
  <r>
    <x v="2"/>
    <x v="1"/>
    <x v="12"/>
    <x v="13"/>
    <x v="13"/>
    <x v="12"/>
    <x v="13"/>
    <x v="12"/>
    <x v="0"/>
    <x v="0"/>
    <x v="1"/>
    <x v="6"/>
    <x v="0"/>
    <x v="12"/>
    <x v="12"/>
    <x v="12"/>
    <x v="1"/>
    <x v="0"/>
    <x v="1"/>
    <x v="12"/>
    <x v="8"/>
    <x v="8"/>
    <x v="1"/>
    <x v="12"/>
    <x v="12"/>
    <x v="12"/>
    <x v="13"/>
    <x v="0"/>
    <x v="0"/>
    <x v="0"/>
    <x v="12"/>
    <x v="12"/>
    <x v="1"/>
  </r>
  <r>
    <x v="2"/>
    <x v="2"/>
    <x v="13"/>
    <x v="14"/>
    <x v="14"/>
    <x v="13"/>
    <x v="14"/>
    <x v="13"/>
    <x v="0"/>
    <x v="0"/>
    <x v="0"/>
    <x v="7"/>
    <x v="0"/>
    <x v="13"/>
    <x v="13"/>
    <x v="13"/>
    <x v="1"/>
    <x v="0"/>
    <x v="1"/>
    <x v="13"/>
    <x v="9"/>
    <x v="9"/>
    <x v="0"/>
    <x v="13"/>
    <x v="13"/>
    <x v="13"/>
    <x v="14"/>
    <x v="0"/>
    <x v="0"/>
    <x v="0"/>
    <x v="13"/>
    <x v="13"/>
    <x v="8"/>
  </r>
  <r>
    <x v="2"/>
    <x v="3"/>
    <x v="14"/>
    <x v="15"/>
    <x v="15"/>
    <x v="14"/>
    <x v="15"/>
    <x v="14"/>
    <x v="1"/>
    <x v="0"/>
    <x v="1"/>
    <x v="7"/>
    <x v="1"/>
    <x v="14"/>
    <x v="14"/>
    <x v="14"/>
    <x v="1"/>
    <x v="0"/>
    <x v="1"/>
    <x v="14"/>
    <x v="1"/>
    <x v="1"/>
    <x v="0"/>
    <x v="14"/>
    <x v="14"/>
    <x v="14"/>
    <x v="15"/>
    <x v="0"/>
    <x v="0"/>
    <x v="0"/>
    <x v="14"/>
    <x v="14"/>
    <x v="9"/>
  </r>
  <r>
    <x v="2"/>
    <x v="4"/>
    <x v="15"/>
    <x v="16"/>
    <x v="16"/>
    <x v="15"/>
    <x v="16"/>
    <x v="15"/>
    <x v="0"/>
    <x v="1"/>
    <x v="1"/>
    <x v="8"/>
    <x v="0"/>
    <x v="15"/>
    <x v="15"/>
    <x v="15"/>
    <x v="1"/>
    <x v="0"/>
    <x v="1"/>
    <x v="15"/>
    <x v="10"/>
    <x v="10"/>
    <x v="1"/>
    <x v="15"/>
    <x v="15"/>
    <x v="15"/>
    <x v="16"/>
    <x v="0"/>
    <x v="0"/>
    <x v="0"/>
    <x v="15"/>
    <x v="15"/>
    <x v="1"/>
  </r>
  <r>
    <x v="2"/>
    <x v="5"/>
    <x v="16"/>
    <x v="5"/>
    <x v="17"/>
    <x v="5"/>
    <x v="17"/>
    <x v="5"/>
    <x v="0"/>
    <x v="1"/>
    <x v="1"/>
    <x v="9"/>
    <x v="0"/>
    <x v="16"/>
    <x v="16"/>
    <x v="5"/>
    <x v="1"/>
    <x v="0"/>
    <x v="1"/>
    <x v="16"/>
    <x v="11"/>
    <x v="11"/>
    <x v="1"/>
    <x v="16"/>
    <x v="16"/>
    <x v="5"/>
    <x v="11"/>
    <x v="0"/>
    <x v="0"/>
    <x v="0"/>
    <x v="5"/>
    <x v="8"/>
    <x v="1"/>
  </r>
  <r>
    <x v="3"/>
    <x v="0"/>
    <x v="17"/>
    <x v="17"/>
    <x v="18"/>
    <x v="16"/>
    <x v="18"/>
    <x v="16"/>
    <x v="1"/>
    <x v="0"/>
    <x v="1"/>
    <x v="1"/>
    <x v="1"/>
    <x v="17"/>
    <x v="17"/>
    <x v="16"/>
    <x v="2"/>
    <x v="0"/>
    <x v="2"/>
    <x v="17"/>
    <x v="1"/>
    <x v="1"/>
    <x v="0"/>
    <x v="17"/>
    <x v="17"/>
    <x v="16"/>
    <x v="17"/>
    <x v="0"/>
    <x v="0"/>
    <x v="0"/>
    <x v="16"/>
    <x v="16"/>
    <x v="10"/>
  </r>
  <r>
    <x v="3"/>
    <x v="1"/>
    <x v="18"/>
    <x v="18"/>
    <x v="19"/>
    <x v="17"/>
    <x v="19"/>
    <x v="17"/>
    <x v="1"/>
    <x v="0"/>
    <x v="1"/>
    <x v="10"/>
    <x v="1"/>
    <x v="18"/>
    <x v="18"/>
    <x v="17"/>
    <x v="2"/>
    <x v="0"/>
    <x v="2"/>
    <x v="18"/>
    <x v="1"/>
    <x v="1"/>
    <x v="1"/>
    <x v="18"/>
    <x v="18"/>
    <x v="17"/>
    <x v="18"/>
    <x v="0"/>
    <x v="0"/>
    <x v="0"/>
    <x v="17"/>
    <x v="17"/>
    <x v="1"/>
  </r>
  <r>
    <x v="3"/>
    <x v="2"/>
    <x v="19"/>
    <x v="19"/>
    <x v="20"/>
    <x v="18"/>
    <x v="20"/>
    <x v="18"/>
    <x v="0"/>
    <x v="0"/>
    <x v="1"/>
    <x v="11"/>
    <x v="0"/>
    <x v="19"/>
    <x v="19"/>
    <x v="13"/>
    <x v="2"/>
    <x v="0"/>
    <x v="2"/>
    <x v="19"/>
    <x v="12"/>
    <x v="12"/>
    <x v="0"/>
    <x v="19"/>
    <x v="19"/>
    <x v="18"/>
    <x v="19"/>
    <x v="0"/>
    <x v="0"/>
    <x v="0"/>
    <x v="18"/>
    <x v="18"/>
    <x v="11"/>
  </r>
  <r>
    <x v="3"/>
    <x v="3"/>
    <x v="20"/>
    <x v="20"/>
    <x v="21"/>
    <x v="19"/>
    <x v="21"/>
    <x v="19"/>
    <x v="1"/>
    <x v="0"/>
    <x v="1"/>
    <x v="12"/>
    <x v="1"/>
    <x v="20"/>
    <x v="20"/>
    <x v="18"/>
    <x v="2"/>
    <x v="0"/>
    <x v="2"/>
    <x v="20"/>
    <x v="1"/>
    <x v="1"/>
    <x v="0"/>
    <x v="20"/>
    <x v="20"/>
    <x v="19"/>
    <x v="20"/>
    <x v="0"/>
    <x v="0"/>
    <x v="0"/>
    <x v="19"/>
    <x v="19"/>
    <x v="12"/>
  </r>
  <r>
    <x v="3"/>
    <x v="4"/>
    <x v="21"/>
    <x v="21"/>
    <x v="22"/>
    <x v="20"/>
    <x v="22"/>
    <x v="20"/>
    <x v="1"/>
    <x v="0"/>
    <x v="1"/>
    <x v="13"/>
    <x v="1"/>
    <x v="21"/>
    <x v="21"/>
    <x v="19"/>
    <x v="2"/>
    <x v="0"/>
    <x v="2"/>
    <x v="21"/>
    <x v="1"/>
    <x v="1"/>
    <x v="1"/>
    <x v="21"/>
    <x v="21"/>
    <x v="20"/>
    <x v="21"/>
    <x v="0"/>
    <x v="0"/>
    <x v="0"/>
    <x v="20"/>
    <x v="20"/>
    <x v="1"/>
  </r>
  <r>
    <x v="3"/>
    <x v="5"/>
    <x v="5"/>
    <x v="5"/>
    <x v="5"/>
    <x v="5"/>
    <x v="23"/>
    <x v="5"/>
    <x v="1"/>
    <x v="0"/>
    <x v="1"/>
    <x v="14"/>
    <x v="1"/>
    <x v="5"/>
    <x v="5"/>
    <x v="5"/>
    <x v="2"/>
    <x v="0"/>
    <x v="2"/>
    <x v="22"/>
    <x v="1"/>
    <x v="1"/>
    <x v="1"/>
    <x v="5"/>
    <x v="5"/>
    <x v="5"/>
    <x v="5"/>
    <x v="0"/>
    <x v="0"/>
    <x v="0"/>
    <x v="5"/>
    <x v="5"/>
    <x v="1"/>
  </r>
  <r>
    <x v="4"/>
    <x v="0"/>
    <x v="22"/>
    <x v="22"/>
    <x v="23"/>
    <x v="21"/>
    <x v="24"/>
    <x v="21"/>
    <x v="0"/>
    <x v="0"/>
    <x v="1"/>
    <x v="1"/>
    <x v="0"/>
    <x v="22"/>
    <x v="22"/>
    <x v="20"/>
    <x v="3"/>
    <x v="0"/>
    <x v="3"/>
    <x v="23"/>
    <x v="13"/>
    <x v="13"/>
    <x v="0"/>
    <x v="22"/>
    <x v="22"/>
    <x v="21"/>
    <x v="22"/>
    <x v="0"/>
    <x v="0"/>
    <x v="0"/>
    <x v="21"/>
    <x v="21"/>
    <x v="13"/>
  </r>
  <r>
    <x v="4"/>
    <x v="1"/>
    <x v="23"/>
    <x v="23"/>
    <x v="24"/>
    <x v="22"/>
    <x v="25"/>
    <x v="22"/>
    <x v="0"/>
    <x v="0"/>
    <x v="1"/>
    <x v="15"/>
    <x v="0"/>
    <x v="23"/>
    <x v="23"/>
    <x v="21"/>
    <x v="3"/>
    <x v="0"/>
    <x v="3"/>
    <x v="24"/>
    <x v="14"/>
    <x v="14"/>
    <x v="1"/>
    <x v="23"/>
    <x v="23"/>
    <x v="22"/>
    <x v="23"/>
    <x v="0"/>
    <x v="0"/>
    <x v="0"/>
    <x v="22"/>
    <x v="22"/>
    <x v="1"/>
  </r>
  <r>
    <x v="4"/>
    <x v="2"/>
    <x v="24"/>
    <x v="24"/>
    <x v="25"/>
    <x v="23"/>
    <x v="26"/>
    <x v="23"/>
    <x v="0"/>
    <x v="0"/>
    <x v="0"/>
    <x v="16"/>
    <x v="0"/>
    <x v="24"/>
    <x v="24"/>
    <x v="22"/>
    <x v="3"/>
    <x v="0"/>
    <x v="3"/>
    <x v="25"/>
    <x v="1"/>
    <x v="15"/>
    <x v="0"/>
    <x v="24"/>
    <x v="24"/>
    <x v="23"/>
    <x v="24"/>
    <x v="0"/>
    <x v="0"/>
    <x v="0"/>
    <x v="23"/>
    <x v="8"/>
    <x v="14"/>
  </r>
  <r>
    <x v="4"/>
    <x v="3"/>
    <x v="25"/>
    <x v="25"/>
    <x v="26"/>
    <x v="24"/>
    <x v="27"/>
    <x v="24"/>
    <x v="0"/>
    <x v="0"/>
    <x v="1"/>
    <x v="17"/>
    <x v="0"/>
    <x v="25"/>
    <x v="25"/>
    <x v="23"/>
    <x v="3"/>
    <x v="0"/>
    <x v="3"/>
    <x v="26"/>
    <x v="15"/>
    <x v="16"/>
    <x v="0"/>
    <x v="25"/>
    <x v="25"/>
    <x v="24"/>
    <x v="25"/>
    <x v="0"/>
    <x v="0"/>
    <x v="0"/>
    <x v="24"/>
    <x v="23"/>
    <x v="15"/>
  </r>
  <r>
    <x v="4"/>
    <x v="4"/>
    <x v="26"/>
    <x v="26"/>
    <x v="27"/>
    <x v="4"/>
    <x v="28"/>
    <x v="25"/>
    <x v="1"/>
    <x v="1"/>
    <x v="1"/>
    <x v="18"/>
    <x v="1"/>
    <x v="26"/>
    <x v="26"/>
    <x v="24"/>
    <x v="3"/>
    <x v="0"/>
    <x v="3"/>
    <x v="27"/>
    <x v="1"/>
    <x v="1"/>
    <x v="1"/>
    <x v="26"/>
    <x v="26"/>
    <x v="4"/>
    <x v="26"/>
    <x v="0"/>
    <x v="0"/>
    <x v="0"/>
    <x v="25"/>
    <x v="24"/>
    <x v="1"/>
  </r>
  <r>
    <x v="4"/>
    <x v="5"/>
    <x v="5"/>
    <x v="27"/>
    <x v="17"/>
    <x v="5"/>
    <x v="29"/>
    <x v="5"/>
    <x v="1"/>
    <x v="1"/>
    <x v="0"/>
    <x v="19"/>
    <x v="1"/>
    <x v="5"/>
    <x v="5"/>
    <x v="5"/>
    <x v="3"/>
    <x v="0"/>
    <x v="3"/>
    <x v="28"/>
    <x v="1"/>
    <x v="1"/>
    <x v="1"/>
    <x v="5"/>
    <x v="5"/>
    <x v="5"/>
    <x v="11"/>
    <x v="0"/>
    <x v="0"/>
    <x v="0"/>
    <x v="5"/>
    <x v="8"/>
    <x v="1"/>
  </r>
  <r>
    <x v="5"/>
    <x v="0"/>
    <x v="27"/>
    <x v="28"/>
    <x v="28"/>
    <x v="25"/>
    <x v="30"/>
    <x v="26"/>
    <x v="0"/>
    <x v="0"/>
    <x v="0"/>
    <x v="1"/>
    <x v="0"/>
    <x v="27"/>
    <x v="27"/>
    <x v="25"/>
    <x v="3"/>
    <x v="0"/>
    <x v="3"/>
    <x v="29"/>
    <x v="16"/>
    <x v="17"/>
    <x v="0"/>
    <x v="27"/>
    <x v="27"/>
    <x v="25"/>
    <x v="27"/>
    <x v="0"/>
    <x v="0"/>
    <x v="0"/>
    <x v="26"/>
    <x v="25"/>
    <x v="16"/>
  </r>
  <r>
    <x v="5"/>
    <x v="1"/>
    <x v="28"/>
    <x v="13"/>
    <x v="29"/>
    <x v="26"/>
    <x v="31"/>
    <x v="27"/>
    <x v="0"/>
    <x v="1"/>
    <x v="1"/>
    <x v="20"/>
    <x v="0"/>
    <x v="28"/>
    <x v="28"/>
    <x v="26"/>
    <x v="3"/>
    <x v="0"/>
    <x v="3"/>
    <x v="30"/>
    <x v="17"/>
    <x v="18"/>
    <x v="1"/>
    <x v="28"/>
    <x v="28"/>
    <x v="26"/>
    <x v="28"/>
    <x v="0"/>
    <x v="0"/>
    <x v="0"/>
    <x v="27"/>
    <x v="26"/>
    <x v="1"/>
  </r>
  <r>
    <x v="5"/>
    <x v="2"/>
    <x v="29"/>
    <x v="29"/>
    <x v="8"/>
    <x v="27"/>
    <x v="32"/>
    <x v="28"/>
    <x v="0"/>
    <x v="0"/>
    <x v="1"/>
    <x v="21"/>
    <x v="0"/>
    <x v="29"/>
    <x v="29"/>
    <x v="27"/>
    <x v="3"/>
    <x v="0"/>
    <x v="3"/>
    <x v="31"/>
    <x v="18"/>
    <x v="19"/>
    <x v="0"/>
    <x v="29"/>
    <x v="29"/>
    <x v="27"/>
    <x v="29"/>
    <x v="0"/>
    <x v="0"/>
    <x v="0"/>
    <x v="28"/>
    <x v="27"/>
    <x v="17"/>
  </r>
  <r>
    <x v="5"/>
    <x v="3"/>
    <x v="30"/>
    <x v="30"/>
    <x v="30"/>
    <x v="28"/>
    <x v="33"/>
    <x v="29"/>
    <x v="1"/>
    <x v="1"/>
    <x v="1"/>
    <x v="22"/>
    <x v="1"/>
    <x v="30"/>
    <x v="30"/>
    <x v="28"/>
    <x v="3"/>
    <x v="0"/>
    <x v="3"/>
    <x v="32"/>
    <x v="1"/>
    <x v="1"/>
    <x v="0"/>
    <x v="30"/>
    <x v="30"/>
    <x v="28"/>
    <x v="30"/>
    <x v="0"/>
    <x v="0"/>
    <x v="0"/>
    <x v="29"/>
    <x v="28"/>
    <x v="18"/>
  </r>
  <r>
    <x v="5"/>
    <x v="4"/>
    <x v="31"/>
    <x v="31"/>
    <x v="31"/>
    <x v="29"/>
    <x v="34"/>
    <x v="10"/>
    <x v="0"/>
    <x v="0"/>
    <x v="1"/>
    <x v="23"/>
    <x v="0"/>
    <x v="31"/>
    <x v="31"/>
    <x v="29"/>
    <x v="3"/>
    <x v="0"/>
    <x v="3"/>
    <x v="33"/>
    <x v="19"/>
    <x v="20"/>
    <x v="1"/>
    <x v="31"/>
    <x v="31"/>
    <x v="29"/>
    <x v="31"/>
    <x v="0"/>
    <x v="0"/>
    <x v="0"/>
    <x v="30"/>
    <x v="29"/>
    <x v="1"/>
  </r>
  <r>
    <x v="5"/>
    <x v="5"/>
    <x v="5"/>
    <x v="27"/>
    <x v="5"/>
    <x v="5"/>
    <x v="35"/>
    <x v="5"/>
    <x v="1"/>
    <x v="1"/>
    <x v="1"/>
    <x v="24"/>
    <x v="1"/>
    <x v="5"/>
    <x v="5"/>
    <x v="5"/>
    <x v="3"/>
    <x v="0"/>
    <x v="3"/>
    <x v="28"/>
    <x v="1"/>
    <x v="1"/>
    <x v="1"/>
    <x v="5"/>
    <x v="5"/>
    <x v="5"/>
    <x v="5"/>
    <x v="0"/>
    <x v="0"/>
    <x v="0"/>
    <x v="5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0" dataPosition="0" autoFormatId="1" applyNumberFormats="0" applyBorderFormats="0" applyFontFormats="0" applyPatternFormats="0" applyAlignmentFormats="0" applyWidthHeightFormats="1" dataCaption="Data" preserveFormatting="1" useAutoFormatting="1" rowGrandTotals="0" colGrandTotals="0" compact="0" compactData="0" gridDropZones="1">
  <location ref="A4:C11" firstHeaderRow="1" firstDataRow="2" firstDataCol="1" rowPageCount="1" colPageCount="1"/>
  <pivotFields count="33">
    <pivotField axis="axisRow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Page" compact="0" outline="0" subtotalTop="0" showAll="0">
      <items count="3">
        <item x="0"/>
        <item h="1"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>
      <items count="33">
        <item x="21"/>
        <item x="20"/>
        <item x="12"/>
        <item x="0"/>
        <item x="17"/>
        <item x="23"/>
        <item x="13"/>
        <item x="4"/>
        <item x="1"/>
        <item x="2"/>
        <item x="16"/>
        <item x="6"/>
        <item x="7"/>
        <item x="10"/>
        <item x="5"/>
        <item x="19"/>
        <item x="8"/>
        <item x="30"/>
        <item x="11"/>
        <item x="3"/>
        <item x="22"/>
        <item x="14"/>
        <item x="15"/>
        <item x="27"/>
        <item x="29"/>
        <item x="9"/>
        <item x="26"/>
        <item x="18"/>
        <item x="24"/>
        <item x="28"/>
        <item x="31"/>
        <item x="25"/>
        <item t="default"/>
      </items>
    </pivotField>
    <pivotField dataField="1" compact="0" outline="0" subtotalTop="0" showAll="0">
      <items count="23">
        <item x="1"/>
        <item x="21"/>
        <item x="18"/>
        <item x="11"/>
        <item x="6"/>
        <item x="17"/>
        <item x="9"/>
        <item x="3"/>
        <item x="20"/>
        <item x="14"/>
        <item x="19"/>
        <item x="12"/>
        <item x="4"/>
        <item x="10"/>
        <item x="2"/>
        <item x="5"/>
        <item x="8"/>
        <item x="15"/>
        <item x="0"/>
        <item x="13"/>
        <item x="7"/>
        <item x="1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pageFields count="1">
    <pageField fld="22" item="0"/>
  </pageFields>
  <dataFields count="2">
    <dataField name="Sum of profit2" fld="31" baseField="0" baseItem="0"/>
    <dataField name="Sum of value2" fld="32" baseField="0" baseItem="0"/>
  </dataFields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zoomScale="280" zoomScaleNormal="280" workbookViewId="0">
      <selection activeCell="B3" sqref="B3"/>
    </sheetView>
  </sheetViews>
  <sheetFormatPr defaultColWidth="9" defaultRowHeight="12.75" outlineLevelRow="4" outlineLevelCol="1"/>
  <cols>
    <col min="1" max="1" width="13.5" customWidth="1"/>
    <col min="2" max="2" width="7.375" customWidth="1"/>
  </cols>
  <sheetData>
    <row r="1" spans="1:2">
      <c r="A1" t="s">
        <v>0</v>
      </c>
      <c r="B1">
        <v>100000</v>
      </c>
    </row>
    <row r="2" spans="1:2">
      <c r="A2" t="s">
        <v>1</v>
      </c>
      <c r="B2">
        <v>3</v>
      </c>
    </row>
    <row r="3" spans="1:2">
      <c r="A3" t="s">
        <v>2</v>
      </c>
      <c r="B3">
        <f>Capital*Leverage</f>
        <v>300000</v>
      </c>
    </row>
    <row r="4" spans="1:2">
      <c r="A4" t="s">
        <v>3</v>
      </c>
      <c r="B4">
        <v>0.05</v>
      </c>
    </row>
    <row r="5" spans="1:2">
      <c r="A5" t="s">
        <v>4</v>
      </c>
      <c r="B5">
        <v>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9"/>
  <sheetViews>
    <sheetView zoomScale="145" zoomScaleNormal="145" workbookViewId="0">
      <pane ySplit="1" topLeftCell="A28" activePane="bottomLeft" state="frozen"/>
      <selection/>
      <selection pane="bottomLeft" activeCell="AD36" sqref="AD36"/>
    </sheetView>
  </sheetViews>
  <sheetFormatPr defaultColWidth="9" defaultRowHeight="12.75"/>
  <cols>
    <col min="1" max="1" width="10.2166666666667" customWidth="1"/>
    <col min="2" max="2" width="7.20833333333333" customWidth="1"/>
    <col min="3" max="3" width="6.375" hidden="1" customWidth="1" outlineLevel="1"/>
    <col min="4" max="7" width="7.375" hidden="1" customWidth="1" outlineLevel="1"/>
    <col min="8" max="8" width="8.625" hidden="1" customWidth="1" outlineLevel="1"/>
    <col min="9" max="11" width="9" hidden="1" customWidth="1" outlineLevel="1"/>
    <col min="12" max="12" width="9.33333333333333" customWidth="1" collapsed="1"/>
    <col min="13" max="13" width="7.25" hidden="1" customWidth="1" outlineLevel="1"/>
    <col min="14" max="14" width="6.375" hidden="1" customWidth="1" outlineLevel="1"/>
    <col min="15" max="15" width="8.5" hidden="1" customWidth="1" outlineLevel="1"/>
    <col min="16" max="16" width="6.375" hidden="1" customWidth="1" outlineLevel="1"/>
    <col min="17" max="17" width="5.68333333333333" hidden="1" customWidth="1" outlineLevel="1"/>
    <col min="18" max="18" width="4.85" hidden="1" customWidth="1" outlineLevel="1"/>
    <col min="19" max="19" width="7.875" hidden="1" customWidth="1" outlineLevel="1"/>
    <col min="20" max="20" width="5.875" hidden="1" customWidth="1" outlineLevel="1"/>
    <col min="21" max="21" width="8.375" hidden="1" customWidth="1" outlineLevel="1"/>
    <col min="22" max="22" width="7.875" hidden="1" customWidth="1" outlineLevel="1"/>
    <col min="23" max="23" width="7.25" customWidth="1" collapsed="1"/>
    <col min="26" max="26" width="7.05833333333333" customWidth="1"/>
    <col min="27" max="27" width="7.75833333333333" customWidth="1"/>
    <col min="28" max="28" width="5.125" customWidth="1"/>
    <col min="29" max="29" width="4.125" customWidth="1"/>
    <col min="30" max="30" width="7.375" customWidth="1"/>
    <col min="31" max="31" width="6.375" customWidth="1"/>
    <col min="32" max="32" width="9.375" customWidth="1"/>
  </cols>
  <sheetData>
    <row r="1" s="18" customFormat="1" ht="25.5" spans="1:33">
      <c r="A1" s="18" t="s">
        <v>5</v>
      </c>
      <c r="B1" s="18" t="s">
        <v>6</v>
      </c>
      <c r="C1" s="18" t="s">
        <v>7</v>
      </c>
      <c r="D1" s="18" t="s">
        <v>8</v>
      </c>
      <c r="E1" s="18" t="s">
        <v>9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8" t="s">
        <v>16</v>
      </c>
      <c r="M1" s="21" t="s">
        <v>17</v>
      </c>
      <c r="N1" s="18" t="s">
        <v>18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24</v>
      </c>
      <c r="U1" s="18" t="s">
        <v>25</v>
      </c>
      <c r="V1" s="18" t="s">
        <v>26</v>
      </c>
      <c r="W1" s="21" t="s">
        <v>27</v>
      </c>
      <c r="X1" s="18" t="s">
        <v>28</v>
      </c>
      <c r="Y1" s="18" t="s">
        <v>29</v>
      </c>
      <c r="Z1" s="18" t="s">
        <v>30</v>
      </c>
      <c r="AA1" s="18" t="s">
        <v>31</v>
      </c>
      <c r="AB1" s="18" t="s">
        <v>21</v>
      </c>
      <c r="AC1" s="18" t="s">
        <v>22</v>
      </c>
      <c r="AD1" s="18" t="s">
        <v>23</v>
      </c>
      <c r="AE1" s="18" t="s">
        <v>24</v>
      </c>
      <c r="AF1" s="18" t="s">
        <v>25</v>
      </c>
      <c r="AG1" s="18" t="s">
        <v>26</v>
      </c>
    </row>
    <row r="2" spans="1:33">
      <c r="A2" s="19">
        <v>43101</v>
      </c>
      <c r="B2" t="s">
        <v>32</v>
      </c>
      <c r="C2">
        <v>25</v>
      </c>
      <c r="D2">
        <v>26</v>
      </c>
      <c r="E2">
        <v>25</v>
      </c>
      <c r="F2">
        <v>25.4</v>
      </c>
      <c r="G2">
        <v>41688</v>
      </c>
      <c r="H2">
        <v>24.9</v>
      </c>
      <c r="I2" t="b">
        <f>C2&gt;H2</f>
        <v>1</v>
      </c>
      <c r="J2" t="b">
        <f>C2=D2</f>
        <v>0</v>
      </c>
      <c r="K2" t="b">
        <f>C2=E2</f>
        <v>1</v>
      </c>
      <c r="M2" s="2" t="b">
        <f>AND(I2)</f>
        <v>1</v>
      </c>
      <c r="N2">
        <f>CEILING(C2,0.05)</f>
        <v>25</v>
      </c>
      <c r="O2">
        <f>ROUND(N2*0.99/Tick,0)*Tick</f>
        <v>24.75</v>
      </c>
      <c r="P2">
        <f>IF(E2&lt;O2,O2,F2)</f>
        <v>25.4</v>
      </c>
      <c r="Q2">
        <f>MIN(COUNTIFS($A$2:$A$37,A2,M$2:M$37,TRUE),Limit)</f>
        <v>3</v>
      </c>
      <c r="R2">
        <v>1</v>
      </c>
      <c r="S2" s="22">
        <f>TradingCapital/Q2</f>
        <v>100000</v>
      </c>
      <c r="T2" s="22">
        <f>ROUND(S2/N2,0)</f>
        <v>4000</v>
      </c>
      <c r="U2">
        <f>(P2-N2)*T2*M2*R2</f>
        <v>1599.99999999999</v>
      </c>
      <c r="V2" s="22">
        <f>(N2+P2)*T2*M2*R2</f>
        <v>201600</v>
      </c>
      <c r="W2" s="2" t="b">
        <f>AND(C2&lt;100)</f>
        <v>1</v>
      </c>
      <c r="X2" s="20">
        <f>ROUND(C2*0.999/Tick,0)*Tick</f>
        <v>25</v>
      </c>
      <c r="Y2" s="20">
        <f>ROUND(X2*1.03/Tick,0)*Tick</f>
        <v>25.75</v>
      </c>
      <c r="Z2">
        <f>IF(AND(Y2&gt;=$E2,Y2&lt;=$D2),Y2,$F2)</f>
        <v>25.75</v>
      </c>
      <c r="AA2">
        <f>IF(AND(X2&gt;=$E2,X2&lt;=$D2),X2,$F2)</f>
        <v>25</v>
      </c>
      <c r="AB2">
        <f>MIN(COUNTIFS($W$2:$W$37,TRUE,$A$2:$A$37,A2),Limit)</f>
        <v>3</v>
      </c>
      <c r="AC2">
        <v>1</v>
      </c>
      <c r="AD2">
        <f>TradingCapital/AB2</f>
        <v>100000</v>
      </c>
      <c r="AE2">
        <f>ROUND(AD2/X2,0)</f>
        <v>4000</v>
      </c>
      <c r="AF2">
        <f>(AA2-Z2)*AE2</f>
        <v>-3000</v>
      </c>
      <c r="AG2" s="22">
        <f>(Z2+AA2)*AE2*AC2*W2</f>
        <v>203000</v>
      </c>
    </row>
    <row r="3" spans="1:33">
      <c r="A3" s="19">
        <v>43101</v>
      </c>
      <c r="B3" t="s">
        <v>33</v>
      </c>
      <c r="C3">
        <v>150</v>
      </c>
      <c r="D3">
        <v>153.3</v>
      </c>
      <c r="E3">
        <v>142.5</v>
      </c>
      <c r="F3">
        <v>151.8</v>
      </c>
      <c r="G3">
        <v>803189</v>
      </c>
      <c r="H3">
        <v>154</v>
      </c>
      <c r="I3" t="b">
        <f t="shared" ref="I3:I37" si="0">C3&gt;H3</f>
        <v>0</v>
      </c>
      <c r="J3" t="b">
        <f t="shared" ref="J3:J37" si="1">C3=D3</f>
        <v>0</v>
      </c>
      <c r="K3" t="b">
        <f t="shared" ref="K3:K37" si="2">C3=E3</f>
        <v>0</v>
      </c>
      <c r="M3" s="2" t="b">
        <f t="shared" ref="M3:M37" si="3">AND(I3)</f>
        <v>0</v>
      </c>
      <c r="N3">
        <f t="shared" ref="N3:N37" si="4">CEILING(C3,0.05)</f>
        <v>150</v>
      </c>
      <c r="O3">
        <f>ROUND(N3*0.99/Tick,0)*Tick</f>
        <v>148.5</v>
      </c>
      <c r="P3">
        <f t="shared" ref="P3:P37" si="5">IF(E3&lt;O3,O3,F3)</f>
        <v>148.5</v>
      </c>
      <c r="Q3">
        <f>MIN(COUNTIFS($A$2:$A$37,A3,M$2:M$37,TRUE),Limit)</f>
        <v>3</v>
      </c>
      <c r="R3">
        <v>1</v>
      </c>
      <c r="S3" s="22">
        <f>TradingCapital/Q3</f>
        <v>100000</v>
      </c>
      <c r="T3" s="22">
        <f t="shared" ref="T3:T37" si="6">ROUND(S3/N3,0)</f>
        <v>667</v>
      </c>
      <c r="U3">
        <f t="shared" ref="U3:U37" si="7">(P3-N3)*T3*M3*R3</f>
        <v>0</v>
      </c>
      <c r="V3" s="22">
        <f t="shared" ref="V3:V37" si="8">(N3+P3)*T3*M3*R3</f>
        <v>0</v>
      </c>
      <c r="W3" s="2" t="b">
        <f t="shared" ref="W3:W37" si="9">AND(C3&lt;100)</f>
        <v>0</v>
      </c>
      <c r="X3" s="20">
        <f>ROUND(C3*0.999/Tick,0)*Tick</f>
        <v>149.85</v>
      </c>
      <c r="Y3" s="20">
        <f>ROUND(X3*1.03/Tick,0)*Tick</f>
        <v>154.35</v>
      </c>
      <c r="Z3">
        <f t="shared" ref="Z3:Z37" si="10">IF(AND(Y3&gt;=$E3,Y3&lt;=$D3),Y3,$F3)</f>
        <v>151.8</v>
      </c>
      <c r="AA3">
        <f t="shared" ref="AA3:AA37" si="11">IF(AND(X3&gt;=$E3,X3&lt;=$D3),X3,$F3)</f>
        <v>149.85</v>
      </c>
      <c r="AB3">
        <f>MIN(COUNTIFS($W$2:$W$37,TRUE,$A$2:$A$37,A3),Limit)</f>
        <v>3</v>
      </c>
      <c r="AC3">
        <v>1</v>
      </c>
      <c r="AD3">
        <f>TradingCapital/AB3</f>
        <v>100000</v>
      </c>
      <c r="AE3">
        <f t="shared" ref="AE3:AE37" si="12">ROUND(AD3/X3,0)</f>
        <v>667</v>
      </c>
      <c r="AF3">
        <f t="shared" ref="AF3:AF37" si="13">(AA3-Z3)*AE3</f>
        <v>-1300.65000000001</v>
      </c>
      <c r="AG3" s="22">
        <f t="shared" ref="AG3:AG37" si="14">(Z3+AA3)*AE3*AC3*W3</f>
        <v>0</v>
      </c>
    </row>
    <row r="4" spans="1:33">
      <c r="A4" s="19">
        <v>43101</v>
      </c>
      <c r="B4" t="s">
        <v>34</v>
      </c>
      <c r="C4">
        <v>10</v>
      </c>
      <c r="D4">
        <v>10.22</v>
      </c>
      <c r="E4">
        <v>9.98</v>
      </c>
      <c r="F4">
        <v>10.12</v>
      </c>
      <c r="G4">
        <v>392523</v>
      </c>
      <c r="H4">
        <v>9.8</v>
      </c>
      <c r="I4" t="b">
        <f t="shared" si="0"/>
        <v>1</v>
      </c>
      <c r="J4" t="b">
        <f t="shared" si="1"/>
        <v>0</v>
      </c>
      <c r="K4" t="b">
        <f t="shared" si="2"/>
        <v>0</v>
      </c>
      <c r="M4" s="2" t="b">
        <f t="shared" si="3"/>
        <v>1</v>
      </c>
      <c r="N4">
        <f t="shared" si="4"/>
        <v>10</v>
      </c>
      <c r="O4">
        <f>ROUND(N4*0.99/Tick,0)*Tick</f>
        <v>9.9</v>
      </c>
      <c r="P4">
        <f t="shared" si="5"/>
        <v>10.12</v>
      </c>
      <c r="Q4">
        <f>MIN(COUNTIFS($A$2:$A$37,A4,M$2:M$37,TRUE),Limit)</f>
        <v>3</v>
      </c>
      <c r="R4">
        <v>1</v>
      </c>
      <c r="S4" s="22">
        <f>TradingCapital/Q4</f>
        <v>100000</v>
      </c>
      <c r="T4" s="22">
        <f t="shared" si="6"/>
        <v>10000</v>
      </c>
      <c r="U4">
        <f t="shared" si="7"/>
        <v>1199.99999999999</v>
      </c>
      <c r="V4" s="22">
        <f t="shared" si="8"/>
        <v>201200</v>
      </c>
      <c r="W4" s="2" t="b">
        <f t="shared" si="9"/>
        <v>1</v>
      </c>
      <c r="X4" s="20">
        <f>ROUND(C4*0.999/Tick,0)*Tick</f>
        <v>10</v>
      </c>
      <c r="Y4" s="20">
        <f>ROUND(X4*1.03/Tick,0)*Tick</f>
        <v>10.3</v>
      </c>
      <c r="Z4">
        <f t="shared" si="10"/>
        <v>10.12</v>
      </c>
      <c r="AA4">
        <f t="shared" si="11"/>
        <v>10</v>
      </c>
      <c r="AB4">
        <f>MIN(COUNTIFS($W$2:$W$37,TRUE,$A$2:$A$37,A4),Limit)</f>
        <v>3</v>
      </c>
      <c r="AC4">
        <v>1</v>
      </c>
      <c r="AD4">
        <f>TradingCapital/AB4</f>
        <v>100000</v>
      </c>
      <c r="AE4">
        <f t="shared" si="12"/>
        <v>10000</v>
      </c>
      <c r="AF4">
        <f t="shared" si="13"/>
        <v>-1199.99999999999</v>
      </c>
      <c r="AG4" s="22">
        <f t="shared" si="14"/>
        <v>201200</v>
      </c>
    </row>
    <row r="5" spans="1:33">
      <c r="A5" s="19">
        <v>43101</v>
      </c>
      <c r="B5" t="s">
        <v>35</v>
      </c>
      <c r="C5">
        <v>73</v>
      </c>
      <c r="D5">
        <v>73.5</v>
      </c>
      <c r="E5">
        <v>71</v>
      </c>
      <c r="F5">
        <v>72.4</v>
      </c>
      <c r="G5">
        <v>818035</v>
      </c>
      <c r="H5">
        <v>72</v>
      </c>
      <c r="I5" t="b">
        <f t="shared" si="0"/>
        <v>1</v>
      </c>
      <c r="J5" t="b">
        <f t="shared" si="1"/>
        <v>0</v>
      </c>
      <c r="K5" t="b">
        <f t="shared" si="2"/>
        <v>0</v>
      </c>
      <c r="M5" s="2" t="b">
        <f t="shared" si="3"/>
        <v>1</v>
      </c>
      <c r="N5">
        <f t="shared" si="4"/>
        <v>73</v>
      </c>
      <c r="O5">
        <f>ROUND(N5*0.99/Tick,0)*Tick</f>
        <v>72.25</v>
      </c>
      <c r="P5">
        <f t="shared" si="5"/>
        <v>72.25</v>
      </c>
      <c r="Q5">
        <f>MIN(COUNTIFS($A$2:$A$37,A5,M$2:M$37,TRUE),Limit)</f>
        <v>3</v>
      </c>
      <c r="R5">
        <v>1</v>
      </c>
      <c r="S5" s="22">
        <f>TradingCapital/Q5</f>
        <v>100000</v>
      </c>
      <c r="T5" s="22">
        <f t="shared" si="6"/>
        <v>1370</v>
      </c>
      <c r="U5">
        <f t="shared" si="7"/>
        <v>-1027.5</v>
      </c>
      <c r="V5" s="22">
        <f t="shared" si="8"/>
        <v>198992.5</v>
      </c>
      <c r="W5" s="2" t="b">
        <f t="shared" si="9"/>
        <v>1</v>
      </c>
      <c r="X5" s="20">
        <f>ROUND(C5*0.999/Tick,0)*Tick</f>
        <v>72.95</v>
      </c>
      <c r="Y5" s="20">
        <f>ROUND(X5*1.03/Tick,0)*Tick</f>
        <v>75.15</v>
      </c>
      <c r="Z5">
        <f t="shared" si="10"/>
        <v>72.4</v>
      </c>
      <c r="AA5">
        <f t="shared" si="11"/>
        <v>72.95</v>
      </c>
      <c r="AB5">
        <f>MIN(COUNTIFS($W$2:$W$37,TRUE,$A$2:$A$37,A5),Limit)</f>
        <v>3</v>
      </c>
      <c r="AC5">
        <v>1</v>
      </c>
      <c r="AD5">
        <f>TradingCapital/AB5</f>
        <v>100000</v>
      </c>
      <c r="AE5">
        <f t="shared" si="12"/>
        <v>1371</v>
      </c>
      <c r="AF5">
        <f t="shared" si="13"/>
        <v>754.049999999996</v>
      </c>
      <c r="AG5" s="22">
        <f t="shared" si="14"/>
        <v>199274.85</v>
      </c>
    </row>
    <row r="6" spans="1:33">
      <c r="A6" s="19">
        <v>43101</v>
      </c>
      <c r="B6" t="s">
        <v>36</v>
      </c>
      <c r="C6">
        <v>100</v>
      </c>
      <c r="D6">
        <v>102.2</v>
      </c>
      <c r="E6">
        <v>95</v>
      </c>
      <c r="F6">
        <v>101.2</v>
      </c>
      <c r="G6">
        <v>340149</v>
      </c>
      <c r="H6">
        <v>100.5</v>
      </c>
      <c r="I6" t="b">
        <f t="shared" si="0"/>
        <v>0</v>
      </c>
      <c r="J6" t="b">
        <f t="shared" si="1"/>
        <v>0</v>
      </c>
      <c r="K6" t="b">
        <f t="shared" si="2"/>
        <v>0</v>
      </c>
      <c r="M6" s="2" t="b">
        <f t="shared" si="3"/>
        <v>0</v>
      </c>
      <c r="N6">
        <f t="shared" si="4"/>
        <v>100</v>
      </c>
      <c r="O6">
        <f>ROUND(N6*0.99/Tick,0)*Tick</f>
        <v>99</v>
      </c>
      <c r="P6">
        <f t="shared" si="5"/>
        <v>99</v>
      </c>
      <c r="Q6">
        <f>MIN(COUNTIFS($A$2:$A$37,A6,M$2:M$37,TRUE),Limit)</f>
        <v>3</v>
      </c>
      <c r="R6">
        <v>1</v>
      </c>
      <c r="S6" s="22">
        <f>TradingCapital/Q6</f>
        <v>100000</v>
      </c>
      <c r="T6" s="22">
        <f t="shared" si="6"/>
        <v>1000</v>
      </c>
      <c r="U6">
        <f t="shared" si="7"/>
        <v>0</v>
      </c>
      <c r="V6" s="22">
        <f t="shared" si="8"/>
        <v>0</v>
      </c>
      <c r="W6" s="2" t="b">
        <f t="shared" si="9"/>
        <v>0</v>
      </c>
      <c r="X6" s="20">
        <f>ROUND(C6*0.999/Tick,0)*Tick</f>
        <v>99.9</v>
      </c>
      <c r="Y6" s="20">
        <f>ROUND(X6*1.03/Tick,0)*Tick</f>
        <v>102.9</v>
      </c>
      <c r="Z6">
        <f t="shared" si="10"/>
        <v>101.2</v>
      </c>
      <c r="AA6">
        <f t="shared" si="11"/>
        <v>99.9</v>
      </c>
      <c r="AB6">
        <f>MIN(COUNTIFS($W$2:$W$37,TRUE,$A$2:$A$37,A6),Limit)</f>
        <v>3</v>
      </c>
      <c r="AC6">
        <v>1</v>
      </c>
      <c r="AD6">
        <f>TradingCapital/AB6</f>
        <v>100000</v>
      </c>
      <c r="AE6">
        <f t="shared" si="12"/>
        <v>1001</v>
      </c>
      <c r="AF6">
        <f t="shared" si="13"/>
        <v>-1301.3</v>
      </c>
      <c r="AG6" s="22">
        <f t="shared" si="14"/>
        <v>0</v>
      </c>
    </row>
    <row r="7" spans="1:33">
      <c r="A7" s="19">
        <v>43101</v>
      </c>
      <c r="B7" t="s">
        <v>37</v>
      </c>
      <c r="C7">
        <v>1000</v>
      </c>
      <c r="D7">
        <v>1001</v>
      </c>
      <c r="E7">
        <v>999</v>
      </c>
      <c r="F7">
        <v>1000</v>
      </c>
      <c r="G7">
        <v>470737</v>
      </c>
      <c r="H7">
        <v>1000</v>
      </c>
      <c r="I7" t="b">
        <f t="shared" si="0"/>
        <v>0</v>
      </c>
      <c r="J7" t="b">
        <f t="shared" si="1"/>
        <v>0</v>
      </c>
      <c r="K7" t="b">
        <f t="shared" si="2"/>
        <v>0</v>
      </c>
      <c r="M7" s="2" t="b">
        <f t="shared" si="3"/>
        <v>0</v>
      </c>
      <c r="N7">
        <f t="shared" si="4"/>
        <v>1000</v>
      </c>
      <c r="O7">
        <f>ROUND(N7*0.99/Tick,0)*Tick</f>
        <v>990</v>
      </c>
      <c r="P7">
        <f t="shared" si="5"/>
        <v>1000</v>
      </c>
      <c r="Q7">
        <f>MIN(COUNTIFS($A$2:$A$37,A7,M$2:M$37,TRUE),Limit)</f>
        <v>3</v>
      </c>
      <c r="R7">
        <v>1</v>
      </c>
      <c r="S7" s="22">
        <f>TradingCapital/Q7</f>
        <v>100000</v>
      </c>
      <c r="T7" s="22">
        <f t="shared" si="6"/>
        <v>100</v>
      </c>
      <c r="U7">
        <f t="shared" si="7"/>
        <v>0</v>
      </c>
      <c r="V7" s="22">
        <f t="shared" si="8"/>
        <v>0</v>
      </c>
      <c r="W7" s="2" t="b">
        <f t="shared" si="9"/>
        <v>0</v>
      </c>
      <c r="X7" s="20">
        <f>ROUND(C7*0.999/Tick,0)*Tick</f>
        <v>999</v>
      </c>
      <c r="Y7" s="20">
        <f>ROUND(X7*1.03/Tick,0)*Tick</f>
        <v>1028.95</v>
      </c>
      <c r="Z7">
        <f t="shared" si="10"/>
        <v>1000</v>
      </c>
      <c r="AA7">
        <f t="shared" si="11"/>
        <v>999</v>
      </c>
      <c r="AB7">
        <f>MIN(COUNTIFS($W$2:$W$37,TRUE,$A$2:$A$37,A7),Limit)</f>
        <v>3</v>
      </c>
      <c r="AC7">
        <v>1</v>
      </c>
      <c r="AD7">
        <f>TradingCapital/AB7</f>
        <v>100000</v>
      </c>
      <c r="AE7">
        <f t="shared" si="12"/>
        <v>100</v>
      </c>
      <c r="AF7">
        <f t="shared" si="13"/>
        <v>-100</v>
      </c>
      <c r="AG7" s="22">
        <f t="shared" si="14"/>
        <v>0</v>
      </c>
    </row>
    <row r="8" spans="1:33">
      <c r="A8" s="19">
        <v>43102</v>
      </c>
      <c r="B8" t="s">
        <v>32</v>
      </c>
      <c r="C8">
        <v>25.5</v>
      </c>
      <c r="D8">
        <v>25.7</v>
      </c>
      <c r="E8">
        <v>24.5</v>
      </c>
      <c r="F8">
        <v>25.55</v>
      </c>
      <c r="G8">
        <v>682644</v>
      </c>
      <c r="H8">
        <v>25.4</v>
      </c>
      <c r="I8" t="b">
        <f t="shared" si="0"/>
        <v>1</v>
      </c>
      <c r="J8" t="b">
        <f t="shared" si="1"/>
        <v>0</v>
      </c>
      <c r="K8" t="b">
        <f t="shared" si="2"/>
        <v>0</v>
      </c>
      <c r="L8">
        <f t="shared" ref="L8:L37" si="15">(F7/H7)-1</f>
        <v>0</v>
      </c>
      <c r="M8" s="2" t="b">
        <f t="shared" si="3"/>
        <v>1</v>
      </c>
      <c r="N8">
        <f t="shared" si="4"/>
        <v>25.5</v>
      </c>
      <c r="O8">
        <f>ROUND(N8*0.99/Tick,0)*Tick</f>
        <v>25.25</v>
      </c>
      <c r="P8">
        <f t="shared" si="5"/>
        <v>25.25</v>
      </c>
      <c r="Q8">
        <f>MIN(COUNTIFS($A$2:$A$37,A8,M$2:M$37,TRUE),Limit)</f>
        <v>3</v>
      </c>
      <c r="R8">
        <v>1</v>
      </c>
      <c r="S8" s="22">
        <f>TradingCapital/Q8</f>
        <v>100000</v>
      </c>
      <c r="T8" s="22">
        <f t="shared" si="6"/>
        <v>3922</v>
      </c>
      <c r="U8">
        <f t="shared" si="7"/>
        <v>-980.5</v>
      </c>
      <c r="V8" s="22">
        <f t="shared" si="8"/>
        <v>199041.5</v>
      </c>
      <c r="W8" s="2" t="b">
        <f t="shared" si="9"/>
        <v>1</v>
      </c>
      <c r="X8" s="20">
        <f>ROUND(C8*0.999/Tick,0)*Tick</f>
        <v>25.45</v>
      </c>
      <c r="Y8" s="20">
        <f>ROUND(X8*1.03/Tick,0)*Tick</f>
        <v>26.2</v>
      </c>
      <c r="Z8">
        <f t="shared" si="10"/>
        <v>25.55</v>
      </c>
      <c r="AA8">
        <f t="shared" si="11"/>
        <v>25.45</v>
      </c>
      <c r="AB8">
        <f>MIN(COUNTIFS($W$2:$W$37,TRUE,$A$2:$A$37,A8),Limit)</f>
        <v>3</v>
      </c>
      <c r="AC8">
        <v>1</v>
      </c>
      <c r="AD8">
        <f>TradingCapital/AB8</f>
        <v>100000</v>
      </c>
      <c r="AE8">
        <f t="shared" si="12"/>
        <v>3929</v>
      </c>
      <c r="AF8">
        <f t="shared" si="13"/>
        <v>-392.899999999992</v>
      </c>
      <c r="AG8" s="22">
        <f t="shared" si="14"/>
        <v>200379</v>
      </c>
    </row>
    <row r="9" spans="1:33">
      <c r="A9" s="19">
        <v>43102</v>
      </c>
      <c r="B9" t="s">
        <v>33</v>
      </c>
      <c r="C9">
        <v>153</v>
      </c>
      <c r="D9">
        <v>154</v>
      </c>
      <c r="E9">
        <v>152</v>
      </c>
      <c r="F9">
        <v>153.3</v>
      </c>
      <c r="G9">
        <v>119604</v>
      </c>
      <c r="H9">
        <v>151.8</v>
      </c>
      <c r="I9" t="b">
        <f t="shared" si="0"/>
        <v>1</v>
      </c>
      <c r="J9" t="b">
        <f t="shared" si="1"/>
        <v>0</v>
      </c>
      <c r="K9" t="b">
        <f t="shared" si="2"/>
        <v>0</v>
      </c>
      <c r="L9">
        <f t="shared" si="15"/>
        <v>0.00590551181102361</v>
      </c>
      <c r="M9" s="2" t="b">
        <f t="shared" si="3"/>
        <v>1</v>
      </c>
      <c r="N9">
        <f t="shared" si="4"/>
        <v>153</v>
      </c>
      <c r="O9">
        <f>ROUND(N9*0.99/Tick,0)*Tick</f>
        <v>151.45</v>
      </c>
      <c r="P9">
        <f t="shared" si="5"/>
        <v>153.3</v>
      </c>
      <c r="Q9">
        <f>MIN(COUNTIFS($A$2:$A$37,A9,M$2:M$37,TRUE),Limit)</f>
        <v>3</v>
      </c>
      <c r="R9">
        <v>1</v>
      </c>
      <c r="S9" s="22">
        <f>TradingCapital/Q9</f>
        <v>100000</v>
      </c>
      <c r="T9" s="22">
        <f t="shared" si="6"/>
        <v>654</v>
      </c>
      <c r="U9">
        <f t="shared" si="7"/>
        <v>196.200000000007</v>
      </c>
      <c r="V9" s="22">
        <f t="shared" si="8"/>
        <v>200320.2</v>
      </c>
      <c r="W9" s="2" t="b">
        <f t="shared" si="9"/>
        <v>0</v>
      </c>
      <c r="X9" s="20">
        <f>ROUND(C9*0.999/Tick,0)*Tick</f>
        <v>152.85</v>
      </c>
      <c r="Y9" s="20">
        <f>ROUND(X9*1.03/Tick,0)*Tick</f>
        <v>157.45</v>
      </c>
      <c r="Z9">
        <f t="shared" si="10"/>
        <v>153.3</v>
      </c>
      <c r="AA9">
        <f t="shared" si="11"/>
        <v>152.85</v>
      </c>
      <c r="AB9">
        <f>MIN(COUNTIFS($W$2:$W$37,TRUE,$A$2:$A$37,A9),Limit)</f>
        <v>3</v>
      </c>
      <c r="AC9">
        <v>1</v>
      </c>
      <c r="AD9">
        <f>TradingCapital/AB9</f>
        <v>100000</v>
      </c>
      <c r="AE9">
        <f t="shared" si="12"/>
        <v>654</v>
      </c>
      <c r="AF9">
        <f t="shared" si="13"/>
        <v>-294.300000000011</v>
      </c>
      <c r="AG9" s="22">
        <f t="shared" si="14"/>
        <v>0</v>
      </c>
    </row>
    <row r="10" spans="1:33">
      <c r="A10" s="19">
        <v>43102</v>
      </c>
      <c r="B10" t="s">
        <v>34</v>
      </c>
      <c r="C10">
        <v>10.12</v>
      </c>
      <c r="D10">
        <v>10.25</v>
      </c>
      <c r="E10">
        <v>10.12</v>
      </c>
      <c r="F10">
        <v>10.22</v>
      </c>
      <c r="G10">
        <v>403480</v>
      </c>
      <c r="H10">
        <v>10.12</v>
      </c>
      <c r="I10" t="b">
        <f t="shared" si="0"/>
        <v>0</v>
      </c>
      <c r="J10" t="b">
        <f t="shared" si="1"/>
        <v>0</v>
      </c>
      <c r="K10" t="b">
        <f t="shared" si="2"/>
        <v>1</v>
      </c>
      <c r="L10">
        <f t="shared" si="15"/>
        <v>0.00988142292490113</v>
      </c>
      <c r="M10" s="2" t="b">
        <f t="shared" si="3"/>
        <v>0</v>
      </c>
      <c r="N10">
        <f t="shared" si="4"/>
        <v>10.15</v>
      </c>
      <c r="O10">
        <f>ROUND(N10*0.99/Tick,0)*Tick</f>
        <v>10.05</v>
      </c>
      <c r="P10">
        <f t="shared" si="5"/>
        <v>10.22</v>
      </c>
      <c r="Q10">
        <f>MIN(COUNTIFS($A$2:$A$37,A10,M$2:M$37,TRUE),Limit)</f>
        <v>3</v>
      </c>
      <c r="R10">
        <v>1</v>
      </c>
      <c r="S10" s="22">
        <f>TradingCapital/Q10</f>
        <v>100000</v>
      </c>
      <c r="T10" s="22">
        <f t="shared" si="6"/>
        <v>9852</v>
      </c>
      <c r="U10">
        <f t="shared" si="7"/>
        <v>0</v>
      </c>
      <c r="V10" s="22">
        <f t="shared" si="8"/>
        <v>0</v>
      </c>
      <c r="W10" s="2" t="b">
        <f t="shared" si="9"/>
        <v>1</v>
      </c>
      <c r="X10" s="20">
        <f>ROUND(C10*0.999/Tick,0)*Tick</f>
        <v>10.1</v>
      </c>
      <c r="Y10" s="20">
        <f>ROUND(X10*1.03/Tick,0)*Tick</f>
        <v>10.4</v>
      </c>
      <c r="Z10">
        <f t="shared" si="10"/>
        <v>10.22</v>
      </c>
      <c r="AA10">
        <f t="shared" si="11"/>
        <v>10.22</v>
      </c>
      <c r="AB10">
        <f>MIN(COUNTIFS($W$2:$W$37,TRUE,$A$2:$A$37,A10),Limit)</f>
        <v>3</v>
      </c>
      <c r="AC10">
        <v>1</v>
      </c>
      <c r="AD10">
        <f>TradingCapital/AB10</f>
        <v>100000</v>
      </c>
      <c r="AE10">
        <f t="shared" si="12"/>
        <v>9901</v>
      </c>
      <c r="AF10">
        <f t="shared" si="13"/>
        <v>0</v>
      </c>
      <c r="AG10" s="22">
        <f t="shared" si="14"/>
        <v>202376.44</v>
      </c>
    </row>
    <row r="11" spans="1:33">
      <c r="A11" s="19">
        <v>43102</v>
      </c>
      <c r="B11" t="s">
        <v>35</v>
      </c>
      <c r="C11">
        <v>69</v>
      </c>
      <c r="D11">
        <v>69</v>
      </c>
      <c r="E11">
        <v>64</v>
      </c>
      <c r="F11">
        <v>66.5</v>
      </c>
      <c r="G11">
        <v>105778</v>
      </c>
      <c r="H11">
        <v>72.4</v>
      </c>
      <c r="I11" t="b">
        <f t="shared" si="0"/>
        <v>0</v>
      </c>
      <c r="J11" t="b">
        <f t="shared" si="1"/>
        <v>1</v>
      </c>
      <c r="K11" t="b">
        <f t="shared" si="2"/>
        <v>0</v>
      </c>
      <c r="L11">
        <f t="shared" si="15"/>
        <v>0.00988142292490135</v>
      </c>
      <c r="M11" s="2" t="b">
        <f t="shared" si="3"/>
        <v>0</v>
      </c>
      <c r="N11">
        <f t="shared" si="4"/>
        <v>69</v>
      </c>
      <c r="O11">
        <f>ROUND(N11*0.99/Tick,0)*Tick</f>
        <v>68.3</v>
      </c>
      <c r="P11">
        <f t="shared" si="5"/>
        <v>68.3</v>
      </c>
      <c r="Q11">
        <f>MIN(COUNTIFS($A$2:$A$37,A11,M$2:M$37,TRUE),Limit)</f>
        <v>3</v>
      </c>
      <c r="R11">
        <v>1</v>
      </c>
      <c r="S11" s="22">
        <f>TradingCapital/Q11</f>
        <v>100000</v>
      </c>
      <c r="T11" s="22">
        <f t="shared" si="6"/>
        <v>1449</v>
      </c>
      <c r="U11">
        <f t="shared" si="7"/>
        <v>0</v>
      </c>
      <c r="V11" s="22">
        <f t="shared" si="8"/>
        <v>0</v>
      </c>
      <c r="W11" s="2" t="b">
        <f t="shared" si="9"/>
        <v>1</v>
      </c>
      <c r="X11" s="20">
        <f>ROUND(C11*0.999/Tick,0)*Tick</f>
        <v>68.95</v>
      </c>
      <c r="Y11" s="20">
        <f>ROUND(X11*1.03/Tick,0)*Tick</f>
        <v>71</v>
      </c>
      <c r="Z11">
        <f t="shared" si="10"/>
        <v>66.5</v>
      </c>
      <c r="AA11">
        <f t="shared" si="11"/>
        <v>68.95</v>
      </c>
      <c r="AB11">
        <f>MIN(COUNTIFS($W$2:$W$37,TRUE,$A$2:$A$37,A11),Limit)</f>
        <v>3</v>
      </c>
      <c r="AC11">
        <v>1</v>
      </c>
      <c r="AD11">
        <f>TradingCapital/AB11</f>
        <v>100000</v>
      </c>
      <c r="AE11">
        <f t="shared" si="12"/>
        <v>1450</v>
      </c>
      <c r="AF11">
        <f t="shared" si="13"/>
        <v>3552.5</v>
      </c>
      <c r="AG11" s="22">
        <f t="shared" si="14"/>
        <v>196402.5</v>
      </c>
    </row>
    <row r="12" spans="1:33">
      <c r="A12" s="19">
        <v>43102</v>
      </c>
      <c r="B12" t="s">
        <v>36</v>
      </c>
      <c r="C12">
        <v>102</v>
      </c>
      <c r="D12">
        <v>102.5</v>
      </c>
      <c r="E12">
        <v>101.2</v>
      </c>
      <c r="F12">
        <v>102.2</v>
      </c>
      <c r="G12">
        <v>167084</v>
      </c>
      <c r="H12">
        <v>101.2</v>
      </c>
      <c r="I12" t="b">
        <f t="shared" si="0"/>
        <v>1</v>
      </c>
      <c r="J12" t="b">
        <f t="shared" si="1"/>
        <v>0</v>
      </c>
      <c r="K12" t="b">
        <f t="shared" si="2"/>
        <v>0</v>
      </c>
      <c r="L12">
        <f t="shared" si="15"/>
        <v>-0.0814917127071824</v>
      </c>
      <c r="M12" s="2" t="b">
        <f t="shared" si="3"/>
        <v>1</v>
      </c>
      <c r="N12">
        <f t="shared" si="4"/>
        <v>102</v>
      </c>
      <c r="O12">
        <f>ROUND(N12*0.99/Tick,0)*Tick</f>
        <v>101</v>
      </c>
      <c r="P12">
        <f t="shared" si="5"/>
        <v>102.2</v>
      </c>
      <c r="Q12">
        <f>MIN(COUNTIFS($A$2:$A$37,A12,M$2:M$37,TRUE),Limit)</f>
        <v>3</v>
      </c>
      <c r="R12">
        <v>1</v>
      </c>
      <c r="S12" s="22">
        <f>TradingCapital/Q12</f>
        <v>100000</v>
      </c>
      <c r="T12" s="22">
        <f t="shared" si="6"/>
        <v>980</v>
      </c>
      <c r="U12">
        <f t="shared" si="7"/>
        <v>196.000000000003</v>
      </c>
      <c r="V12" s="22">
        <f t="shared" si="8"/>
        <v>200116</v>
      </c>
      <c r="W12" s="2" t="b">
        <f t="shared" si="9"/>
        <v>0</v>
      </c>
      <c r="X12" s="20">
        <f>ROUND(C12*0.999/Tick,0)*Tick</f>
        <v>101.9</v>
      </c>
      <c r="Y12" s="20">
        <f>ROUND(X12*1.03/Tick,0)*Tick</f>
        <v>104.95</v>
      </c>
      <c r="Z12">
        <f t="shared" si="10"/>
        <v>102.2</v>
      </c>
      <c r="AA12">
        <f t="shared" si="11"/>
        <v>101.9</v>
      </c>
      <c r="AB12">
        <f>MIN(COUNTIFS($W$2:$W$37,TRUE,$A$2:$A$37,A12),Limit)</f>
        <v>3</v>
      </c>
      <c r="AC12">
        <v>1</v>
      </c>
      <c r="AD12">
        <f>TradingCapital/AB12</f>
        <v>100000</v>
      </c>
      <c r="AE12">
        <f t="shared" si="12"/>
        <v>981</v>
      </c>
      <c r="AF12">
        <f t="shared" si="13"/>
        <v>-294.299999999997</v>
      </c>
      <c r="AG12" s="22">
        <f t="shared" si="14"/>
        <v>0</v>
      </c>
    </row>
    <row r="13" spans="1:33">
      <c r="A13" s="19">
        <v>43102</v>
      </c>
      <c r="B13" t="s">
        <v>37</v>
      </c>
      <c r="C13">
        <v>1000</v>
      </c>
      <c r="D13">
        <v>1000.5</v>
      </c>
      <c r="E13">
        <v>999.5</v>
      </c>
      <c r="F13">
        <v>1000</v>
      </c>
      <c r="G13">
        <v>600935</v>
      </c>
      <c r="H13">
        <v>1000</v>
      </c>
      <c r="I13" t="b">
        <f t="shared" si="0"/>
        <v>0</v>
      </c>
      <c r="J13" t="b">
        <f t="shared" si="1"/>
        <v>0</v>
      </c>
      <c r="K13" t="b">
        <f t="shared" si="2"/>
        <v>0</v>
      </c>
      <c r="L13">
        <f t="shared" si="15"/>
        <v>0.00988142292490113</v>
      </c>
      <c r="M13" s="2" t="b">
        <f t="shared" si="3"/>
        <v>0</v>
      </c>
      <c r="N13">
        <f t="shared" si="4"/>
        <v>1000</v>
      </c>
      <c r="O13">
        <f>ROUND(N13*0.99/Tick,0)*Tick</f>
        <v>990</v>
      </c>
      <c r="P13">
        <f t="shared" si="5"/>
        <v>1000</v>
      </c>
      <c r="Q13">
        <f>MIN(COUNTIFS($A$2:$A$37,A13,M$2:M$37,TRUE),Limit)</f>
        <v>3</v>
      </c>
      <c r="R13">
        <v>1</v>
      </c>
      <c r="S13" s="22">
        <f>TradingCapital/Q13</f>
        <v>100000</v>
      </c>
      <c r="T13" s="22">
        <f t="shared" si="6"/>
        <v>100</v>
      </c>
      <c r="U13">
        <f t="shared" si="7"/>
        <v>0</v>
      </c>
      <c r="V13" s="22">
        <f t="shared" si="8"/>
        <v>0</v>
      </c>
      <c r="W13" s="2" t="b">
        <f t="shared" si="9"/>
        <v>0</v>
      </c>
      <c r="X13" s="20">
        <f>ROUND(C13*0.999/Tick,0)*Tick</f>
        <v>999</v>
      </c>
      <c r="Y13" s="20">
        <f>ROUND(X13*1.03/Tick,0)*Tick</f>
        <v>1028.95</v>
      </c>
      <c r="Z13">
        <f t="shared" si="10"/>
        <v>1000</v>
      </c>
      <c r="AA13">
        <f t="shared" si="11"/>
        <v>1000</v>
      </c>
      <c r="AB13">
        <f>MIN(COUNTIFS($W$2:$W$37,TRUE,$A$2:$A$37,A13),Limit)</f>
        <v>3</v>
      </c>
      <c r="AC13">
        <v>1</v>
      </c>
      <c r="AD13">
        <f>TradingCapital/AB13</f>
        <v>100000</v>
      </c>
      <c r="AE13">
        <f t="shared" si="12"/>
        <v>100</v>
      </c>
      <c r="AF13">
        <f t="shared" si="13"/>
        <v>0</v>
      </c>
      <c r="AG13" s="22">
        <f t="shared" si="14"/>
        <v>0</v>
      </c>
    </row>
    <row r="14" spans="1:33">
      <c r="A14" s="19">
        <v>43103</v>
      </c>
      <c r="B14" t="s">
        <v>32</v>
      </c>
      <c r="C14">
        <v>25.65</v>
      </c>
      <c r="D14">
        <v>27</v>
      </c>
      <c r="E14">
        <v>25.65</v>
      </c>
      <c r="F14">
        <v>26.5</v>
      </c>
      <c r="G14">
        <v>971704</v>
      </c>
      <c r="H14">
        <v>25.55</v>
      </c>
      <c r="I14" t="b">
        <f t="shared" si="0"/>
        <v>1</v>
      </c>
      <c r="J14" t="b">
        <f t="shared" si="1"/>
        <v>0</v>
      </c>
      <c r="K14" t="b">
        <f t="shared" si="2"/>
        <v>1</v>
      </c>
      <c r="L14">
        <f t="shared" si="15"/>
        <v>0</v>
      </c>
      <c r="M14" s="2" t="b">
        <f t="shared" si="3"/>
        <v>1</v>
      </c>
      <c r="N14">
        <f t="shared" si="4"/>
        <v>25.65</v>
      </c>
      <c r="O14">
        <f>ROUND(N14*0.99/Tick,0)*Tick</f>
        <v>25.4</v>
      </c>
      <c r="P14">
        <f t="shared" si="5"/>
        <v>26.5</v>
      </c>
      <c r="Q14">
        <f>MIN(COUNTIFS($A$2:$A$37,A14,M$2:M$37,TRUE),Limit)</f>
        <v>5</v>
      </c>
      <c r="R14">
        <v>1</v>
      </c>
      <c r="S14" s="22">
        <f>TradingCapital/Q14</f>
        <v>60000</v>
      </c>
      <c r="T14" s="22">
        <f t="shared" si="6"/>
        <v>2339</v>
      </c>
      <c r="U14">
        <f t="shared" si="7"/>
        <v>1988.15</v>
      </c>
      <c r="V14" s="22">
        <f t="shared" si="8"/>
        <v>121978.85</v>
      </c>
      <c r="W14" s="2" t="b">
        <f t="shared" si="9"/>
        <v>1</v>
      </c>
      <c r="X14" s="20">
        <f>ROUND(C14*0.999/Tick,0)*Tick</f>
        <v>25.6</v>
      </c>
      <c r="Y14" s="20">
        <f>ROUND(X14*1.03/Tick,0)*Tick</f>
        <v>26.35</v>
      </c>
      <c r="Z14">
        <f t="shared" si="10"/>
        <v>26.35</v>
      </c>
      <c r="AA14">
        <f t="shared" si="11"/>
        <v>26.5</v>
      </c>
      <c r="AB14">
        <f>MIN(COUNTIFS($W$2:$W$37,TRUE,$A$2:$A$37,A14),Limit)</f>
        <v>3</v>
      </c>
      <c r="AC14">
        <v>1</v>
      </c>
      <c r="AD14">
        <f>TradingCapital/AB14</f>
        <v>100000</v>
      </c>
      <c r="AE14">
        <f t="shared" si="12"/>
        <v>3906</v>
      </c>
      <c r="AF14">
        <f t="shared" si="13"/>
        <v>585.899999999994</v>
      </c>
      <c r="AG14" s="22">
        <f t="shared" si="14"/>
        <v>206432.1</v>
      </c>
    </row>
    <row r="15" spans="1:33">
      <c r="A15" s="19">
        <v>43103</v>
      </c>
      <c r="B15" t="s">
        <v>33</v>
      </c>
      <c r="C15">
        <v>168</v>
      </c>
      <c r="D15">
        <v>174</v>
      </c>
      <c r="E15">
        <v>163.5</v>
      </c>
      <c r="F15">
        <v>165</v>
      </c>
      <c r="G15">
        <v>393708</v>
      </c>
      <c r="H15">
        <v>153.3</v>
      </c>
      <c r="I15" t="b">
        <f t="shared" si="0"/>
        <v>1</v>
      </c>
      <c r="J15" t="b">
        <f t="shared" si="1"/>
        <v>0</v>
      </c>
      <c r="K15" t="b">
        <f t="shared" si="2"/>
        <v>0</v>
      </c>
      <c r="L15">
        <f t="shared" si="15"/>
        <v>0.0371819960861057</v>
      </c>
      <c r="M15" s="2" t="b">
        <f t="shared" si="3"/>
        <v>1</v>
      </c>
      <c r="N15">
        <f t="shared" si="4"/>
        <v>168</v>
      </c>
      <c r="O15">
        <f>ROUND(N15*0.99/Tick,0)*Tick</f>
        <v>166.3</v>
      </c>
      <c r="P15">
        <f t="shared" si="5"/>
        <v>166.3</v>
      </c>
      <c r="Q15">
        <f>MIN(COUNTIFS($A$2:$A$37,A15,M$2:M$37,TRUE),Limit)</f>
        <v>5</v>
      </c>
      <c r="R15">
        <v>1</v>
      </c>
      <c r="S15" s="22">
        <f>TradingCapital/Q15</f>
        <v>60000</v>
      </c>
      <c r="T15" s="22">
        <f t="shared" si="6"/>
        <v>357</v>
      </c>
      <c r="U15">
        <f t="shared" si="7"/>
        <v>-606.899999999996</v>
      </c>
      <c r="V15" s="22">
        <f t="shared" si="8"/>
        <v>119345.1</v>
      </c>
      <c r="W15" s="2" t="b">
        <f t="shared" si="9"/>
        <v>0</v>
      </c>
      <c r="X15" s="20">
        <f>ROUND(C15*0.999/Tick,0)*Tick</f>
        <v>167.85</v>
      </c>
      <c r="Y15" s="20">
        <f>ROUND(X15*1.03/Tick,0)*Tick</f>
        <v>172.9</v>
      </c>
      <c r="Z15">
        <f t="shared" si="10"/>
        <v>172.9</v>
      </c>
      <c r="AA15">
        <f t="shared" si="11"/>
        <v>167.85</v>
      </c>
      <c r="AB15">
        <f>MIN(COUNTIFS($W$2:$W$37,TRUE,$A$2:$A$37,A15),Limit)</f>
        <v>3</v>
      </c>
      <c r="AC15">
        <v>1</v>
      </c>
      <c r="AD15">
        <f>TradingCapital/AB15</f>
        <v>100000</v>
      </c>
      <c r="AE15">
        <f t="shared" si="12"/>
        <v>596</v>
      </c>
      <c r="AF15">
        <f t="shared" si="13"/>
        <v>-3009.79999999999</v>
      </c>
      <c r="AG15" s="22">
        <f t="shared" si="14"/>
        <v>0</v>
      </c>
    </row>
    <row r="16" spans="1:33">
      <c r="A16" s="19">
        <v>43103</v>
      </c>
      <c r="B16" t="s">
        <v>34</v>
      </c>
      <c r="C16">
        <v>10.25</v>
      </c>
      <c r="D16">
        <v>11.2</v>
      </c>
      <c r="E16">
        <v>10.25</v>
      </c>
      <c r="F16">
        <v>11</v>
      </c>
      <c r="G16">
        <v>163698</v>
      </c>
      <c r="H16">
        <v>10.22</v>
      </c>
      <c r="I16" t="b">
        <f t="shared" si="0"/>
        <v>1</v>
      </c>
      <c r="J16" t="b">
        <f t="shared" si="1"/>
        <v>0</v>
      </c>
      <c r="K16" t="b">
        <f t="shared" si="2"/>
        <v>1</v>
      </c>
      <c r="L16">
        <f t="shared" si="15"/>
        <v>0.0763209393346378</v>
      </c>
      <c r="M16" s="2" t="b">
        <f t="shared" si="3"/>
        <v>1</v>
      </c>
      <c r="N16">
        <f t="shared" si="4"/>
        <v>10.25</v>
      </c>
      <c r="O16">
        <f>ROUND(N16*0.99/Tick,0)*Tick</f>
        <v>10.15</v>
      </c>
      <c r="P16">
        <f t="shared" si="5"/>
        <v>11</v>
      </c>
      <c r="Q16">
        <f>MIN(COUNTIFS($A$2:$A$37,A16,M$2:M$37,TRUE),Limit)</f>
        <v>5</v>
      </c>
      <c r="R16">
        <v>1</v>
      </c>
      <c r="S16" s="22">
        <f>TradingCapital/Q16</f>
        <v>60000</v>
      </c>
      <c r="T16" s="22">
        <f t="shared" si="6"/>
        <v>5854</v>
      </c>
      <c r="U16">
        <f t="shared" si="7"/>
        <v>4390.5</v>
      </c>
      <c r="V16" s="22">
        <f t="shared" si="8"/>
        <v>124397.5</v>
      </c>
      <c r="W16" s="2" t="b">
        <f t="shared" si="9"/>
        <v>1</v>
      </c>
      <c r="X16" s="20">
        <f>ROUND(C16*0.999/Tick,0)*Tick</f>
        <v>10.25</v>
      </c>
      <c r="Y16" s="20">
        <f>ROUND(X16*1.03/Tick,0)*Tick</f>
        <v>10.55</v>
      </c>
      <c r="Z16">
        <f t="shared" si="10"/>
        <v>10.55</v>
      </c>
      <c r="AA16">
        <f t="shared" si="11"/>
        <v>10.25</v>
      </c>
      <c r="AB16">
        <f>MIN(COUNTIFS($W$2:$W$37,TRUE,$A$2:$A$37,A16),Limit)</f>
        <v>3</v>
      </c>
      <c r="AC16">
        <v>1</v>
      </c>
      <c r="AD16">
        <f>TradingCapital/AB16</f>
        <v>100000</v>
      </c>
      <c r="AE16">
        <f t="shared" si="12"/>
        <v>9756</v>
      </c>
      <c r="AF16">
        <f t="shared" si="13"/>
        <v>-2926.80000000001</v>
      </c>
      <c r="AG16" s="22">
        <f t="shared" si="14"/>
        <v>202924.8</v>
      </c>
    </row>
    <row r="17" spans="1:33">
      <c r="A17" s="19">
        <v>43103</v>
      </c>
      <c r="B17" t="s">
        <v>35</v>
      </c>
      <c r="C17">
        <v>66.5</v>
      </c>
      <c r="D17">
        <v>67.2</v>
      </c>
      <c r="E17">
        <v>65</v>
      </c>
      <c r="F17">
        <v>65.4</v>
      </c>
      <c r="G17">
        <v>145497</v>
      </c>
      <c r="H17">
        <v>66.5</v>
      </c>
      <c r="I17" t="b">
        <f t="shared" si="0"/>
        <v>0</v>
      </c>
      <c r="J17" t="b">
        <f t="shared" si="1"/>
        <v>0</v>
      </c>
      <c r="K17" t="b">
        <f t="shared" si="2"/>
        <v>0</v>
      </c>
      <c r="L17">
        <f t="shared" si="15"/>
        <v>0.0763209393346378</v>
      </c>
      <c r="M17" s="2" t="b">
        <f t="shared" si="3"/>
        <v>0</v>
      </c>
      <c r="N17">
        <f t="shared" si="4"/>
        <v>66.5</v>
      </c>
      <c r="O17">
        <f>ROUND(N17*0.99/Tick,0)*Tick</f>
        <v>65.85</v>
      </c>
      <c r="P17">
        <f t="shared" si="5"/>
        <v>65.85</v>
      </c>
      <c r="Q17">
        <f>MIN(COUNTIFS($A$2:$A$37,A17,M$2:M$37,TRUE),Limit)</f>
        <v>5</v>
      </c>
      <c r="R17">
        <v>1</v>
      </c>
      <c r="S17" s="22">
        <f>TradingCapital/Q17</f>
        <v>60000</v>
      </c>
      <c r="T17" s="22">
        <f t="shared" si="6"/>
        <v>902</v>
      </c>
      <c r="U17">
        <f t="shared" si="7"/>
        <v>0</v>
      </c>
      <c r="V17" s="22">
        <f t="shared" si="8"/>
        <v>0</v>
      </c>
      <c r="W17" s="2" t="b">
        <f t="shared" si="9"/>
        <v>1</v>
      </c>
      <c r="X17" s="20">
        <f>ROUND(C17*0.999/Tick,0)*Tick</f>
        <v>66.45</v>
      </c>
      <c r="Y17" s="20">
        <f>ROUND(X17*1.03/Tick,0)*Tick</f>
        <v>68.45</v>
      </c>
      <c r="Z17">
        <f t="shared" si="10"/>
        <v>65.4</v>
      </c>
      <c r="AA17">
        <f t="shared" si="11"/>
        <v>66.45</v>
      </c>
      <c r="AB17">
        <f>MIN(COUNTIFS($W$2:$W$37,TRUE,$A$2:$A$37,A17),Limit)</f>
        <v>3</v>
      </c>
      <c r="AC17">
        <v>1</v>
      </c>
      <c r="AD17">
        <f>TradingCapital/AB17</f>
        <v>100000</v>
      </c>
      <c r="AE17">
        <f t="shared" si="12"/>
        <v>1505</v>
      </c>
      <c r="AF17">
        <f t="shared" si="13"/>
        <v>1580.25</v>
      </c>
      <c r="AG17" s="22">
        <f t="shared" si="14"/>
        <v>198434.25</v>
      </c>
    </row>
    <row r="18" spans="1:33">
      <c r="A18" s="19">
        <v>43103</v>
      </c>
      <c r="B18" t="s">
        <v>36</v>
      </c>
      <c r="C18">
        <v>112</v>
      </c>
      <c r="D18">
        <v>112</v>
      </c>
      <c r="E18">
        <v>109</v>
      </c>
      <c r="F18">
        <v>110</v>
      </c>
      <c r="G18">
        <v>433733</v>
      </c>
      <c r="H18">
        <v>102.2</v>
      </c>
      <c r="I18" t="b">
        <f t="shared" si="0"/>
        <v>1</v>
      </c>
      <c r="J18" t="b">
        <f t="shared" si="1"/>
        <v>1</v>
      </c>
      <c r="K18" t="b">
        <f t="shared" si="2"/>
        <v>0</v>
      </c>
      <c r="L18">
        <f t="shared" si="15"/>
        <v>-0.0165413533834585</v>
      </c>
      <c r="M18" s="2" t="b">
        <f t="shared" si="3"/>
        <v>1</v>
      </c>
      <c r="N18">
        <f t="shared" si="4"/>
        <v>112</v>
      </c>
      <c r="O18">
        <f>ROUND(N18*0.99/Tick,0)*Tick</f>
        <v>110.9</v>
      </c>
      <c r="P18">
        <f t="shared" si="5"/>
        <v>110.9</v>
      </c>
      <c r="Q18">
        <f>MIN(COUNTIFS($A$2:$A$37,A18,M$2:M$37,TRUE),Limit)</f>
        <v>5</v>
      </c>
      <c r="R18">
        <v>1</v>
      </c>
      <c r="S18" s="22">
        <f>TradingCapital/Q18</f>
        <v>60000</v>
      </c>
      <c r="T18" s="22">
        <f t="shared" si="6"/>
        <v>536</v>
      </c>
      <c r="U18">
        <f t="shared" si="7"/>
        <v>-589.599999999997</v>
      </c>
      <c r="V18" s="22">
        <f t="shared" si="8"/>
        <v>119474.4</v>
      </c>
      <c r="W18" s="2" t="b">
        <f t="shared" si="9"/>
        <v>0</v>
      </c>
      <c r="X18" s="20">
        <f>ROUND(C18*0.999/Tick,0)*Tick</f>
        <v>111.9</v>
      </c>
      <c r="Y18" s="20">
        <f>ROUND(X18*1.03/Tick,0)*Tick</f>
        <v>115.25</v>
      </c>
      <c r="Z18">
        <f t="shared" si="10"/>
        <v>110</v>
      </c>
      <c r="AA18">
        <f t="shared" si="11"/>
        <v>111.9</v>
      </c>
      <c r="AB18">
        <f>MIN(COUNTIFS($W$2:$W$37,TRUE,$A$2:$A$37,A18),Limit)</f>
        <v>3</v>
      </c>
      <c r="AC18">
        <v>1</v>
      </c>
      <c r="AD18">
        <f>TradingCapital/AB18</f>
        <v>100000</v>
      </c>
      <c r="AE18">
        <f t="shared" si="12"/>
        <v>894</v>
      </c>
      <c r="AF18">
        <f t="shared" si="13"/>
        <v>1698.60000000001</v>
      </c>
      <c r="AG18" s="22">
        <f t="shared" si="14"/>
        <v>0</v>
      </c>
    </row>
    <row r="19" spans="1:33">
      <c r="A19" s="19">
        <v>43103</v>
      </c>
      <c r="B19" t="s">
        <v>37</v>
      </c>
      <c r="C19">
        <v>1001</v>
      </c>
      <c r="D19">
        <v>1001</v>
      </c>
      <c r="E19">
        <v>1000</v>
      </c>
      <c r="F19">
        <v>1000</v>
      </c>
      <c r="G19">
        <v>426030</v>
      </c>
      <c r="H19">
        <v>1000</v>
      </c>
      <c r="I19" t="b">
        <f t="shared" si="0"/>
        <v>1</v>
      </c>
      <c r="J19" t="b">
        <f t="shared" si="1"/>
        <v>1</v>
      </c>
      <c r="K19" t="b">
        <f t="shared" si="2"/>
        <v>0</v>
      </c>
      <c r="L19">
        <f t="shared" si="15"/>
        <v>0.076320939334638</v>
      </c>
      <c r="M19" s="2" t="b">
        <f t="shared" si="3"/>
        <v>1</v>
      </c>
      <c r="N19">
        <f t="shared" si="4"/>
        <v>1001</v>
      </c>
      <c r="O19">
        <f>ROUND(N19*0.99/Tick,0)*Tick</f>
        <v>991</v>
      </c>
      <c r="P19">
        <f t="shared" si="5"/>
        <v>1000</v>
      </c>
      <c r="Q19">
        <f>MIN(COUNTIFS($A$2:$A$37,A19,M$2:M$37,TRUE),Limit)</f>
        <v>5</v>
      </c>
      <c r="R19">
        <v>1</v>
      </c>
      <c r="S19" s="22">
        <f>TradingCapital/Q19</f>
        <v>60000</v>
      </c>
      <c r="T19" s="22">
        <f t="shared" si="6"/>
        <v>60</v>
      </c>
      <c r="U19">
        <f t="shared" si="7"/>
        <v>-60</v>
      </c>
      <c r="V19" s="22">
        <f t="shared" si="8"/>
        <v>120060</v>
      </c>
      <c r="W19" s="2" t="b">
        <f t="shared" si="9"/>
        <v>0</v>
      </c>
      <c r="X19" s="20">
        <f>ROUND(C19*0.999/Tick,0)*Tick</f>
        <v>1000</v>
      </c>
      <c r="Y19" s="20">
        <f>ROUND(X19*1.03/Tick,0)*Tick</f>
        <v>1030</v>
      </c>
      <c r="Z19">
        <f t="shared" si="10"/>
        <v>1000</v>
      </c>
      <c r="AA19">
        <f t="shared" si="11"/>
        <v>1000</v>
      </c>
      <c r="AB19">
        <f>MIN(COUNTIFS($W$2:$W$37,TRUE,$A$2:$A$37,A19),Limit)</f>
        <v>3</v>
      </c>
      <c r="AC19">
        <v>1</v>
      </c>
      <c r="AD19">
        <f>TradingCapital/AB19</f>
        <v>100000</v>
      </c>
      <c r="AE19">
        <f t="shared" si="12"/>
        <v>100</v>
      </c>
      <c r="AF19">
        <f t="shared" si="13"/>
        <v>0</v>
      </c>
      <c r="AG19" s="22">
        <f t="shared" si="14"/>
        <v>0</v>
      </c>
    </row>
    <row r="20" spans="1:33">
      <c r="A20" s="19">
        <v>43104</v>
      </c>
      <c r="B20" t="s">
        <v>32</v>
      </c>
      <c r="C20">
        <v>26.3</v>
      </c>
      <c r="D20">
        <v>26.8</v>
      </c>
      <c r="E20">
        <v>26</v>
      </c>
      <c r="F20">
        <v>26.45</v>
      </c>
      <c r="G20">
        <v>449791</v>
      </c>
      <c r="H20">
        <v>26.5</v>
      </c>
      <c r="I20" t="b">
        <f t="shared" si="0"/>
        <v>0</v>
      </c>
      <c r="J20" t="b">
        <f t="shared" si="1"/>
        <v>0</v>
      </c>
      <c r="K20" t="b">
        <f t="shared" si="2"/>
        <v>0</v>
      </c>
      <c r="L20">
        <f t="shared" si="15"/>
        <v>0</v>
      </c>
      <c r="M20" s="2" t="b">
        <f t="shared" si="3"/>
        <v>0</v>
      </c>
      <c r="N20">
        <f t="shared" si="4"/>
        <v>26.3</v>
      </c>
      <c r="O20">
        <f>ROUND(N20*0.99/Tick,0)*Tick</f>
        <v>26.05</v>
      </c>
      <c r="P20">
        <f t="shared" si="5"/>
        <v>26.05</v>
      </c>
      <c r="Q20">
        <f>MIN(COUNTIFS($A$2:$A$37,A20,M$2:M$37,TRUE),Limit)</f>
        <v>1</v>
      </c>
      <c r="R20">
        <v>1</v>
      </c>
      <c r="S20" s="22">
        <f>TradingCapital/Q20</f>
        <v>300000</v>
      </c>
      <c r="T20" s="22">
        <f t="shared" si="6"/>
        <v>11407</v>
      </c>
      <c r="U20">
        <f t="shared" si="7"/>
        <v>0</v>
      </c>
      <c r="V20" s="22">
        <f t="shared" si="8"/>
        <v>0</v>
      </c>
      <c r="W20" s="2" t="b">
        <f t="shared" si="9"/>
        <v>1</v>
      </c>
      <c r="X20" s="20">
        <f>ROUND(C20*0.999/Tick,0)*Tick</f>
        <v>26.25</v>
      </c>
      <c r="Y20" s="20">
        <f>ROUND(X20*1.03/Tick,0)*Tick</f>
        <v>27.05</v>
      </c>
      <c r="Z20">
        <f t="shared" si="10"/>
        <v>26.45</v>
      </c>
      <c r="AA20">
        <f t="shared" si="11"/>
        <v>26.25</v>
      </c>
      <c r="AB20">
        <f>MIN(COUNTIFS($W$2:$W$37,TRUE,$A$2:$A$37,A20),Limit)</f>
        <v>3</v>
      </c>
      <c r="AC20">
        <v>1</v>
      </c>
      <c r="AD20">
        <f>TradingCapital/AB20</f>
        <v>100000</v>
      </c>
      <c r="AE20">
        <f t="shared" si="12"/>
        <v>3810</v>
      </c>
      <c r="AF20">
        <f t="shared" si="13"/>
        <v>-761.999999999997</v>
      </c>
      <c r="AG20" s="22">
        <f t="shared" si="14"/>
        <v>200787</v>
      </c>
    </row>
    <row r="21" spans="1:33">
      <c r="A21" s="19">
        <v>43104</v>
      </c>
      <c r="B21" t="s">
        <v>33</v>
      </c>
      <c r="C21">
        <v>162</v>
      </c>
      <c r="D21">
        <v>181</v>
      </c>
      <c r="E21">
        <v>159</v>
      </c>
      <c r="F21">
        <v>174</v>
      </c>
      <c r="G21">
        <v>767938</v>
      </c>
      <c r="H21">
        <v>165</v>
      </c>
      <c r="I21" t="b">
        <f t="shared" si="0"/>
        <v>0</v>
      </c>
      <c r="J21" t="b">
        <f t="shared" si="1"/>
        <v>0</v>
      </c>
      <c r="K21" t="b">
        <f t="shared" si="2"/>
        <v>0</v>
      </c>
      <c r="L21">
        <f t="shared" si="15"/>
        <v>-0.00188679245283019</v>
      </c>
      <c r="M21" s="2" t="b">
        <f t="shared" si="3"/>
        <v>0</v>
      </c>
      <c r="N21">
        <f t="shared" si="4"/>
        <v>162</v>
      </c>
      <c r="O21">
        <f>ROUND(N21*0.99/Tick,0)*Tick</f>
        <v>160.4</v>
      </c>
      <c r="P21">
        <f t="shared" si="5"/>
        <v>160.4</v>
      </c>
      <c r="Q21">
        <f>MIN(COUNTIFS($A$2:$A$37,A21,M$2:M$37,TRUE),Limit)</f>
        <v>1</v>
      </c>
      <c r="R21">
        <v>1</v>
      </c>
      <c r="S21" s="22">
        <f>TradingCapital/Q21</f>
        <v>300000</v>
      </c>
      <c r="T21" s="22">
        <f t="shared" si="6"/>
        <v>1852</v>
      </c>
      <c r="U21">
        <f t="shared" si="7"/>
        <v>0</v>
      </c>
      <c r="V21" s="22">
        <f t="shared" si="8"/>
        <v>0</v>
      </c>
      <c r="W21" s="2" t="b">
        <f t="shared" si="9"/>
        <v>0</v>
      </c>
      <c r="X21" s="20">
        <f>ROUND(C21*0.999/Tick,0)*Tick</f>
        <v>161.85</v>
      </c>
      <c r="Y21" s="20">
        <f>ROUND(X21*1.03/Tick,0)*Tick</f>
        <v>166.7</v>
      </c>
      <c r="Z21">
        <f t="shared" si="10"/>
        <v>166.7</v>
      </c>
      <c r="AA21">
        <f t="shared" si="11"/>
        <v>161.85</v>
      </c>
      <c r="AB21">
        <f>MIN(COUNTIFS($W$2:$W$37,TRUE,$A$2:$A$37,A21),Limit)</f>
        <v>3</v>
      </c>
      <c r="AC21">
        <v>1</v>
      </c>
      <c r="AD21">
        <f>TradingCapital/AB21</f>
        <v>100000</v>
      </c>
      <c r="AE21">
        <f t="shared" si="12"/>
        <v>618</v>
      </c>
      <c r="AF21">
        <f t="shared" si="13"/>
        <v>-2997.3</v>
      </c>
      <c r="AG21" s="22">
        <f t="shared" si="14"/>
        <v>0</v>
      </c>
    </row>
    <row r="22" spans="1:33">
      <c r="A22" s="19">
        <v>43104</v>
      </c>
      <c r="B22" t="s">
        <v>34</v>
      </c>
      <c r="C22">
        <v>11.1</v>
      </c>
      <c r="D22">
        <v>11.15</v>
      </c>
      <c r="E22">
        <v>10.45</v>
      </c>
      <c r="F22">
        <v>10.54</v>
      </c>
      <c r="G22">
        <v>495028</v>
      </c>
      <c r="H22">
        <v>11</v>
      </c>
      <c r="I22" t="b">
        <f t="shared" si="0"/>
        <v>1</v>
      </c>
      <c r="J22" t="b">
        <f t="shared" si="1"/>
        <v>0</v>
      </c>
      <c r="K22" t="b">
        <f t="shared" si="2"/>
        <v>0</v>
      </c>
      <c r="L22">
        <f t="shared" si="15"/>
        <v>0.0545454545454545</v>
      </c>
      <c r="M22" s="2" t="b">
        <f t="shared" si="3"/>
        <v>1</v>
      </c>
      <c r="N22">
        <f t="shared" si="4"/>
        <v>11.1</v>
      </c>
      <c r="O22">
        <f>ROUND(N22*0.99/Tick,0)*Tick</f>
        <v>11</v>
      </c>
      <c r="P22">
        <f t="shared" si="5"/>
        <v>11</v>
      </c>
      <c r="Q22">
        <f>MIN(COUNTIFS($A$2:$A$37,A22,M$2:M$37,TRUE),Limit)</f>
        <v>1</v>
      </c>
      <c r="R22">
        <v>1</v>
      </c>
      <c r="S22" s="22">
        <f>TradingCapital/Q22</f>
        <v>300000</v>
      </c>
      <c r="T22" s="22">
        <f t="shared" si="6"/>
        <v>27027</v>
      </c>
      <c r="U22">
        <f t="shared" si="7"/>
        <v>-2702.69999999999</v>
      </c>
      <c r="V22" s="22">
        <f t="shared" si="8"/>
        <v>597296.7</v>
      </c>
      <c r="W22" s="2" t="b">
        <f t="shared" si="9"/>
        <v>1</v>
      </c>
      <c r="X22" s="20">
        <f>ROUND(C22*0.999/Tick,0)*Tick</f>
        <v>11.1</v>
      </c>
      <c r="Y22" s="20">
        <f>ROUND(X22*1.03/Tick,0)*Tick</f>
        <v>11.45</v>
      </c>
      <c r="Z22">
        <f t="shared" si="10"/>
        <v>10.54</v>
      </c>
      <c r="AA22">
        <f t="shared" si="11"/>
        <v>11.1</v>
      </c>
      <c r="AB22">
        <f>MIN(COUNTIFS($W$2:$W$37,TRUE,$A$2:$A$37,A22),Limit)</f>
        <v>3</v>
      </c>
      <c r="AC22">
        <v>1</v>
      </c>
      <c r="AD22">
        <f>TradingCapital/AB22</f>
        <v>100000</v>
      </c>
      <c r="AE22">
        <f t="shared" si="12"/>
        <v>9009</v>
      </c>
      <c r="AF22">
        <f t="shared" si="13"/>
        <v>5045.04000000002</v>
      </c>
      <c r="AG22" s="22">
        <f t="shared" si="14"/>
        <v>194954.76</v>
      </c>
    </row>
    <row r="23" spans="1:33">
      <c r="A23" s="19">
        <v>43104</v>
      </c>
      <c r="B23" t="s">
        <v>35</v>
      </c>
      <c r="C23">
        <v>65</v>
      </c>
      <c r="D23">
        <v>66.2</v>
      </c>
      <c r="E23">
        <v>64.5</v>
      </c>
      <c r="F23">
        <v>65</v>
      </c>
      <c r="G23">
        <v>86014</v>
      </c>
      <c r="H23">
        <v>65.4</v>
      </c>
      <c r="I23" t="b">
        <f t="shared" si="0"/>
        <v>0</v>
      </c>
      <c r="J23" t="b">
        <f t="shared" si="1"/>
        <v>0</v>
      </c>
      <c r="K23" t="b">
        <f t="shared" si="2"/>
        <v>0</v>
      </c>
      <c r="L23">
        <f t="shared" si="15"/>
        <v>-0.0418181818181819</v>
      </c>
      <c r="M23" s="2" t="b">
        <f t="shared" si="3"/>
        <v>0</v>
      </c>
      <c r="N23">
        <f t="shared" si="4"/>
        <v>65</v>
      </c>
      <c r="O23">
        <f>ROUND(N23*0.99/Tick,0)*Tick</f>
        <v>64.35</v>
      </c>
      <c r="P23">
        <f t="shared" si="5"/>
        <v>65</v>
      </c>
      <c r="Q23">
        <f>MIN(COUNTIFS($A$2:$A$37,A23,M$2:M$37,TRUE),Limit)</f>
        <v>1</v>
      </c>
      <c r="R23">
        <v>1</v>
      </c>
      <c r="S23" s="22">
        <f>TradingCapital/Q23</f>
        <v>300000</v>
      </c>
      <c r="T23" s="22">
        <f t="shared" si="6"/>
        <v>4615</v>
      </c>
      <c r="U23">
        <f t="shared" si="7"/>
        <v>0</v>
      </c>
      <c r="V23" s="22">
        <f t="shared" si="8"/>
        <v>0</v>
      </c>
      <c r="W23" s="2" t="b">
        <f t="shared" si="9"/>
        <v>1</v>
      </c>
      <c r="X23" s="20">
        <f>ROUND(C23*0.999/Tick,0)*Tick</f>
        <v>64.95</v>
      </c>
      <c r="Y23" s="20">
        <f>ROUND(X23*1.03/Tick,0)*Tick</f>
        <v>66.9</v>
      </c>
      <c r="Z23">
        <f t="shared" si="10"/>
        <v>65</v>
      </c>
      <c r="AA23">
        <f t="shared" si="11"/>
        <v>64.95</v>
      </c>
      <c r="AB23">
        <f>MIN(COUNTIFS($W$2:$W$37,TRUE,$A$2:$A$37,A23),Limit)</f>
        <v>3</v>
      </c>
      <c r="AC23">
        <v>1</v>
      </c>
      <c r="AD23">
        <f>TradingCapital/AB23</f>
        <v>100000</v>
      </c>
      <c r="AE23">
        <f t="shared" si="12"/>
        <v>1540</v>
      </c>
      <c r="AF23">
        <f t="shared" si="13"/>
        <v>-76.9999999999956</v>
      </c>
      <c r="AG23" s="22">
        <f t="shared" si="14"/>
        <v>200123</v>
      </c>
    </row>
    <row r="24" spans="1:33">
      <c r="A24" s="19">
        <v>43104</v>
      </c>
      <c r="B24" t="s">
        <v>36</v>
      </c>
      <c r="C24">
        <v>108</v>
      </c>
      <c r="D24">
        <v>112.4</v>
      </c>
      <c r="E24">
        <v>106.05</v>
      </c>
      <c r="F24">
        <v>109</v>
      </c>
      <c r="G24">
        <v>281131</v>
      </c>
      <c r="H24">
        <v>110</v>
      </c>
      <c r="I24" t="b">
        <f t="shared" si="0"/>
        <v>0</v>
      </c>
      <c r="J24" t="b">
        <f t="shared" si="1"/>
        <v>0</v>
      </c>
      <c r="K24" t="b">
        <f t="shared" si="2"/>
        <v>0</v>
      </c>
      <c r="L24">
        <f t="shared" si="15"/>
        <v>-0.00611620795107037</v>
      </c>
      <c r="M24" s="2" t="b">
        <f t="shared" si="3"/>
        <v>0</v>
      </c>
      <c r="N24">
        <f t="shared" si="4"/>
        <v>108</v>
      </c>
      <c r="O24">
        <f>ROUND(N24*0.99/Tick,0)*Tick</f>
        <v>106.9</v>
      </c>
      <c r="P24">
        <f t="shared" si="5"/>
        <v>106.9</v>
      </c>
      <c r="Q24">
        <f>MIN(COUNTIFS($A$2:$A$37,A24,M$2:M$37,TRUE),Limit)</f>
        <v>1</v>
      </c>
      <c r="R24">
        <v>1</v>
      </c>
      <c r="S24" s="22">
        <f>TradingCapital/Q24</f>
        <v>300000</v>
      </c>
      <c r="T24" s="22">
        <f t="shared" si="6"/>
        <v>2778</v>
      </c>
      <c r="U24">
        <f t="shared" si="7"/>
        <v>0</v>
      </c>
      <c r="V24" s="22">
        <f t="shared" si="8"/>
        <v>0</v>
      </c>
      <c r="W24" s="2" t="b">
        <f t="shared" si="9"/>
        <v>0</v>
      </c>
      <c r="X24" s="20">
        <f>ROUND(C24*0.999/Tick,0)*Tick</f>
        <v>107.9</v>
      </c>
      <c r="Y24" s="20">
        <f>ROUND(X24*1.03/Tick,0)*Tick</f>
        <v>111.15</v>
      </c>
      <c r="Z24">
        <f t="shared" si="10"/>
        <v>111.15</v>
      </c>
      <c r="AA24">
        <f t="shared" si="11"/>
        <v>107.9</v>
      </c>
      <c r="AB24">
        <f>MIN(COUNTIFS($W$2:$W$37,TRUE,$A$2:$A$37,A24),Limit)</f>
        <v>3</v>
      </c>
      <c r="AC24">
        <v>1</v>
      </c>
      <c r="AD24">
        <f>TradingCapital/AB24</f>
        <v>100000</v>
      </c>
      <c r="AE24">
        <f t="shared" si="12"/>
        <v>927</v>
      </c>
      <c r="AF24">
        <f t="shared" si="13"/>
        <v>-3012.75</v>
      </c>
      <c r="AG24" s="22">
        <f t="shared" si="14"/>
        <v>0</v>
      </c>
    </row>
    <row r="25" spans="1:33">
      <c r="A25" s="19">
        <v>43104</v>
      </c>
      <c r="B25" t="s">
        <v>37</v>
      </c>
      <c r="C25">
        <v>1000</v>
      </c>
      <c r="D25">
        <v>1001</v>
      </c>
      <c r="E25">
        <v>999</v>
      </c>
      <c r="F25">
        <v>1000</v>
      </c>
      <c r="G25">
        <v>167272</v>
      </c>
      <c r="H25">
        <v>1000</v>
      </c>
      <c r="I25" t="b">
        <f t="shared" si="0"/>
        <v>0</v>
      </c>
      <c r="J25" t="b">
        <f t="shared" si="1"/>
        <v>0</v>
      </c>
      <c r="K25" t="b">
        <f t="shared" si="2"/>
        <v>0</v>
      </c>
      <c r="L25">
        <f t="shared" si="15"/>
        <v>-0.00909090909090904</v>
      </c>
      <c r="M25" s="2" t="b">
        <f t="shared" si="3"/>
        <v>0</v>
      </c>
      <c r="N25">
        <f t="shared" si="4"/>
        <v>1000</v>
      </c>
      <c r="O25">
        <f>ROUND(N25*0.99/Tick,0)*Tick</f>
        <v>990</v>
      </c>
      <c r="P25">
        <f t="shared" si="5"/>
        <v>1000</v>
      </c>
      <c r="Q25">
        <f>MIN(COUNTIFS($A$2:$A$37,A25,M$2:M$37,TRUE),Limit)</f>
        <v>1</v>
      </c>
      <c r="R25">
        <v>1</v>
      </c>
      <c r="S25" s="22">
        <f>TradingCapital/Q25</f>
        <v>300000</v>
      </c>
      <c r="T25" s="22">
        <f t="shared" si="6"/>
        <v>300</v>
      </c>
      <c r="U25">
        <f t="shared" si="7"/>
        <v>0</v>
      </c>
      <c r="V25" s="22">
        <f t="shared" si="8"/>
        <v>0</v>
      </c>
      <c r="W25" s="2" t="b">
        <f t="shared" si="9"/>
        <v>0</v>
      </c>
      <c r="X25" s="20">
        <f>ROUND(C25*0.999/Tick,0)*Tick</f>
        <v>999</v>
      </c>
      <c r="Y25" s="20">
        <f>ROUND(X25*1.03/Tick,0)*Tick</f>
        <v>1028.95</v>
      </c>
      <c r="Z25">
        <f t="shared" si="10"/>
        <v>1000</v>
      </c>
      <c r="AA25">
        <f t="shared" si="11"/>
        <v>999</v>
      </c>
      <c r="AB25">
        <f>MIN(COUNTIFS($W$2:$W$37,TRUE,$A$2:$A$37,A25),Limit)</f>
        <v>3</v>
      </c>
      <c r="AC25">
        <v>1</v>
      </c>
      <c r="AD25">
        <f>TradingCapital/AB25</f>
        <v>100000</v>
      </c>
      <c r="AE25">
        <f t="shared" si="12"/>
        <v>100</v>
      </c>
      <c r="AF25">
        <f t="shared" si="13"/>
        <v>-100</v>
      </c>
      <c r="AG25" s="22">
        <f t="shared" si="14"/>
        <v>0</v>
      </c>
    </row>
    <row r="26" spans="1:33">
      <c r="A26" s="19">
        <v>43105</v>
      </c>
      <c r="B26" t="s">
        <v>32</v>
      </c>
      <c r="C26">
        <v>26.5</v>
      </c>
      <c r="D26">
        <v>28</v>
      </c>
      <c r="E26">
        <v>26.45</v>
      </c>
      <c r="F26">
        <v>27.4</v>
      </c>
      <c r="G26">
        <v>850786</v>
      </c>
      <c r="H26">
        <v>26.45</v>
      </c>
      <c r="I26" t="b">
        <f t="shared" si="0"/>
        <v>1</v>
      </c>
      <c r="J26" t="b">
        <f t="shared" si="1"/>
        <v>0</v>
      </c>
      <c r="K26" t="b">
        <f t="shared" si="2"/>
        <v>0</v>
      </c>
      <c r="L26">
        <f t="shared" si="15"/>
        <v>0</v>
      </c>
      <c r="M26" s="2" t="b">
        <f t="shared" si="3"/>
        <v>1</v>
      </c>
      <c r="N26">
        <f t="shared" si="4"/>
        <v>26.5</v>
      </c>
      <c r="O26">
        <f>ROUND(N26*0.99/Tick,0)*Tick</f>
        <v>26.25</v>
      </c>
      <c r="P26">
        <f t="shared" si="5"/>
        <v>27.4</v>
      </c>
      <c r="Q26">
        <f>MIN(COUNTIFS($A$2:$A$37,A26,M$2:M$37,TRUE),Limit)</f>
        <v>4</v>
      </c>
      <c r="R26">
        <v>1</v>
      </c>
      <c r="S26" s="22">
        <f>TradingCapital/Q26</f>
        <v>75000</v>
      </c>
      <c r="T26" s="22">
        <f t="shared" si="6"/>
        <v>2830</v>
      </c>
      <c r="U26">
        <f t="shared" si="7"/>
        <v>2547</v>
      </c>
      <c r="V26" s="22">
        <f t="shared" si="8"/>
        <v>152537</v>
      </c>
      <c r="W26" s="2" t="b">
        <f t="shared" si="9"/>
        <v>1</v>
      </c>
      <c r="X26" s="20">
        <f>ROUND(C26*0.999/Tick,0)*Tick</f>
        <v>26.45</v>
      </c>
      <c r="Y26" s="20">
        <f>ROUND(X26*1.03/Tick,0)*Tick</f>
        <v>27.25</v>
      </c>
      <c r="Z26">
        <f t="shared" si="10"/>
        <v>27.25</v>
      </c>
      <c r="AA26">
        <f t="shared" si="11"/>
        <v>26.45</v>
      </c>
      <c r="AB26">
        <f>MIN(COUNTIFS($W$2:$W$37,TRUE,$A$2:$A$37,A26),Limit)</f>
        <v>3</v>
      </c>
      <c r="AC26">
        <v>1</v>
      </c>
      <c r="AD26">
        <f>TradingCapital/AB26</f>
        <v>100000</v>
      </c>
      <c r="AE26">
        <f t="shared" si="12"/>
        <v>3781</v>
      </c>
      <c r="AF26">
        <f t="shared" si="13"/>
        <v>-3024.79999999999</v>
      </c>
      <c r="AG26" s="22">
        <f t="shared" si="14"/>
        <v>203039.7</v>
      </c>
    </row>
    <row r="27" spans="1:33">
      <c r="A27" s="19">
        <v>43105</v>
      </c>
      <c r="B27" t="s">
        <v>33</v>
      </c>
      <c r="C27">
        <v>174.5</v>
      </c>
      <c r="D27">
        <v>178.85</v>
      </c>
      <c r="E27">
        <v>165.6</v>
      </c>
      <c r="F27">
        <v>173</v>
      </c>
      <c r="G27">
        <v>983684</v>
      </c>
      <c r="H27">
        <v>174</v>
      </c>
      <c r="I27" t="b">
        <f t="shared" si="0"/>
        <v>1</v>
      </c>
      <c r="J27" t="b">
        <f t="shared" si="1"/>
        <v>0</v>
      </c>
      <c r="K27" t="b">
        <f t="shared" si="2"/>
        <v>0</v>
      </c>
      <c r="L27">
        <f t="shared" si="15"/>
        <v>0.0359168241965973</v>
      </c>
      <c r="M27" s="2" t="b">
        <f t="shared" si="3"/>
        <v>1</v>
      </c>
      <c r="N27">
        <f t="shared" si="4"/>
        <v>174.5</v>
      </c>
      <c r="O27">
        <f>ROUND(N27*0.99/Tick,0)*Tick</f>
        <v>172.75</v>
      </c>
      <c r="P27">
        <f t="shared" si="5"/>
        <v>172.75</v>
      </c>
      <c r="Q27">
        <f>MIN(COUNTIFS($A$2:$A$37,A27,M$2:M$37,TRUE),Limit)</f>
        <v>4</v>
      </c>
      <c r="R27">
        <v>1</v>
      </c>
      <c r="S27" s="22">
        <f>TradingCapital/Q27</f>
        <v>75000</v>
      </c>
      <c r="T27" s="22">
        <f t="shared" si="6"/>
        <v>430</v>
      </c>
      <c r="U27">
        <f t="shared" si="7"/>
        <v>-752.5</v>
      </c>
      <c r="V27" s="22">
        <f t="shared" si="8"/>
        <v>149317.5</v>
      </c>
      <c r="W27" s="2" t="b">
        <f t="shared" si="9"/>
        <v>0</v>
      </c>
      <c r="X27" s="20">
        <f>ROUND(C27*0.999/Tick,0)*Tick</f>
        <v>174.35</v>
      </c>
      <c r="Y27" s="20">
        <f>ROUND(X27*1.03/Tick,0)*Tick</f>
        <v>179.6</v>
      </c>
      <c r="Z27">
        <f t="shared" si="10"/>
        <v>173</v>
      </c>
      <c r="AA27">
        <f t="shared" si="11"/>
        <v>174.35</v>
      </c>
      <c r="AB27">
        <f>MIN(COUNTIFS($W$2:$W$37,TRUE,$A$2:$A$37,A27),Limit)</f>
        <v>3</v>
      </c>
      <c r="AC27">
        <v>1</v>
      </c>
      <c r="AD27">
        <f>TradingCapital/AB27</f>
        <v>100000</v>
      </c>
      <c r="AE27">
        <f t="shared" si="12"/>
        <v>574</v>
      </c>
      <c r="AF27">
        <f t="shared" si="13"/>
        <v>774.900000000013</v>
      </c>
      <c r="AG27" s="22">
        <f t="shared" si="14"/>
        <v>0</v>
      </c>
    </row>
    <row r="28" spans="1:33">
      <c r="A28" s="19">
        <v>43105</v>
      </c>
      <c r="B28" t="s">
        <v>34</v>
      </c>
      <c r="C28">
        <v>10.6</v>
      </c>
      <c r="D28">
        <v>10.62</v>
      </c>
      <c r="E28">
        <v>10.6</v>
      </c>
      <c r="F28">
        <v>10.6</v>
      </c>
      <c r="G28">
        <v>610039</v>
      </c>
      <c r="H28">
        <v>10.54</v>
      </c>
      <c r="I28" t="b">
        <f t="shared" si="0"/>
        <v>1</v>
      </c>
      <c r="J28" t="b">
        <f t="shared" si="1"/>
        <v>0</v>
      </c>
      <c r="K28" t="b">
        <f t="shared" si="2"/>
        <v>1</v>
      </c>
      <c r="L28">
        <f t="shared" si="15"/>
        <v>-0.00574712643678166</v>
      </c>
      <c r="M28" s="2" t="b">
        <f t="shared" si="3"/>
        <v>1</v>
      </c>
      <c r="N28">
        <f t="shared" si="4"/>
        <v>10.6</v>
      </c>
      <c r="O28">
        <f>ROUND(N28*0.99/Tick,0)*Tick</f>
        <v>10.5</v>
      </c>
      <c r="P28">
        <f t="shared" si="5"/>
        <v>10.6</v>
      </c>
      <c r="Q28">
        <f>MIN(COUNTIFS($A$2:$A$37,A28,M$2:M$37,TRUE),Limit)</f>
        <v>4</v>
      </c>
      <c r="R28">
        <v>1</v>
      </c>
      <c r="S28" s="22">
        <f>TradingCapital/Q28</f>
        <v>75000</v>
      </c>
      <c r="T28" s="22">
        <f t="shared" si="6"/>
        <v>7075</v>
      </c>
      <c r="U28">
        <f t="shared" si="7"/>
        <v>0</v>
      </c>
      <c r="V28" s="22">
        <f t="shared" si="8"/>
        <v>149990</v>
      </c>
      <c r="W28" s="2" t="b">
        <f t="shared" si="9"/>
        <v>1</v>
      </c>
      <c r="X28" s="20">
        <f>ROUND(C28*0.999/Tick,0)*Tick</f>
        <v>10.6</v>
      </c>
      <c r="Y28" s="20">
        <f>ROUND(X28*1.03/Tick,0)*Tick</f>
        <v>10.9</v>
      </c>
      <c r="Z28">
        <f t="shared" si="10"/>
        <v>10.6</v>
      </c>
      <c r="AA28">
        <f t="shared" si="11"/>
        <v>10.6</v>
      </c>
      <c r="AB28">
        <f>MIN(COUNTIFS($W$2:$W$37,TRUE,$A$2:$A$37,A28),Limit)</f>
        <v>3</v>
      </c>
      <c r="AC28">
        <v>1</v>
      </c>
      <c r="AD28">
        <f>TradingCapital/AB28</f>
        <v>100000</v>
      </c>
      <c r="AE28">
        <f t="shared" si="12"/>
        <v>9434</v>
      </c>
      <c r="AF28">
        <f t="shared" si="13"/>
        <v>0</v>
      </c>
      <c r="AG28" s="22">
        <f t="shared" si="14"/>
        <v>200000.8</v>
      </c>
    </row>
    <row r="29" spans="1:33">
      <c r="A29" s="19">
        <v>43105</v>
      </c>
      <c r="B29" t="s">
        <v>35</v>
      </c>
      <c r="C29">
        <v>65.4</v>
      </c>
      <c r="D29">
        <v>70</v>
      </c>
      <c r="E29">
        <v>63</v>
      </c>
      <c r="F29">
        <v>64.5</v>
      </c>
      <c r="G29">
        <v>195539</v>
      </c>
      <c r="H29">
        <v>65</v>
      </c>
      <c r="I29" t="b">
        <f t="shared" si="0"/>
        <v>1</v>
      </c>
      <c r="J29" t="b">
        <f t="shared" si="1"/>
        <v>0</v>
      </c>
      <c r="K29" t="b">
        <f t="shared" si="2"/>
        <v>0</v>
      </c>
      <c r="L29">
        <f t="shared" si="15"/>
        <v>0.00569259962049351</v>
      </c>
      <c r="M29" s="2" t="b">
        <f t="shared" si="3"/>
        <v>1</v>
      </c>
      <c r="N29">
        <f t="shared" si="4"/>
        <v>65.4</v>
      </c>
      <c r="O29">
        <f>ROUND(N29*0.99/Tick,0)*Tick</f>
        <v>64.75</v>
      </c>
      <c r="P29">
        <f t="shared" si="5"/>
        <v>64.75</v>
      </c>
      <c r="Q29">
        <f>MIN(COUNTIFS($A$2:$A$37,A29,M$2:M$37,TRUE),Limit)</f>
        <v>4</v>
      </c>
      <c r="R29">
        <v>1</v>
      </c>
      <c r="S29" s="22">
        <f>TradingCapital/Q29</f>
        <v>75000</v>
      </c>
      <c r="T29" s="22">
        <f t="shared" si="6"/>
        <v>1147</v>
      </c>
      <c r="U29">
        <f t="shared" si="7"/>
        <v>-745.550000000007</v>
      </c>
      <c r="V29" s="22">
        <f t="shared" si="8"/>
        <v>149282.05</v>
      </c>
      <c r="W29" s="2" t="b">
        <f t="shared" si="9"/>
        <v>1</v>
      </c>
      <c r="X29" s="20">
        <f>ROUND(C29*0.999/Tick,0)*Tick</f>
        <v>65.35</v>
      </c>
      <c r="Y29" s="20">
        <f>ROUND(X29*1.03/Tick,0)*Tick</f>
        <v>67.3</v>
      </c>
      <c r="Z29">
        <f t="shared" si="10"/>
        <v>67.3</v>
      </c>
      <c r="AA29">
        <f t="shared" si="11"/>
        <v>65.35</v>
      </c>
      <c r="AB29">
        <f>MIN(COUNTIFS($W$2:$W$37,TRUE,$A$2:$A$37,A29),Limit)</f>
        <v>3</v>
      </c>
      <c r="AC29">
        <v>1</v>
      </c>
      <c r="AD29">
        <f>TradingCapital/AB29</f>
        <v>100000</v>
      </c>
      <c r="AE29">
        <f t="shared" si="12"/>
        <v>1530</v>
      </c>
      <c r="AF29">
        <f t="shared" si="13"/>
        <v>-2983.49999999998</v>
      </c>
      <c r="AG29" s="22">
        <f t="shared" si="14"/>
        <v>202954.5</v>
      </c>
    </row>
    <row r="30" spans="1:33">
      <c r="A30" s="19">
        <v>43105</v>
      </c>
      <c r="B30" t="s">
        <v>36</v>
      </c>
      <c r="C30">
        <v>107.5</v>
      </c>
      <c r="D30">
        <v>107.5</v>
      </c>
      <c r="E30">
        <v>99.4</v>
      </c>
      <c r="F30">
        <v>101.2</v>
      </c>
      <c r="G30">
        <v>659252</v>
      </c>
      <c r="H30">
        <v>109</v>
      </c>
      <c r="I30" t="b">
        <f t="shared" si="0"/>
        <v>0</v>
      </c>
      <c r="J30" t="b">
        <f t="shared" si="1"/>
        <v>1</v>
      </c>
      <c r="K30" t="b">
        <f t="shared" si="2"/>
        <v>0</v>
      </c>
      <c r="L30">
        <f t="shared" si="15"/>
        <v>-0.00769230769230766</v>
      </c>
      <c r="M30" s="2" t="b">
        <f t="shared" si="3"/>
        <v>0</v>
      </c>
      <c r="N30">
        <f t="shared" si="4"/>
        <v>107.5</v>
      </c>
      <c r="O30">
        <f>ROUND(N30*0.99/Tick,0)*Tick</f>
        <v>106.45</v>
      </c>
      <c r="P30">
        <f t="shared" si="5"/>
        <v>106.45</v>
      </c>
      <c r="Q30">
        <f>MIN(COUNTIFS($A$2:$A$37,A30,M$2:M$37,TRUE),Limit)</f>
        <v>4</v>
      </c>
      <c r="R30">
        <v>1</v>
      </c>
      <c r="S30" s="22">
        <f>TradingCapital/Q30</f>
        <v>75000</v>
      </c>
      <c r="T30" s="22">
        <f t="shared" si="6"/>
        <v>698</v>
      </c>
      <c r="U30">
        <f t="shared" si="7"/>
        <v>0</v>
      </c>
      <c r="V30" s="22">
        <f t="shared" si="8"/>
        <v>0</v>
      </c>
      <c r="W30" s="2" t="b">
        <f t="shared" si="9"/>
        <v>0</v>
      </c>
      <c r="X30" s="20">
        <f>ROUND(C30*0.999/Tick,0)*Tick</f>
        <v>107.4</v>
      </c>
      <c r="Y30" s="20">
        <f>ROUND(X30*1.03/Tick,0)*Tick</f>
        <v>110.6</v>
      </c>
      <c r="Z30">
        <f t="shared" si="10"/>
        <v>101.2</v>
      </c>
      <c r="AA30">
        <f t="shared" si="11"/>
        <v>107.4</v>
      </c>
      <c r="AB30">
        <f>MIN(COUNTIFS($W$2:$W$37,TRUE,$A$2:$A$37,A30),Limit)</f>
        <v>3</v>
      </c>
      <c r="AC30">
        <v>1</v>
      </c>
      <c r="AD30">
        <f>TradingCapital/AB30</f>
        <v>100000</v>
      </c>
      <c r="AE30">
        <f t="shared" si="12"/>
        <v>931</v>
      </c>
      <c r="AF30">
        <f t="shared" si="13"/>
        <v>5772.2</v>
      </c>
      <c r="AG30" s="22">
        <f t="shared" si="14"/>
        <v>0</v>
      </c>
    </row>
    <row r="31" spans="1:33">
      <c r="A31" s="19">
        <v>43105</v>
      </c>
      <c r="B31" t="s">
        <v>37</v>
      </c>
      <c r="C31">
        <v>1000</v>
      </c>
      <c r="D31">
        <v>1000</v>
      </c>
      <c r="E31">
        <v>1000</v>
      </c>
      <c r="F31">
        <v>1000</v>
      </c>
      <c r="G31">
        <v>38997</v>
      </c>
      <c r="H31">
        <v>1000</v>
      </c>
      <c r="I31" t="b">
        <f t="shared" si="0"/>
        <v>0</v>
      </c>
      <c r="J31" t="b">
        <f t="shared" si="1"/>
        <v>1</v>
      </c>
      <c r="K31" t="b">
        <f t="shared" si="2"/>
        <v>1</v>
      </c>
      <c r="L31">
        <f t="shared" si="15"/>
        <v>-0.0715596330275229</v>
      </c>
      <c r="M31" s="2" t="b">
        <f t="shared" si="3"/>
        <v>0</v>
      </c>
      <c r="N31">
        <f t="shared" si="4"/>
        <v>1000</v>
      </c>
      <c r="O31">
        <f>ROUND(N31*0.99/Tick,0)*Tick</f>
        <v>990</v>
      </c>
      <c r="P31">
        <f t="shared" si="5"/>
        <v>1000</v>
      </c>
      <c r="Q31">
        <f>MIN(COUNTIFS($A$2:$A$37,A31,M$2:M$37,TRUE),Limit)</f>
        <v>4</v>
      </c>
      <c r="R31">
        <v>1</v>
      </c>
      <c r="S31" s="22">
        <f>TradingCapital/Q31</f>
        <v>75000</v>
      </c>
      <c r="T31" s="22">
        <f t="shared" si="6"/>
        <v>75</v>
      </c>
      <c r="U31">
        <f t="shared" si="7"/>
        <v>0</v>
      </c>
      <c r="V31" s="22">
        <f t="shared" si="8"/>
        <v>0</v>
      </c>
      <c r="W31" s="2" t="b">
        <f t="shared" si="9"/>
        <v>0</v>
      </c>
      <c r="X31" s="20">
        <f>ROUND(C31*0.999/Tick,0)*Tick</f>
        <v>999</v>
      </c>
      <c r="Y31" s="20">
        <f>ROUND(X31*1.03/Tick,0)*Tick</f>
        <v>1028.95</v>
      </c>
      <c r="Z31">
        <f t="shared" si="10"/>
        <v>1000</v>
      </c>
      <c r="AA31">
        <f t="shared" si="11"/>
        <v>1000</v>
      </c>
      <c r="AB31">
        <f>MIN(COUNTIFS($W$2:$W$37,TRUE,$A$2:$A$37,A31),Limit)</f>
        <v>3</v>
      </c>
      <c r="AC31">
        <v>1</v>
      </c>
      <c r="AD31">
        <f>TradingCapital/AB31</f>
        <v>100000</v>
      </c>
      <c r="AE31">
        <f t="shared" si="12"/>
        <v>100</v>
      </c>
      <c r="AF31">
        <f t="shared" si="13"/>
        <v>0</v>
      </c>
      <c r="AG31" s="22">
        <f t="shared" si="14"/>
        <v>0</v>
      </c>
    </row>
    <row r="32" spans="1:33">
      <c r="A32" s="19">
        <v>43106</v>
      </c>
      <c r="B32" t="s">
        <v>32</v>
      </c>
      <c r="C32">
        <v>27.5</v>
      </c>
      <c r="D32">
        <v>33</v>
      </c>
      <c r="E32">
        <v>27.5</v>
      </c>
      <c r="F32">
        <v>32</v>
      </c>
      <c r="G32">
        <v>533203</v>
      </c>
      <c r="H32">
        <v>27.4</v>
      </c>
      <c r="I32" t="b">
        <f t="shared" si="0"/>
        <v>1</v>
      </c>
      <c r="J32" t="b">
        <f t="shared" si="1"/>
        <v>0</v>
      </c>
      <c r="K32" t="b">
        <f t="shared" si="2"/>
        <v>1</v>
      </c>
      <c r="L32">
        <f t="shared" si="15"/>
        <v>0</v>
      </c>
      <c r="M32" s="2" t="b">
        <f t="shared" si="3"/>
        <v>1</v>
      </c>
      <c r="N32">
        <f t="shared" si="4"/>
        <v>27.5</v>
      </c>
      <c r="O32">
        <f>ROUND(N32*0.99/Tick,0)*Tick</f>
        <v>27.25</v>
      </c>
      <c r="P32">
        <f t="shared" si="5"/>
        <v>32</v>
      </c>
      <c r="Q32">
        <f>MIN(COUNTIFS($A$2:$A$37,A32,M$2:M$37,TRUE),Limit)</f>
        <v>4</v>
      </c>
      <c r="R32">
        <v>1</v>
      </c>
      <c r="S32" s="22">
        <f>TradingCapital/Q32</f>
        <v>75000</v>
      </c>
      <c r="T32" s="22">
        <f t="shared" si="6"/>
        <v>2727</v>
      </c>
      <c r="U32">
        <f t="shared" si="7"/>
        <v>12271.5</v>
      </c>
      <c r="V32" s="22">
        <f t="shared" si="8"/>
        <v>162256.5</v>
      </c>
      <c r="W32" s="2" t="b">
        <f t="shared" si="9"/>
        <v>1</v>
      </c>
      <c r="X32" s="20">
        <f>ROUND(C32*0.999/Tick,0)*Tick</f>
        <v>27.45</v>
      </c>
      <c r="Y32" s="20">
        <f>ROUND(X32*1.03/Tick,0)*Tick</f>
        <v>28.25</v>
      </c>
      <c r="Z32">
        <f t="shared" si="10"/>
        <v>28.25</v>
      </c>
      <c r="AA32">
        <f t="shared" si="11"/>
        <v>32</v>
      </c>
      <c r="AB32">
        <f>MIN(COUNTIFS($W$2:$W$37,TRUE,$A$2:$A$37,A32),Limit)</f>
        <v>3</v>
      </c>
      <c r="AC32">
        <v>1</v>
      </c>
      <c r="AD32">
        <f>TradingCapital/AB32</f>
        <v>100000</v>
      </c>
      <c r="AE32">
        <f t="shared" si="12"/>
        <v>3643</v>
      </c>
      <c r="AF32">
        <f t="shared" si="13"/>
        <v>13661.25</v>
      </c>
      <c r="AG32" s="22">
        <f t="shared" si="14"/>
        <v>219490.75</v>
      </c>
    </row>
    <row r="33" spans="1:33">
      <c r="A33" s="19">
        <v>43106</v>
      </c>
      <c r="B33" t="s">
        <v>33</v>
      </c>
      <c r="C33">
        <v>174</v>
      </c>
      <c r="D33">
        <v>174</v>
      </c>
      <c r="E33">
        <v>161.25</v>
      </c>
      <c r="F33">
        <v>166.45</v>
      </c>
      <c r="G33">
        <v>637858</v>
      </c>
      <c r="H33">
        <v>173</v>
      </c>
      <c r="I33" t="b">
        <f t="shared" si="0"/>
        <v>1</v>
      </c>
      <c r="J33" t="b">
        <f t="shared" si="1"/>
        <v>1</v>
      </c>
      <c r="K33" t="b">
        <f t="shared" si="2"/>
        <v>0</v>
      </c>
      <c r="L33">
        <f t="shared" si="15"/>
        <v>0.167883211678832</v>
      </c>
      <c r="M33" s="2" t="b">
        <f t="shared" si="3"/>
        <v>1</v>
      </c>
      <c r="N33">
        <f t="shared" si="4"/>
        <v>174</v>
      </c>
      <c r="O33">
        <f>ROUND(N33*0.99/Tick,0)*Tick</f>
        <v>172.25</v>
      </c>
      <c r="P33">
        <f t="shared" si="5"/>
        <v>172.25</v>
      </c>
      <c r="Q33">
        <f>MIN(COUNTIFS($A$2:$A$37,A33,M$2:M$37,TRUE),Limit)</f>
        <v>4</v>
      </c>
      <c r="R33">
        <v>1</v>
      </c>
      <c r="S33" s="22">
        <f>TradingCapital/Q33</f>
        <v>75000</v>
      </c>
      <c r="T33" s="22">
        <f t="shared" si="6"/>
        <v>431</v>
      </c>
      <c r="U33">
        <f t="shared" si="7"/>
        <v>-754.25</v>
      </c>
      <c r="V33" s="22">
        <f t="shared" si="8"/>
        <v>149233.75</v>
      </c>
      <c r="W33" s="2" t="b">
        <f t="shared" si="9"/>
        <v>0</v>
      </c>
      <c r="X33" s="20">
        <f>ROUND(C33*0.999/Tick,0)*Tick</f>
        <v>173.85</v>
      </c>
      <c r="Y33" s="20">
        <f>ROUND(X33*1.03/Tick,0)*Tick</f>
        <v>179.05</v>
      </c>
      <c r="Z33">
        <f t="shared" si="10"/>
        <v>166.45</v>
      </c>
      <c r="AA33">
        <f t="shared" si="11"/>
        <v>173.85</v>
      </c>
      <c r="AB33">
        <f>MIN(COUNTIFS($W$2:$W$37,TRUE,$A$2:$A$37,A33),Limit)</f>
        <v>3</v>
      </c>
      <c r="AC33">
        <v>1</v>
      </c>
      <c r="AD33">
        <f>TradingCapital/AB33</f>
        <v>100000</v>
      </c>
      <c r="AE33">
        <f t="shared" si="12"/>
        <v>575</v>
      </c>
      <c r="AF33">
        <f t="shared" si="13"/>
        <v>4255.00000000002</v>
      </c>
      <c r="AG33" s="22">
        <f t="shared" si="14"/>
        <v>0</v>
      </c>
    </row>
    <row r="34" spans="1:33">
      <c r="A34" s="19">
        <v>43106</v>
      </c>
      <c r="B34" t="s">
        <v>34</v>
      </c>
      <c r="C34">
        <v>10.64</v>
      </c>
      <c r="D34">
        <v>10.7</v>
      </c>
      <c r="E34">
        <v>10.12</v>
      </c>
      <c r="F34">
        <v>10.4</v>
      </c>
      <c r="G34">
        <v>808660</v>
      </c>
      <c r="H34">
        <v>10.6</v>
      </c>
      <c r="I34" t="b">
        <f t="shared" si="0"/>
        <v>1</v>
      </c>
      <c r="J34" t="b">
        <f t="shared" si="1"/>
        <v>0</v>
      </c>
      <c r="K34" t="b">
        <f t="shared" si="2"/>
        <v>0</v>
      </c>
      <c r="L34">
        <f t="shared" si="15"/>
        <v>-0.0378612716763006</v>
      </c>
      <c r="M34" s="2" t="b">
        <f t="shared" si="3"/>
        <v>1</v>
      </c>
      <c r="N34">
        <f t="shared" si="4"/>
        <v>10.65</v>
      </c>
      <c r="O34">
        <f>ROUND(N34*0.99/Tick,0)*Tick</f>
        <v>10.55</v>
      </c>
      <c r="P34">
        <f t="shared" si="5"/>
        <v>10.55</v>
      </c>
      <c r="Q34">
        <f>MIN(COUNTIFS($A$2:$A$37,A34,M$2:M$37,TRUE),Limit)</f>
        <v>4</v>
      </c>
      <c r="R34">
        <v>1</v>
      </c>
      <c r="S34" s="22">
        <f>TradingCapital/Q34</f>
        <v>75000</v>
      </c>
      <c r="T34" s="22">
        <f t="shared" si="6"/>
        <v>7042</v>
      </c>
      <c r="U34">
        <f t="shared" si="7"/>
        <v>-704.20000000001</v>
      </c>
      <c r="V34" s="22">
        <f t="shared" si="8"/>
        <v>149290.4</v>
      </c>
      <c r="W34" s="2" t="b">
        <f t="shared" si="9"/>
        <v>1</v>
      </c>
      <c r="X34" s="20">
        <f>ROUND(C34*0.999/Tick,0)*Tick</f>
        <v>10.65</v>
      </c>
      <c r="Y34" s="20">
        <f>ROUND(X34*1.03/Tick,0)*Tick</f>
        <v>10.95</v>
      </c>
      <c r="Z34">
        <f t="shared" si="10"/>
        <v>10.4</v>
      </c>
      <c r="AA34">
        <f t="shared" si="11"/>
        <v>10.65</v>
      </c>
      <c r="AB34">
        <f>MIN(COUNTIFS($W$2:$W$37,TRUE,$A$2:$A$37,A34),Limit)</f>
        <v>3</v>
      </c>
      <c r="AC34">
        <v>1</v>
      </c>
      <c r="AD34">
        <f>TradingCapital/AB34</f>
        <v>100000</v>
      </c>
      <c r="AE34">
        <f t="shared" si="12"/>
        <v>9390</v>
      </c>
      <c r="AF34">
        <f t="shared" si="13"/>
        <v>2347.5</v>
      </c>
      <c r="AG34" s="22">
        <f t="shared" si="14"/>
        <v>197659.5</v>
      </c>
    </row>
    <row r="35" spans="1:33">
      <c r="A35" s="19">
        <v>43106</v>
      </c>
      <c r="B35" t="s">
        <v>35</v>
      </c>
      <c r="C35">
        <v>64.5</v>
      </c>
      <c r="D35">
        <v>64.5</v>
      </c>
      <c r="E35">
        <v>56</v>
      </c>
      <c r="F35">
        <v>58</v>
      </c>
      <c r="G35">
        <v>333149</v>
      </c>
      <c r="H35">
        <v>64.5</v>
      </c>
      <c r="I35" t="b">
        <f t="shared" si="0"/>
        <v>0</v>
      </c>
      <c r="J35" t="b">
        <f t="shared" si="1"/>
        <v>1</v>
      </c>
      <c r="K35" t="b">
        <f t="shared" si="2"/>
        <v>0</v>
      </c>
      <c r="L35">
        <f t="shared" si="15"/>
        <v>-0.0188679245283018</v>
      </c>
      <c r="M35" s="2" t="b">
        <f t="shared" si="3"/>
        <v>0</v>
      </c>
      <c r="N35">
        <f t="shared" si="4"/>
        <v>64.5</v>
      </c>
      <c r="O35">
        <f>ROUND(N35*0.99/Tick,0)*Tick</f>
        <v>63.85</v>
      </c>
      <c r="P35">
        <f t="shared" si="5"/>
        <v>63.85</v>
      </c>
      <c r="Q35">
        <f>MIN(COUNTIFS($A$2:$A$37,A35,M$2:M$37,TRUE),Limit)</f>
        <v>4</v>
      </c>
      <c r="R35">
        <v>1</v>
      </c>
      <c r="S35" s="22">
        <f>TradingCapital/Q35</f>
        <v>75000</v>
      </c>
      <c r="T35" s="22">
        <f t="shared" si="6"/>
        <v>1163</v>
      </c>
      <c r="U35">
        <f t="shared" si="7"/>
        <v>0</v>
      </c>
      <c r="V35" s="22">
        <f t="shared" si="8"/>
        <v>0</v>
      </c>
      <c r="W35" s="2" t="b">
        <f t="shared" si="9"/>
        <v>1</v>
      </c>
      <c r="X35" s="20">
        <f>ROUND(C35*0.999/Tick,0)*Tick</f>
        <v>64.45</v>
      </c>
      <c r="Y35" s="20">
        <f>ROUND(X35*1.03/Tick,0)*Tick</f>
        <v>66.4</v>
      </c>
      <c r="Z35">
        <f t="shared" si="10"/>
        <v>58</v>
      </c>
      <c r="AA35">
        <f t="shared" si="11"/>
        <v>64.45</v>
      </c>
      <c r="AB35">
        <f>MIN(COUNTIFS($W$2:$W$37,TRUE,$A$2:$A$37,A35),Limit)</f>
        <v>3</v>
      </c>
      <c r="AC35">
        <v>1</v>
      </c>
      <c r="AD35">
        <f>TradingCapital/AB35</f>
        <v>100000</v>
      </c>
      <c r="AE35">
        <f t="shared" si="12"/>
        <v>1552</v>
      </c>
      <c r="AF35">
        <f t="shared" si="13"/>
        <v>10010.4</v>
      </c>
      <c r="AG35" s="22">
        <f t="shared" si="14"/>
        <v>190042.4</v>
      </c>
    </row>
    <row r="36" spans="1:33">
      <c r="A36" s="19">
        <v>43106</v>
      </c>
      <c r="B36" t="s">
        <v>36</v>
      </c>
      <c r="C36">
        <v>101.3</v>
      </c>
      <c r="D36">
        <v>102.4</v>
      </c>
      <c r="E36">
        <v>96.5</v>
      </c>
      <c r="F36">
        <v>98</v>
      </c>
      <c r="G36">
        <v>444321</v>
      </c>
      <c r="H36">
        <v>101.2</v>
      </c>
      <c r="I36" t="b">
        <f t="shared" si="0"/>
        <v>1</v>
      </c>
      <c r="J36" t="b">
        <f t="shared" si="1"/>
        <v>0</v>
      </c>
      <c r="K36" t="b">
        <f t="shared" si="2"/>
        <v>0</v>
      </c>
      <c r="L36">
        <f t="shared" si="15"/>
        <v>-0.10077519379845</v>
      </c>
      <c r="M36" s="2" t="b">
        <f t="shared" si="3"/>
        <v>1</v>
      </c>
      <c r="N36">
        <f t="shared" si="4"/>
        <v>101.3</v>
      </c>
      <c r="O36">
        <f>ROUND(N36*0.99/Tick,0)*Tick</f>
        <v>100.3</v>
      </c>
      <c r="P36">
        <f t="shared" si="5"/>
        <v>100.3</v>
      </c>
      <c r="Q36">
        <f>MIN(COUNTIFS($A$2:$A$37,A36,M$2:M$37,TRUE),Limit)</f>
        <v>4</v>
      </c>
      <c r="R36">
        <v>1</v>
      </c>
      <c r="S36" s="22">
        <f>TradingCapital/Q36</f>
        <v>75000</v>
      </c>
      <c r="T36" s="22">
        <f t="shared" si="6"/>
        <v>740</v>
      </c>
      <c r="U36">
        <f t="shared" si="7"/>
        <v>-739.99999999999</v>
      </c>
      <c r="V36" s="22">
        <f t="shared" si="8"/>
        <v>149184</v>
      </c>
      <c r="W36" s="2" t="b">
        <f t="shared" si="9"/>
        <v>0</v>
      </c>
      <c r="X36" s="20">
        <f>ROUND(C36*0.999/Tick,0)*Tick</f>
        <v>101.2</v>
      </c>
      <c r="Y36" s="20">
        <f>ROUND(X36*1.03/Tick,0)*Tick</f>
        <v>104.25</v>
      </c>
      <c r="Z36">
        <f t="shared" si="10"/>
        <v>98</v>
      </c>
      <c r="AA36">
        <f t="shared" si="11"/>
        <v>101.2</v>
      </c>
      <c r="AB36">
        <f>MIN(COUNTIFS($W$2:$W$37,TRUE,$A$2:$A$37,A36),Limit)</f>
        <v>3</v>
      </c>
      <c r="AC36">
        <v>1</v>
      </c>
      <c r="AD36">
        <f>TradingCapital/AB36</f>
        <v>100000</v>
      </c>
      <c r="AE36">
        <f t="shared" si="12"/>
        <v>988</v>
      </c>
      <c r="AF36">
        <f t="shared" si="13"/>
        <v>3161.6</v>
      </c>
      <c r="AG36" s="22">
        <f t="shared" si="14"/>
        <v>0</v>
      </c>
    </row>
    <row r="37" spans="1:33">
      <c r="A37" s="19">
        <v>43106</v>
      </c>
      <c r="B37" t="s">
        <v>37</v>
      </c>
      <c r="C37">
        <v>1000</v>
      </c>
      <c r="D37">
        <v>1000</v>
      </c>
      <c r="E37">
        <v>999</v>
      </c>
      <c r="F37">
        <v>1000</v>
      </c>
      <c r="G37">
        <v>174296</v>
      </c>
      <c r="H37">
        <v>1000</v>
      </c>
      <c r="I37" t="b">
        <f t="shared" si="0"/>
        <v>0</v>
      </c>
      <c r="J37" t="b">
        <f t="shared" si="1"/>
        <v>1</v>
      </c>
      <c r="K37" t="b">
        <f t="shared" si="2"/>
        <v>0</v>
      </c>
      <c r="L37">
        <f t="shared" si="15"/>
        <v>-0.0316205533596838</v>
      </c>
      <c r="M37" s="2" t="b">
        <f t="shared" si="3"/>
        <v>0</v>
      </c>
      <c r="N37">
        <f t="shared" si="4"/>
        <v>1000</v>
      </c>
      <c r="O37">
        <f>ROUND(N37*0.99/Tick,0)*Tick</f>
        <v>990</v>
      </c>
      <c r="P37">
        <f t="shared" si="5"/>
        <v>1000</v>
      </c>
      <c r="Q37">
        <f>MIN(COUNTIFS($A$2:$A$37,A37,M$2:M$37,TRUE),Limit)</f>
        <v>4</v>
      </c>
      <c r="R37">
        <v>1</v>
      </c>
      <c r="S37" s="22">
        <f>TradingCapital/Q37</f>
        <v>75000</v>
      </c>
      <c r="T37" s="22">
        <f t="shared" si="6"/>
        <v>75</v>
      </c>
      <c r="U37">
        <f t="shared" si="7"/>
        <v>0</v>
      </c>
      <c r="V37" s="22">
        <f t="shared" si="8"/>
        <v>0</v>
      </c>
      <c r="W37" s="2" t="b">
        <f t="shared" si="9"/>
        <v>0</v>
      </c>
      <c r="X37" s="20">
        <f>ROUND(C37*0.999/Tick,0)*Tick</f>
        <v>999</v>
      </c>
      <c r="Y37" s="20">
        <f>ROUND(X37*1.03/Tick,0)*Tick</f>
        <v>1028.95</v>
      </c>
      <c r="Z37">
        <f t="shared" si="10"/>
        <v>1000</v>
      </c>
      <c r="AA37">
        <f t="shared" si="11"/>
        <v>999</v>
      </c>
      <c r="AB37">
        <f>MIN(COUNTIFS($W$2:$W$37,TRUE,$A$2:$A$37,A37),Limit)</f>
        <v>3</v>
      </c>
      <c r="AC37">
        <v>1</v>
      </c>
      <c r="AD37">
        <f>TradingCapital/AB37</f>
        <v>100000</v>
      </c>
      <c r="AE37">
        <f t="shared" si="12"/>
        <v>100</v>
      </c>
      <c r="AF37">
        <f t="shared" si="13"/>
        <v>-100</v>
      </c>
      <c r="AG37" s="22">
        <f t="shared" si="14"/>
        <v>0</v>
      </c>
    </row>
    <row r="39" spans="5:5">
      <c r="E39" s="20"/>
    </row>
  </sheetData>
  <autoFilter ref="A1:AG37"/>
  <sortState ref="A2:AG37">
    <sortCondition ref="B2:B37"/>
    <sortCondition ref="A2:A37"/>
  </sortState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zoomScale="130" zoomScaleNormal="130" topLeftCell="B1" workbookViewId="0">
      <selection activeCell="H1" sqref="H1"/>
    </sheetView>
  </sheetViews>
  <sheetFormatPr defaultColWidth="9" defaultRowHeight="12.75" outlineLevelCol="7"/>
  <cols>
    <col min="1" max="1" width="9.75" customWidth="1"/>
    <col min="2" max="3" width="13.375" customWidth="1"/>
    <col min="4" max="4" width="12.875" customWidth="1"/>
    <col min="5" max="6" width="13.75"/>
    <col min="7" max="7" width="12.625"/>
    <col min="8" max="8" width="13.75"/>
  </cols>
  <sheetData>
    <row r="1" spans="3:8">
      <c r="C1" t="s">
        <v>38</v>
      </c>
      <c r="D1">
        <f>MAX(G6:G11)</f>
        <v>15930.9373000001</v>
      </c>
      <c r="E1" t="s">
        <v>39</v>
      </c>
      <c r="F1">
        <f>MIN(G6:G11)</f>
        <v>-8873.82739999994</v>
      </c>
      <c r="G1" t="s">
        <v>40</v>
      </c>
      <c r="H1">
        <f>AVERAGE(B6:B11)/STDEV(B6:B11)</f>
        <v>0.335162811952196</v>
      </c>
    </row>
    <row r="2" spans="1:6">
      <c r="A2" s="5" t="s">
        <v>27</v>
      </c>
      <c r="B2" s="6" t="b">
        <v>1</v>
      </c>
      <c r="E2" t="s">
        <v>41</v>
      </c>
      <c r="F2" s="4">
        <f>F1/Capital</f>
        <v>-0.0887382739999994</v>
      </c>
    </row>
    <row r="4" spans="1:3">
      <c r="A4" s="7"/>
      <c r="B4" s="8" t="s">
        <v>42</v>
      </c>
      <c r="C4" s="9"/>
    </row>
    <row r="5" spans="1:7">
      <c r="A5" s="8" t="s">
        <v>5</v>
      </c>
      <c r="B5" s="10" t="s">
        <v>43</v>
      </c>
      <c r="C5" s="11" t="s">
        <v>44</v>
      </c>
      <c r="D5" t="s">
        <v>45</v>
      </c>
      <c r="E5" t="s">
        <v>46</v>
      </c>
      <c r="F5" t="s">
        <v>47</v>
      </c>
      <c r="G5" t="s">
        <v>48</v>
      </c>
    </row>
    <row r="6" spans="1:7">
      <c r="A6" s="12">
        <v>43101</v>
      </c>
      <c r="B6" s="13">
        <v>-3445.95</v>
      </c>
      <c r="C6" s="14">
        <v>603474.85</v>
      </c>
      <c r="D6">
        <f t="shared" ref="D6:D11" si="0">C6*0.1*0.01</f>
        <v>603.47485</v>
      </c>
      <c r="E6">
        <f t="shared" ref="E6:E11" si="1">C6*0.1*0.01</f>
        <v>603.47485</v>
      </c>
      <c r="F6">
        <f t="shared" ref="F6:F11" si="2">B6-D6-E6</f>
        <v>-4652.8997</v>
      </c>
      <c r="G6">
        <f>F6</f>
        <v>-4652.8997</v>
      </c>
    </row>
    <row r="7" spans="1:7">
      <c r="A7" s="12">
        <v>43102</v>
      </c>
      <c r="B7" s="13">
        <v>3159.60000000001</v>
      </c>
      <c r="C7" s="14">
        <v>599157.94</v>
      </c>
      <c r="D7">
        <f t="shared" si="0"/>
        <v>599.15794</v>
      </c>
      <c r="E7">
        <f t="shared" si="1"/>
        <v>599.15794</v>
      </c>
      <c r="F7">
        <f t="shared" si="2"/>
        <v>1961.28412000001</v>
      </c>
      <c r="G7">
        <f t="shared" ref="G7:G11" si="3">F7+G6</f>
        <v>-2691.61557999998</v>
      </c>
    </row>
    <row r="8" spans="1:7">
      <c r="A8" s="12">
        <v>43103</v>
      </c>
      <c r="B8" s="13">
        <v>-760.650000000017</v>
      </c>
      <c r="C8" s="14">
        <v>607791.15</v>
      </c>
      <c r="D8">
        <f t="shared" si="0"/>
        <v>607.79115</v>
      </c>
      <c r="E8">
        <f t="shared" si="1"/>
        <v>607.79115</v>
      </c>
      <c r="F8">
        <f t="shared" si="2"/>
        <v>-1976.23230000002</v>
      </c>
      <c r="G8">
        <f t="shared" si="3"/>
        <v>-4667.84788</v>
      </c>
    </row>
    <row r="9" spans="1:7">
      <c r="A9" s="12">
        <v>43104</v>
      </c>
      <c r="B9" s="13">
        <v>4206.04000000003</v>
      </c>
      <c r="C9" s="14">
        <v>595864.76</v>
      </c>
      <c r="D9">
        <f t="shared" si="0"/>
        <v>595.86476</v>
      </c>
      <c r="E9">
        <f t="shared" si="1"/>
        <v>595.86476</v>
      </c>
      <c r="F9">
        <f t="shared" si="2"/>
        <v>3014.31048000003</v>
      </c>
      <c r="G9">
        <f t="shared" si="3"/>
        <v>-1653.53739999997</v>
      </c>
    </row>
    <row r="10" spans="1:7">
      <c r="A10" s="12">
        <v>43105</v>
      </c>
      <c r="B10" s="13">
        <v>-6008.29999999997</v>
      </c>
      <c r="C10" s="14">
        <v>605995</v>
      </c>
      <c r="D10">
        <f t="shared" si="0"/>
        <v>605.995</v>
      </c>
      <c r="E10">
        <f t="shared" si="1"/>
        <v>605.995</v>
      </c>
      <c r="F10">
        <f t="shared" si="2"/>
        <v>-7220.28999999997</v>
      </c>
      <c r="G10">
        <f t="shared" si="3"/>
        <v>-8873.82739999994</v>
      </c>
    </row>
    <row r="11" spans="1:7">
      <c r="A11" s="15">
        <v>43106</v>
      </c>
      <c r="B11" s="10">
        <v>26019.15</v>
      </c>
      <c r="C11" s="16">
        <v>607192.65</v>
      </c>
      <c r="D11">
        <f t="shared" si="0"/>
        <v>607.19265</v>
      </c>
      <c r="E11">
        <f t="shared" si="1"/>
        <v>607.19265</v>
      </c>
      <c r="F11">
        <f t="shared" si="2"/>
        <v>24804.7647</v>
      </c>
      <c r="G11">
        <f t="shared" si="3"/>
        <v>15930.9373000001</v>
      </c>
    </row>
    <row r="12" spans="2:6">
      <c r="B12" s="17">
        <f t="shared" ref="B12:F12" si="4">SUM(B6:B11)</f>
        <v>23169.8900000001</v>
      </c>
      <c r="C12" s="17">
        <f t="shared" si="4"/>
        <v>3619476.35</v>
      </c>
      <c r="D12" s="17">
        <f t="shared" si="4"/>
        <v>3619.47635</v>
      </c>
      <c r="E12" s="17">
        <f t="shared" si="4"/>
        <v>3619.47635</v>
      </c>
      <c r="F12" s="17">
        <f t="shared" si="4"/>
        <v>15930.9373000001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tabSelected="1" zoomScale="190" zoomScaleNormal="190" topLeftCell="N1" workbookViewId="0">
      <pane ySplit="1" topLeftCell="A2" activePane="bottomLeft" state="frozen"/>
      <selection/>
      <selection pane="bottomLeft" activeCell="R11" sqref="R11"/>
    </sheetView>
  </sheetViews>
  <sheetFormatPr defaultColWidth="9" defaultRowHeight="12.75"/>
  <cols>
    <col min="1" max="1" width="8" customWidth="1"/>
    <col min="2" max="2" width="9.625" customWidth="1"/>
    <col min="3" max="3" width="10.75" customWidth="1"/>
    <col min="4" max="4" width="7.375" customWidth="1"/>
    <col min="5" max="5" width="3.75" customWidth="1"/>
    <col min="6" max="7" width="6.375" customWidth="1"/>
    <col min="8" max="9" width="4.45" customWidth="1"/>
    <col min="10" max="10" width="4.5" customWidth="1"/>
    <col min="11" max="13" width="8.375" customWidth="1"/>
    <col min="14" max="14" width="9.375"/>
    <col min="15" max="16" width="11.5"/>
    <col min="17" max="19" width="12.625"/>
    <col min="20" max="22" width="13.75"/>
  </cols>
  <sheetData>
    <row r="1" spans="1:22">
      <c r="A1" t="s">
        <v>49</v>
      </c>
      <c r="B1" t="s">
        <v>50</v>
      </c>
      <c r="C1" t="s">
        <v>51</v>
      </c>
      <c r="D1" t="s">
        <v>23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s="2" t="s">
        <v>25</v>
      </c>
      <c r="O1" t="s">
        <v>61</v>
      </c>
      <c r="P1" t="s">
        <v>46</v>
      </c>
      <c r="Q1" t="s">
        <v>62</v>
      </c>
      <c r="R1" t="s">
        <v>8</v>
      </c>
      <c r="S1" t="s">
        <v>9</v>
      </c>
      <c r="T1" t="s">
        <v>63</v>
      </c>
      <c r="U1" t="s">
        <v>64</v>
      </c>
      <c r="V1" t="s">
        <v>65</v>
      </c>
    </row>
    <row r="2" spans="1:22">
      <c r="A2" t="s">
        <v>66</v>
      </c>
      <c r="B2" s="1">
        <v>43101</v>
      </c>
      <c r="C2" s="1">
        <v>43107</v>
      </c>
      <c r="D2">
        <v>100000</v>
      </c>
      <c r="E2">
        <v>1</v>
      </c>
      <c r="F2">
        <v>0</v>
      </c>
      <c r="G2">
        <v>0</v>
      </c>
      <c r="H2">
        <v>3</v>
      </c>
      <c r="I2" t="s">
        <v>67</v>
      </c>
      <c r="J2">
        <v>5</v>
      </c>
      <c r="K2" t="s">
        <v>68</v>
      </c>
      <c r="L2" t="s">
        <v>69</v>
      </c>
      <c r="M2" t="b">
        <v>1</v>
      </c>
      <c r="N2" s="2">
        <v>-715.09</v>
      </c>
      <c r="O2">
        <v>0</v>
      </c>
      <c r="P2">
        <v>0</v>
      </c>
      <c r="Q2" s="3">
        <f t="shared" ref="Q2:Q12" si="0">N2-O2-P2</f>
        <v>-715.09</v>
      </c>
      <c r="R2" s="4">
        <v>1200.76</v>
      </c>
      <c r="S2" s="4">
        <v>-2599.34</v>
      </c>
      <c r="T2" s="4">
        <f t="shared" ref="T2:T12" si="1">S2/D2</f>
        <v>-0.0259934</v>
      </c>
      <c r="U2" s="4">
        <f t="shared" ref="U2:U12" si="2">Q2/D2</f>
        <v>-0.0071509</v>
      </c>
      <c r="V2" s="4">
        <v>-0.065</v>
      </c>
    </row>
    <row r="3" spans="1:22">
      <c r="A3" t="s">
        <v>66</v>
      </c>
      <c r="B3" s="1">
        <v>43101</v>
      </c>
      <c r="C3" s="1">
        <v>43104</v>
      </c>
      <c r="D3">
        <v>100000</v>
      </c>
      <c r="E3">
        <v>1</v>
      </c>
      <c r="F3">
        <v>0</v>
      </c>
      <c r="G3">
        <v>0</v>
      </c>
      <c r="H3">
        <v>3</v>
      </c>
      <c r="I3" t="s">
        <v>67</v>
      </c>
      <c r="J3">
        <v>5</v>
      </c>
      <c r="K3" t="s">
        <v>68</v>
      </c>
      <c r="L3" t="s">
        <v>69</v>
      </c>
      <c r="M3" t="b">
        <v>1</v>
      </c>
      <c r="N3" s="2">
        <v>1200.76</v>
      </c>
      <c r="O3">
        <v>0</v>
      </c>
      <c r="P3">
        <v>0</v>
      </c>
      <c r="Q3" s="2">
        <f t="shared" si="0"/>
        <v>1200.76</v>
      </c>
      <c r="R3" s="2">
        <v>1200.76</v>
      </c>
      <c r="S3">
        <v>-190.49</v>
      </c>
      <c r="T3">
        <f t="shared" si="1"/>
        <v>-0.0019049</v>
      </c>
      <c r="U3">
        <f t="shared" si="2"/>
        <v>0.0120076</v>
      </c>
      <c r="V3">
        <v>0.35</v>
      </c>
    </row>
    <row r="4" spans="1:22">
      <c r="A4" t="s">
        <v>66</v>
      </c>
      <c r="B4" s="1">
        <v>43101</v>
      </c>
      <c r="C4" s="1">
        <v>43107</v>
      </c>
      <c r="D4">
        <v>50000</v>
      </c>
      <c r="E4">
        <v>2</v>
      </c>
      <c r="F4">
        <v>0</v>
      </c>
      <c r="G4">
        <v>0</v>
      </c>
      <c r="H4">
        <v>3</v>
      </c>
      <c r="I4" t="s">
        <v>67</v>
      </c>
      <c r="J4">
        <v>5</v>
      </c>
      <c r="K4" t="s">
        <v>68</v>
      </c>
      <c r="L4" t="s">
        <v>69</v>
      </c>
      <c r="M4" t="b">
        <v>1</v>
      </c>
      <c r="N4" s="2">
        <v>-715.09</v>
      </c>
      <c r="O4">
        <v>0</v>
      </c>
      <c r="P4">
        <v>0</v>
      </c>
      <c r="Q4" s="2">
        <f t="shared" si="0"/>
        <v>-715.09</v>
      </c>
      <c r="R4">
        <v>1200.76</v>
      </c>
      <c r="S4">
        <v>-2599.34</v>
      </c>
      <c r="T4">
        <f t="shared" si="1"/>
        <v>-0.0519868</v>
      </c>
      <c r="U4">
        <f t="shared" si="2"/>
        <v>-0.0143018</v>
      </c>
      <c r="V4">
        <v>-0.065</v>
      </c>
    </row>
    <row r="5" customFormat="1" spans="1:22">
      <c r="A5" t="s">
        <v>66</v>
      </c>
      <c r="B5" s="1">
        <v>43101</v>
      </c>
      <c r="C5" s="1">
        <v>43107</v>
      </c>
      <c r="D5">
        <v>10000</v>
      </c>
      <c r="E5">
        <v>10</v>
      </c>
      <c r="F5">
        <v>0</v>
      </c>
      <c r="G5">
        <v>0</v>
      </c>
      <c r="H5">
        <v>3</v>
      </c>
      <c r="I5" t="s">
        <v>67</v>
      </c>
      <c r="J5">
        <v>5</v>
      </c>
      <c r="K5" t="s">
        <v>68</v>
      </c>
      <c r="L5" t="s">
        <v>69</v>
      </c>
      <c r="M5" t="b">
        <v>1</v>
      </c>
      <c r="N5" s="2">
        <v>-715.09</v>
      </c>
      <c r="O5">
        <v>0</v>
      </c>
      <c r="P5">
        <v>0</v>
      </c>
      <c r="Q5" s="2">
        <f t="shared" si="0"/>
        <v>-715.09</v>
      </c>
      <c r="R5">
        <v>1200.76</v>
      </c>
      <c r="S5">
        <v>-2599.34</v>
      </c>
      <c r="T5">
        <f t="shared" si="1"/>
        <v>-0.259934</v>
      </c>
      <c r="U5">
        <f t="shared" si="2"/>
        <v>-0.071509</v>
      </c>
      <c r="V5">
        <v>-0.065</v>
      </c>
    </row>
    <row r="6" customFormat="1" spans="1:22">
      <c r="A6" t="s">
        <v>66</v>
      </c>
      <c r="B6" s="1">
        <v>43101</v>
      </c>
      <c r="C6" s="1">
        <v>43107</v>
      </c>
      <c r="D6">
        <v>100000</v>
      </c>
      <c r="E6">
        <v>1</v>
      </c>
      <c r="F6">
        <v>0.1</v>
      </c>
      <c r="G6">
        <v>0.1</v>
      </c>
      <c r="H6">
        <v>3</v>
      </c>
      <c r="I6" t="s">
        <v>67</v>
      </c>
      <c r="J6">
        <v>5</v>
      </c>
      <c r="K6" t="s">
        <v>68</v>
      </c>
      <c r="L6" t="s">
        <v>69</v>
      </c>
      <c r="M6" t="b">
        <v>1</v>
      </c>
      <c r="N6" s="2">
        <v>-715.09</v>
      </c>
      <c r="O6">
        <v>1199.5</v>
      </c>
      <c r="P6">
        <v>1199.5</v>
      </c>
      <c r="Q6" s="2">
        <f t="shared" si="0"/>
        <v>-3114.09</v>
      </c>
      <c r="R6">
        <v>257.578079999998</v>
      </c>
      <c r="S6">
        <v>-4594.29232</v>
      </c>
      <c r="T6">
        <f t="shared" si="1"/>
        <v>-0.0459429232</v>
      </c>
      <c r="U6">
        <f t="shared" si="2"/>
        <v>-0.0311409</v>
      </c>
      <c r="V6">
        <v>-0.065</v>
      </c>
    </row>
    <row r="7" spans="1:22">
      <c r="A7" t="s">
        <v>66</v>
      </c>
      <c r="B7" s="1">
        <v>43101</v>
      </c>
      <c r="C7" s="1">
        <v>43107</v>
      </c>
      <c r="D7">
        <v>50000</v>
      </c>
      <c r="E7">
        <v>2</v>
      </c>
      <c r="F7">
        <v>0.2</v>
      </c>
      <c r="G7">
        <v>0</v>
      </c>
      <c r="H7">
        <v>3</v>
      </c>
      <c r="I7" t="s">
        <v>67</v>
      </c>
      <c r="J7">
        <v>5</v>
      </c>
      <c r="K7" t="s">
        <v>68</v>
      </c>
      <c r="L7" t="s">
        <v>69</v>
      </c>
      <c r="M7" t="b">
        <v>1</v>
      </c>
      <c r="N7" s="2">
        <v>-715.09</v>
      </c>
      <c r="O7">
        <v>2399</v>
      </c>
      <c r="P7">
        <v>0</v>
      </c>
      <c r="Q7" s="2">
        <f t="shared" si="0"/>
        <v>-3114.09</v>
      </c>
      <c r="R7">
        <v>257.578079999998</v>
      </c>
      <c r="S7">
        <v>-4594.29232</v>
      </c>
      <c r="T7">
        <f t="shared" si="1"/>
        <v>-0.0918858464</v>
      </c>
      <c r="U7">
        <f t="shared" si="2"/>
        <v>-0.0622818</v>
      </c>
      <c r="V7">
        <v>-0.065</v>
      </c>
    </row>
    <row r="8" spans="1:22">
      <c r="A8" t="s">
        <v>66</v>
      </c>
      <c r="B8" s="1">
        <v>43101</v>
      </c>
      <c r="C8" s="1">
        <v>43107</v>
      </c>
      <c r="D8">
        <v>100000</v>
      </c>
      <c r="E8">
        <v>1</v>
      </c>
      <c r="F8">
        <v>0.1</v>
      </c>
      <c r="G8">
        <v>0.1</v>
      </c>
      <c r="H8">
        <v>3</v>
      </c>
      <c r="I8" t="s">
        <v>67</v>
      </c>
      <c r="J8">
        <v>3</v>
      </c>
      <c r="K8" t="s">
        <v>68</v>
      </c>
      <c r="L8" t="s">
        <v>69</v>
      </c>
      <c r="M8" t="b">
        <v>1</v>
      </c>
      <c r="N8" s="2">
        <v>3253.61</v>
      </c>
      <c r="O8">
        <v>1203.50681</v>
      </c>
      <c r="P8">
        <v>1203.50681</v>
      </c>
      <c r="Q8" s="2">
        <f t="shared" si="0"/>
        <v>846.59638</v>
      </c>
      <c r="R8">
        <v>1551.56898</v>
      </c>
      <c r="S8">
        <v>-2257.96172</v>
      </c>
      <c r="T8">
        <f t="shared" si="1"/>
        <v>-0.0225796172</v>
      </c>
      <c r="U8">
        <f t="shared" si="2"/>
        <v>0.0084659638</v>
      </c>
      <c r="V8">
        <v>0.220011260542945</v>
      </c>
    </row>
    <row r="9" spans="1:22">
      <c r="A9" t="s">
        <v>66</v>
      </c>
      <c r="B9" s="1">
        <v>43101</v>
      </c>
      <c r="C9" s="1">
        <v>43107</v>
      </c>
      <c r="D9">
        <v>100000</v>
      </c>
      <c r="E9">
        <v>1</v>
      </c>
      <c r="F9">
        <v>0.1</v>
      </c>
      <c r="G9">
        <v>0.1</v>
      </c>
      <c r="H9">
        <v>3</v>
      </c>
      <c r="I9" t="s">
        <v>67</v>
      </c>
      <c r="J9">
        <v>3</v>
      </c>
      <c r="K9" t="s">
        <v>68</v>
      </c>
      <c r="L9" t="s">
        <v>69</v>
      </c>
      <c r="M9" t="b">
        <v>0</v>
      </c>
      <c r="N9" s="2">
        <v>-1979.54</v>
      </c>
      <c r="O9">
        <v>1197.64366</v>
      </c>
      <c r="P9">
        <v>1197.64366</v>
      </c>
      <c r="Q9" s="2">
        <f t="shared" si="0"/>
        <v>-4374.82732</v>
      </c>
      <c r="R9">
        <v>257.578079999998</v>
      </c>
      <c r="S9">
        <v>-7419.81022</v>
      </c>
      <c r="T9">
        <f t="shared" si="1"/>
        <v>-0.0741981022</v>
      </c>
      <c r="U9">
        <f t="shared" si="2"/>
        <v>-0.0437482732</v>
      </c>
      <c r="V9">
        <v>-0.148721483781293</v>
      </c>
    </row>
    <row r="10" spans="1:22">
      <c r="A10" t="s">
        <v>66</v>
      </c>
      <c r="B10" s="1">
        <v>43101</v>
      </c>
      <c r="C10" s="1">
        <v>43107</v>
      </c>
      <c r="D10">
        <v>25000</v>
      </c>
      <c r="E10">
        <v>4</v>
      </c>
      <c r="F10">
        <v>0</v>
      </c>
      <c r="G10">
        <v>0</v>
      </c>
      <c r="H10">
        <v>3</v>
      </c>
      <c r="I10" t="s">
        <v>67</v>
      </c>
      <c r="J10">
        <v>1</v>
      </c>
      <c r="K10" t="s">
        <v>68</v>
      </c>
      <c r="L10" t="s">
        <v>69</v>
      </c>
      <c r="M10" t="b">
        <v>0</v>
      </c>
      <c r="N10" s="2">
        <v>-9877.19999999998</v>
      </c>
      <c r="O10">
        <v>0</v>
      </c>
      <c r="P10">
        <v>0</v>
      </c>
      <c r="Q10" s="2">
        <f t="shared" si="0"/>
        <v>-9877.19999999998</v>
      </c>
      <c r="R10">
        <v>-625.799999999985</v>
      </c>
      <c r="S10">
        <v>-9877.19999999998</v>
      </c>
      <c r="T10">
        <f t="shared" si="1"/>
        <v>-0.395087999999999</v>
      </c>
      <c r="U10">
        <f t="shared" si="2"/>
        <v>-0.395087999999999</v>
      </c>
      <c r="V10">
        <v>-1.04549172768741</v>
      </c>
    </row>
    <row r="11" spans="1:22">
      <c r="A11" t="s">
        <v>66</v>
      </c>
      <c r="B11" s="1">
        <v>43101</v>
      </c>
      <c r="C11" s="1">
        <v>43107</v>
      </c>
      <c r="D11">
        <v>100000</v>
      </c>
      <c r="E11">
        <v>1</v>
      </c>
      <c r="F11">
        <v>0</v>
      </c>
      <c r="G11">
        <v>0</v>
      </c>
      <c r="H11">
        <v>1</v>
      </c>
      <c r="I11" t="s">
        <v>67</v>
      </c>
      <c r="J11">
        <v>5</v>
      </c>
      <c r="K11" t="s">
        <v>68</v>
      </c>
      <c r="L11" t="s">
        <v>69</v>
      </c>
      <c r="M11" t="b">
        <v>1</v>
      </c>
      <c r="N11" s="2">
        <v>4907.56</v>
      </c>
      <c r="O11">
        <v>0</v>
      </c>
      <c r="P11">
        <v>0</v>
      </c>
      <c r="Q11" s="2">
        <f t="shared" si="0"/>
        <v>4907.56</v>
      </c>
      <c r="R11">
        <v>4907.56</v>
      </c>
      <c r="S11">
        <v>394.459999999999</v>
      </c>
      <c r="T11">
        <f t="shared" si="1"/>
        <v>0.00394459999999999</v>
      </c>
      <c r="U11">
        <f t="shared" si="2"/>
        <v>0.0490756</v>
      </c>
      <c r="V11">
        <v>0.539575764445307</v>
      </c>
    </row>
    <row r="12" spans="1:22">
      <c r="A12" t="s">
        <v>70</v>
      </c>
      <c r="B12" s="1">
        <v>43101</v>
      </c>
      <c r="C12" s="1">
        <v>43107</v>
      </c>
      <c r="D12">
        <v>100000</v>
      </c>
      <c r="E12">
        <v>3</v>
      </c>
      <c r="F12">
        <v>0.1</v>
      </c>
      <c r="G12">
        <v>0.1</v>
      </c>
      <c r="H12">
        <v>3</v>
      </c>
      <c r="I12" t="s">
        <v>71</v>
      </c>
      <c r="J12">
        <v>5</v>
      </c>
      <c r="K12" t="s">
        <v>68</v>
      </c>
      <c r="L12" t="s">
        <v>69</v>
      </c>
      <c r="M12" t="b">
        <v>1</v>
      </c>
      <c r="N12" s="2">
        <v>23169.8900000001</v>
      </c>
      <c r="O12">
        <v>3619.47635</v>
      </c>
      <c r="P12">
        <v>3619.47635</v>
      </c>
      <c r="Q12" s="2">
        <f t="shared" si="0"/>
        <v>15930.9373000001</v>
      </c>
      <c r="R12">
        <v>15930.9373000001</v>
      </c>
      <c r="S12">
        <v>-8874.93291999994</v>
      </c>
      <c r="T12">
        <f t="shared" si="1"/>
        <v>-0.0887493291999994</v>
      </c>
      <c r="U12">
        <f t="shared" si="2"/>
        <v>0.159309373000001</v>
      </c>
      <c r="V12">
        <v>0.335162811952196</v>
      </c>
    </row>
    <row r="13" spans="14:14">
      <c r="N13" s="2"/>
    </row>
    <row r="14" spans="14:14">
      <c r="N14" s="2"/>
    </row>
    <row r="15" spans="14:14">
      <c r="N15" s="2"/>
    </row>
    <row r="16" spans="14:14">
      <c r="N16" s="2"/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" sqref="A1"/>
    </sheetView>
  </sheetViews>
  <sheetFormatPr defaultColWidth="9" defaultRowHeight="12.75"/>
  <sheetData>
    <row r="1" spans="1:1">
      <c r="A1" t="s">
        <v>72</v>
      </c>
    </row>
    <row r="2" spans="1:1">
      <c r="A2" t="s">
        <v>73</v>
      </c>
    </row>
    <row r="9" spans="1:1">
      <c r="A9" t="s">
        <v>74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Parameters</vt:lpstr>
      <vt:lpstr>Test</vt:lpstr>
      <vt:lpstr>Pivot</vt:lpstr>
      <vt:lpstr>Result</vt:lpstr>
      <vt:lpstr>Instructions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2018-07-24T19:28:00Z</dcterms:created>
  <dcterms:modified xsi:type="dcterms:W3CDTF">2018-09-25T12:40:48Z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16393ﭭ翽-10.1.0.5707</vt:lpwstr>
  </property>
</Properties>
</file>