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b-adr1399-vref-kicost" sheetId="1" r:id="rId1"/>
  </sheets>
  <definedNames>
    <definedName name="arrow_part_data" localSheetId="0">'pcb-adr1399-vref-kicost'!$H$5:$M$21</definedName>
    <definedName name="BoardQty" localSheetId="0">'pcb-adr1399-vref-kicost'!$G$1</definedName>
    <definedName name="digikey_part_data" localSheetId="0">'pcb-adr1399-vref-kicost'!$N$5:$S$21</definedName>
    <definedName name="EUR_GBP" localSheetId="0">'pcb-adr1399-vref-kicost'!$C$24</definedName>
    <definedName name="EUR_USD" localSheetId="0">'pcb-adr1399-vref-kicost'!$C$25</definedName>
    <definedName name="farnell_part_data" localSheetId="0">'pcb-adr1399-vref-kicost'!$T$5:$Y$21</definedName>
    <definedName name="global_part_data" localSheetId="0">'pcb-adr1399-vref-kicost'!$A$5:$G$21</definedName>
    <definedName name="lcsc_part_data" localSheetId="0">'pcb-adr1399-vref-kicost'!$Z$5:$AE$21</definedName>
    <definedName name="mouser_part_data" localSheetId="0">'pcb-adr1399-vref-kicost'!$AF$5:$AK$21</definedName>
    <definedName name="newark_part_data" localSheetId="0">'pcb-adr1399-vref-kicost'!$AL$5:$AQ$21</definedName>
    <definedName name="PURCHASE_DESCRIPTION" localSheetId="0">'pcb-adr1399-vref-kicost'!$G$24</definedName>
    <definedName name="rs_part_data" localSheetId="0">'pcb-adr1399-vref-kicost'!$AR$5:$AW$21</definedName>
    <definedName name="tme_part_data" localSheetId="0">'pcb-adr1399-vref-kicost'!$AX$5:$BC$21</definedName>
    <definedName name="TotalCost" localSheetId="0">'pcb-adr1399-vref-kicost'!$G$3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J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$8.84      $8.84
     5   $8.18     $40.88
    10   $7.51     $75.14
    25   $7.07    $176.80
    50   $6.63    $331.50
   100   $6.19    $618.80
   250   $6.08  $1,519.38
   500   $5.97  $2,983.50
  1000   $5.88  $5,878.60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£7.03      £7.03
     5   £6.75     £33.75
    10   £6.47     £64.70
    20   £6.17    £123.40
    50   £5.46    £273.00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$7.96      $7.96
    10   $7.33     $73.30
    50   $6.62    $331.00
   100   $6.18    $618.00
  1000   $5.87  $5,870.00
 10000   $5.87 $58,700.00</t>
        </r>
      </text>
    </comment>
    <comment ref="AN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$9.35      $9.35
     5   $9.07     $45.35
    10   $8.59     $85.90</t>
        </r>
      </text>
    </comment>
    <comment ref="AR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£5.97      £5.97</t>
        </r>
      </text>
    </comment>
    <comment ref="AX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Z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£6.24      £6.24
    10   £5.11     £51.10
    50   £4.67    £233.50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$1.00      $1.00
    10   $0.84      $8.45
    25   $0.81     $20.27
    50   $0.79     $39.68
   100   $0.76     $75.90
   250   $0.69    $172.50
   500   $0.62    $310.50
  1000   $0.55    $552.00
  2500   $0.50  $1,250.62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H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 10   $2.25     $22.50
    50   $2.19    $109.50
   100   $2.14    $214.00
  1000   $2.04  $2,040.00
 10000   $2.03 $20,300.00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$2.25    $225.00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 10   $2.25     $22.50
    50   $2.19    $109.50
   100   $2.14    $214.00
  1000   $2.04  $2,040.00
 10000   $2.03 $20,300.00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100   $2.25    $225.00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€7.38      €7.38
    10   €6.52     €65.20
    30   €6.38    €191.48
   100   €6.18    €617.95
   102   €6.18    €630.31
   104   €6.18    €642.67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$11.74     $11.74
    10  $10.60    $106.00
    50  $10.11    $505.50
   100   $8.77    $877.00
  1000   $6.97  $6,970.00
 10000   $6.97 $69,700.00</t>
        </r>
      </text>
    </comment>
    <comment ref="F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<sst xmlns="http://schemas.openxmlformats.org/spreadsheetml/2006/main" count="175" uniqueCount="110">
  <si>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</si>
  <si>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</si>
  <si>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</si>
  <si>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</si>
  <si>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</si>
  <si>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</si>
  <si>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</si>
  <si>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</si>
  <si>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</t>
  </si>
  <si>
    <t>10u</t>
  </si>
  <si>
    <t>C_1206_3216Metric_Pad1.33x1.80mm_HandSolder</t>
  </si>
  <si>
    <t/>
  </si>
  <si>
    <t>C2,C4</t>
  </si>
  <si>
    <t>100n</t>
  </si>
  <si>
    <t>C_0805_2012Metric_Pad1.18x1.45mm_HandSolder</t>
  </si>
  <si>
    <t>C3</t>
  </si>
  <si>
    <t>1u</t>
  </si>
  <si>
    <t>ENCLOSURE1</t>
  </si>
  <si>
    <t>1455D602</t>
  </si>
  <si>
    <t>J1</t>
  </si>
  <si>
    <t>Barrel_Jack_Switch</t>
  </si>
  <si>
    <t>54-00130</t>
  </si>
  <si>
    <t>J2</t>
  </si>
  <si>
    <t>CT3151SP-2</t>
  </si>
  <si>
    <t>CT3151SP</t>
  </si>
  <si>
    <t>J3</t>
  </si>
  <si>
    <t>CT3151SP-0</t>
  </si>
  <si>
    <t>NT1,NT2</t>
  </si>
  <si>
    <t>NetTie_3_Tee</t>
  </si>
  <si>
    <t>NetTie-3_SMD_Pad0.5mm</t>
  </si>
  <si>
    <t>R1</t>
  </si>
  <si>
    <t>200K</t>
  </si>
  <si>
    <t>R_0805_2012Metric_Pad1.20x1.40mm_HandSolder</t>
  </si>
  <si>
    <t>R2</t>
  </si>
  <si>
    <t>5R1</t>
  </si>
  <si>
    <t>R3</t>
  </si>
  <si>
    <t>5K</t>
  </si>
  <si>
    <t>R4</t>
  </si>
  <si>
    <t>19K</t>
  </si>
  <si>
    <t>R5</t>
  </si>
  <si>
    <t>8K8</t>
  </si>
  <si>
    <t>U1</t>
  </si>
  <si>
    <t>ADR1399</t>
  </si>
  <si>
    <t>Analog_TO-46-4_ThermalShield</t>
  </si>
  <si>
    <t>https://www.analog.com/media/en/technical-documentation/data-sheets/adr1399.pdf</t>
  </si>
  <si>
    <t>U2</t>
  </si>
  <si>
    <t>LT1012</t>
  </si>
  <si>
    <t>SO-8_3.9x4.9mm_P1.27mm</t>
  </si>
  <si>
    <t>LT1012ACS8#PBF</t>
  </si>
  <si>
    <t>Total Purchase:</t>
  </si>
  <si>
    <t>Purchase description:</t>
  </si>
  <si>
    <t>Used currency rates:</t>
  </si>
  <si>
    <t>EUR(€)/GBP(£):</t>
  </si>
  <si>
    <t>EUR(€)/USD($):</t>
  </si>
  <si>
    <t>Prj:</t>
  </si>
  <si>
    <t>Cover</t>
  </si>
  <si>
    <t>Co.:</t>
  </si>
  <si>
    <t>GPA Robotics</t>
  </si>
  <si>
    <t>Prj date:</t>
  </si>
  <si>
    <t>Thu Feb  3 21:59:40 2022</t>
  </si>
  <si>
    <t>Board Qty:</t>
  </si>
  <si>
    <t>Total Cost:</t>
  </si>
  <si>
    <t>Unit Cost:</t>
  </si>
  <si>
    <t>$ date:</t>
  </si>
  <si>
    <t>2022-02-03 21:59:42</t>
  </si>
  <si>
    <t>Arrow</t>
  </si>
  <si>
    <t>Avail</t>
  </si>
  <si>
    <t>Purch</t>
  </si>
  <si>
    <t>Cat#</t>
  </si>
  <si>
    <t>URL</t>
  </si>
  <si>
    <t>Buy here</t>
  </si>
  <si>
    <t>Digi-Key</t>
  </si>
  <si>
    <t>HM1354-ND</t>
  </si>
  <si>
    <t>https://octopart.com/click/track?ai=8078&amp;sig=0cb7395&amp;sid=459&amp;ppid=28340138&amp;vpid=76306188&amp;ct=offers</t>
  </si>
  <si>
    <t>839-1513-ND</t>
  </si>
  <si>
    <t>https://octopart.com/click/track?ai=8078&amp;sig=071c63c&amp;sid=459&amp;ppid=96405016&amp;vpid=507248526&amp;ct=offers</t>
  </si>
  <si>
    <t>BKCT3151SP-2-ND</t>
  </si>
  <si>
    <t>https://octopart.com/click/track?ai=8078&amp;sig=02b058f&amp;sid=459&amp;ppid=50526756&amp;vpid=418719136&amp;ct=offers</t>
  </si>
  <si>
    <t>BKCT3151SP-0-ND</t>
  </si>
  <si>
    <t>https://octopart.com/click/track?ai=8078&amp;sig=047663a&amp;sid=459&amp;ppid=50526754&amp;vpid=418719134&amp;ct=offers</t>
  </si>
  <si>
    <t>Farnell</t>
  </si>
  <si>
    <t>2904322</t>
  </si>
  <si>
    <t>https://octopart.com/click/track?ai=8078&amp;sig=0acd24c&amp;sid=11744&amp;ppid=28340138&amp;vpid=492770581&amp;ct=offers</t>
  </si>
  <si>
    <t>LCSC</t>
  </si>
  <si>
    <t>C661499</t>
  </si>
  <si>
    <t>https://octopart.com/click/track?ai=8078&amp;sig=031afca&amp;sid=27971&amp;ppid=88313649&amp;vpid=787301224&amp;ct=offers</t>
  </si>
  <si>
    <t>Mouser</t>
  </si>
  <si>
    <t>5461455D602</t>
  </si>
  <si>
    <t>https://octopart.com/click/track?ai=8078&amp;sig=0629946&amp;sid=2401&amp;ppid=28340138&amp;vpid=78640981&amp;ct=offers</t>
  </si>
  <si>
    <t>510CT3151SP2</t>
  </si>
  <si>
    <t>https://octopart.com/click/track?c=1&amp;ai=8078&amp;sig=01879ca&amp;sid=2401&amp;ppid=50526756&amp;vpid=473027210&amp;ct=offers</t>
  </si>
  <si>
    <t>NonStk</t>
  </si>
  <si>
    <t>510CT3151SP0</t>
  </si>
  <si>
    <t>https://octopart.com/click/track?ai=8078&amp;sig=0ec8a22&amp;sid=2401&amp;ppid=50526754&amp;vpid=473027208&amp;ct=offers</t>
  </si>
  <si>
    <t>584LT1012ACS8#PBF</t>
  </si>
  <si>
    <t>https://octopart.com/click/track?ai=8078&amp;sig=0f23bc1&amp;sid=2401&amp;ppid=88313649&amp;vpid=457792054&amp;ct=offers</t>
  </si>
  <si>
    <t>Newark</t>
  </si>
  <si>
    <t>85W3675</t>
  </si>
  <si>
    <t>https://octopart.com/click/track?ai=8078&amp;sig=03f6405&amp;sid=2402&amp;ppid=28340138&amp;vpid=76730205&amp;ct=offers</t>
  </si>
  <si>
    <t>92AH3800</t>
  </si>
  <si>
    <t>https://octopart.com/click/track?c=1&amp;ai=8078&amp;sig=0fb03cb&amp;sid=2402&amp;ppid=50526756&amp;vpid=669023706&amp;ct=offers</t>
  </si>
  <si>
    <t>92AH3722</t>
  </si>
  <si>
    <t>https://octopart.com/click/track?c=1&amp;ai=8078&amp;sig=04003a9&amp;sid=2402&amp;ppid=50526754&amp;vpid=669023705&amp;ct=offers</t>
  </si>
  <si>
    <t>RS Components</t>
  </si>
  <si>
    <t>2256344</t>
  </si>
  <si>
    <t>https://octopart.com/click/track?c=1&amp;ai=8078&amp;sig=05e175c&amp;sid=10022&amp;ppid=28340138&amp;vpid=768638479&amp;ct=offers</t>
  </si>
  <si>
    <t>TME</t>
  </si>
  <si>
    <t>HM1455D602</t>
  </si>
  <si>
    <t>https://octopart.com/click/track?ai=8078&amp;sig=07f9df6&amp;sid=1532&amp;ppid=28340138&amp;vpid=707908770&amp;ct=offers</t>
  </si>
  <si>
    <t>KiCost® v.1.1.5</t>
  </si>
</sst>
</file>

<file path=xl/styles.xml><?xml version="1.0" encoding="utf-8"?>
<styleSheet xmlns="http://schemas.openxmlformats.org/spreadsheetml/2006/main">
  <numFmts count="1">
    <numFmt numFmtId="164" formatCode="€#,##0.00"/>
    <numFmt numFmtId="164" formatCode="€#,##0.00"/>
    <numFmt numFmtId="164" formatCode="€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ammondmfg.com/pdf/1455D602.pdf" TargetMode="External"/><Relationship Id="rId2" Type="http://schemas.openxmlformats.org/officeDocument/2006/relationships/hyperlink" Target="https://octopart.com/click/track?ai=8078&amp;sig=0cb7395&amp;sid=459&amp;ppid=28340138&amp;vpid=76306188&amp;ct=offers" TargetMode="External"/><Relationship Id="rId3" Type="http://schemas.openxmlformats.org/officeDocument/2006/relationships/hyperlink" Target="https://octopart.com/click/track?ai=8078&amp;sig=0acd24c&amp;sid=11744&amp;ppid=28340138&amp;vpid=492770581&amp;ct=offers" TargetMode="External"/><Relationship Id="rId4" Type="http://schemas.openxmlformats.org/officeDocument/2006/relationships/hyperlink" Target="https://octopart.com/click/track?ai=8078&amp;sig=0629946&amp;sid=2401&amp;ppid=28340138&amp;vpid=78640981&amp;ct=offers" TargetMode="External"/><Relationship Id="rId5" Type="http://schemas.openxmlformats.org/officeDocument/2006/relationships/hyperlink" Target="https://octopart.com/click/track?ai=8078&amp;sig=03f6405&amp;sid=2402&amp;ppid=28340138&amp;vpid=76730205&amp;ct=offers" TargetMode="External"/><Relationship Id="rId6" Type="http://schemas.openxmlformats.org/officeDocument/2006/relationships/hyperlink" Target="https://octopart.com/click/track?c=1&amp;ai=8078&amp;sig=05e175c&amp;sid=10022&amp;ppid=28340138&amp;vpid=768638479&amp;ct=offers" TargetMode="External"/><Relationship Id="rId7" Type="http://schemas.openxmlformats.org/officeDocument/2006/relationships/hyperlink" Target="https://octopart.com/click/track?ai=8078&amp;sig=07f9df6&amp;sid=1532&amp;ppid=28340138&amp;vpid=707908770&amp;ct=offers" TargetMode="External"/><Relationship Id="rId8" Type="http://schemas.openxmlformats.org/officeDocument/2006/relationships/hyperlink" Target="https://octopart.com/click/track?ai=8078&amp;sig=071c63c&amp;sid=459&amp;ppid=96405016&amp;vpid=507248526&amp;ct=offers" TargetMode="External"/><Relationship Id="rId9" Type="http://schemas.openxmlformats.org/officeDocument/2006/relationships/hyperlink" Target="https://media.digikey.com/pdf/Data%20Sheets/Cal%20Test%20PDFs/Catalog.pdf" TargetMode="External"/><Relationship Id="rId10" Type="http://schemas.openxmlformats.org/officeDocument/2006/relationships/hyperlink" Target="https://octopart.com/click/track?ai=8078&amp;sig=02b058f&amp;sid=459&amp;ppid=50526756&amp;vpid=418719136&amp;ct=offers" TargetMode="External"/><Relationship Id="rId11" Type="http://schemas.openxmlformats.org/officeDocument/2006/relationships/hyperlink" Target="https://octopart.com/click/track?c=1&amp;ai=8078&amp;sig=01879ca&amp;sid=2401&amp;ppid=50526756&amp;vpid=473027210&amp;ct=offers" TargetMode="External"/><Relationship Id="rId12" Type="http://schemas.openxmlformats.org/officeDocument/2006/relationships/hyperlink" Target="https://octopart.com/click/track?c=1&amp;ai=8078&amp;sig=0fb03cb&amp;sid=2402&amp;ppid=50526756&amp;vpid=669023706&amp;ct=offers" TargetMode="External"/><Relationship Id="rId13" Type="http://schemas.openxmlformats.org/officeDocument/2006/relationships/hyperlink" Target="https://media.digikey.com/pdf/Data%20Sheets/Cal%20Test%20PDFs/Catalog.pdf" TargetMode="External"/><Relationship Id="rId14" Type="http://schemas.openxmlformats.org/officeDocument/2006/relationships/hyperlink" Target="https://octopart.com/click/track?ai=8078&amp;sig=047663a&amp;sid=459&amp;ppid=50526754&amp;vpid=418719134&amp;ct=offers" TargetMode="External"/><Relationship Id="rId15" Type="http://schemas.openxmlformats.org/officeDocument/2006/relationships/hyperlink" Target="https://octopart.com/click/track?ai=8078&amp;sig=0ec8a22&amp;sid=2401&amp;ppid=50526754&amp;vpid=473027208&amp;ct=offers" TargetMode="External"/><Relationship Id="rId16" Type="http://schemas.openxmlformats.org/officeDocument/2006/relationships/hyperlink" Target="https://octopart.com/click/track?c=1&amp;ai=8078&amp;sig=04003a9&amp;sid=2402&amp;ppid=50526754&amp;vpid=669023705&amp;ct=offers" TargetMode="External"/><Relationship Id="rId17" Type="http://schemas.openxmlformats.org/officeDocument/2006/relationships/hyperlink" Target="https://www.analog.com/media/en/technical-documentation/data-sheets/adr1399.pdf" TargetMode="External"/><Relationship Id="rId18" Type="http://schemas.openxmlformats.org/officeDocument/2006/relationships/hyperlink" Target="https://www.analog.com/media/en/technical-documentation/data-sheets/lt1012.pdf" TargetMode="External"/><Relationship Id="rId19" Type="http://schemas.openxmlformats.org/officeDocument/2006/relationships/hyperlink" Target="https://octopart.com/click/track?ai=8078&amp;sig=031afca&amp;sid=27971&amp;ppid=88313649&amp;vpid=787301224&amp;ct=offers" TargetMode="External"/><Relationship Id="rId20" Type="http://schemas.openxmlformats.org/officeDocument/2006/relationships/hyperlink" Target="https://octopart.com/click/track?ai=8078&amp;sig=0f23bc1&amp;sid=2401&amp;ppid=88313649&amp;vpid=457792054&amp;ct=offers" TargetMode="External"/><Relationship Id="rId21" Type="http://schemas.openxmlformats.org/officeDocument/2006/relationships/hyperlink" Target="https://www.arrow.com/en/bom-tool/" TargetMode="External"/><Relationship Id="rId22" Type="http://schemas.openxmlformats.org/officeDocument/2006/relationships/hyperlink" Target="https://www.digikey.com/ordering/shoppingcart" TargetMode="External"/><Relationship Id="rId23" Type="http://schemas.openxmlformats.org/officeDocument/2006/relationships/hyperlink" Target="https://fr.farnell.com/en-FR/quick-order?isQuickPaste=true" TargetMode="External"/><Relationship Id="rId24" Type="http://schemas.openxmlformats.org/officeDocument/2006/relationships/hyperlink" Target="https://lcsc.com/bom.html" TargetMode="External"/><Relationship Id="rId25" Type="http://schemas.openxmlformats.org/officeDocument/2006/relationships/hyperlink" Target="https://mouser.com/bom/" TargetMode="External"/><Relationship Id="rId26" Type="http://schemas.openxmlformats.org/officeDocument/2006/relationships/hyperlink" Target="https://www.newark.com/quick-order?isQuickPaste=true" TargetMode="External"/><Relationship Id="rId27" Type="http://schemas.openxmlformats.org/officeDocument/2006/relationships/hyperlink" Target="https://uk.rs-online.com/web/mylists/manualQuotes.html?method=showEnquiryCreationPage&amp;mode=new" TargetMode="External"/><Relationship Id="rId28" Type="http://schemas.openxmlformats.org/officeDocument/2006/relationships/hyperlink" Target="https://www.tme.eu/en/Profile/QuickBuy/load.html" TargetMode="External"/><Relationship Id="rId29" Type="http://schemas.openxmlformats.org/officeDocument/2006/relationships/vmlDrawing" Target="../drawings/vmlDrawing1.vm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11.7109375" customWidth="1"/>
    <col min="2" max="2" width="19.7109375" customWidth="1"/>
    <col min="3" max="3" width="33.7109375" customWidth="1" outlineLevel="2"/>
    <col min="4" max="4" width="33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9.140625" outlineLevel="2"/>
    <col min="11" max="11" width="16.7109375" customWidth="1"/>
    <col min="12" max="12" width="16.7109375" customWidth="1" outlineLevel="2"/>
    <col min="13" max="13" width="16.7109375" customWidth="1" outlineLevel="2"/>
    <col min="14" max="14" width="9.7109375" customWidth="1" outlineLevel="1"/>
    <col min="15" max="15" width="9.140625" outlineLevel="2"/>
    <col min="16" max="16" width="9.140625" outlineLevel="2"/>
    <col min="17" max="17" width="16.7109375" customWidth="1"/>
    <col min="18" max="18" width="16.7109375" customWidth="1" outlineLevel="2"/>
    <col min="19" max="19" width="33.7109375" customWidth="1" outlineLevel="2"/>
    <col min="20" max="20" width="9.7109375" customWidth="1" outlineLevel="1"/>
    <col min="21" max="21" width="9.140625" outlineLevel="2"/>
    <col min="22" max="22" width="9.140625" outlineLevel="2"/>
    <col min="23" max="23" width="16.7109375" customWidth="1"/>
    <col min="24" max="24" width="16.7109375" customWidth="1" outlineLevel="2"/>
    <col min="25" max="25" width="33.7109375" customWidth="1" outlineLevel="2"/>
    <col min="26" max="26" width="9.7109375" customWidth="1" outlineLevel="1"/>
    <col min="27" max="27" width="9.140625" outlineLevel="2"/>
    <col min="28" max="28" width="9.140625" outlineLevel="2"/>
    <col min="29" max="29" width="16.7109375" customWidth="1"/>
    <col min="30" max="30" width="16.7109375" customWidth="1" outlineLevel="2"/>
    <col min="31" max="31" width="33.7109375" customWidth="1" outlineLevel="2"/>
    <col min="32" max="32" width="9.7109375" customWidth="1" outlineLevel="1"/>
    <col min="33" max="33" width="9.140625" outlineLevel="2"/>
    <col min="34" max="34" width="9.140625" outlineLevel="2"/>
    <col min="35" max="35" width="16.7109375" customWidth="1"/>
    <col min="36" max="36" width="16.7109375" customWidth="1" outlineLevel="2"/>
    <col min="37" max="37" width="33.7109375" customWidth="1" outlineLevel="2"/>
    <col min="38" max="38" width="9.7109375" customWidth="1" outlineLevel="1"/>
    <col min="39" max="39" width="9.140625" outlineLevel="2"/>
    <col min="40" max="40" width="9.140625" outlineLevel="2"/>
    <col min="41" max="41" width="16.7109375" customWidth="1"/>
    <col min="42" max="42" width="16.7109375" customWidth="1" outlineLevel="2"/>
    <col min="43" max="43" width="33.7109375" customWidth="1" outlineLevel="2"/>
    <col min="44" max="44" width="9.7109375" customWidth="1" outlineLevel="1"/>
    <col min="45" max="45" width="9.140625" outlineLevel="2"/>
    <col min="46" max="46" width="9.140625" outlineLevel="2"/>
    <col min="47" max="47" width="16.7109375" customWidth="1"/>
    <col min="48" max="48" width="16.7109375" customWidth="1" outlineLevel="2"/>
    <col min="49" max="49" width="33.7109375" customWidth="1" outlineLevel="2"/>
    <col min="50" max="50" width="9.7109375" customWidth="1" outlineLevel="1"/>
    <col min="51" max="51" width="9.140625" outlineLevel="2"/>
    <col min="52" max="52" width="9.140625" outlineLevel="2"/>
    <col min="53" max="53" width="16.7109375" customWidth="1"/>
    <col min="54" max="54" width="16.7109375" customWidth="1" outlineLevel="2"/>
    <col min="55" max="55" width="33.7109375" customWidth="1" outlineLevel="2"/>
  </cols>
  <sheetData>
    <row r="1" spans="1:55">
      <c r="A1" s="2" t="s">
        <v>54</v>
      </c>
      <c r="B1" s="3" t="s">
        <v>55</v>
      </c>
      <c r="F1" s="4" t="s">
        <v>60</v>
      </c>
      <c r="G1" s="4">
        <v>100</v>
      </c>
    </row>
    <row r="2" spans="1:55">
      <c r="A2" s="2" t="s">
        <v>56</v>
      </c>
      <c r="B2" s="3" t="s">
        <v>57</v>
      </c>
      <c r="F2" s="2" t="s">
        <v>62</v>
      </c>
      <c r="G2" s="5">
        <f>TotalCost/BoardQty</f>
        <v>0</v>
      </c>
    </row>
    <row r="3" spans="1:55">
      <c r="A3" s="2" t="s">
        <v>58</v>
      </c>
      <c r="B3" s="3" t="s">
        <v>59</v>
      </c>
      <c r="F3" s="2" t="s">
        <v>61</v>
      </c>
      <c r="G3" s="6">
        <f>SUM(G7:G21)</f>
        <v>0</v>
      </c>
      <c r="K3" s="6">
        <f>SUM(K7:K21)</f>
        <v>0</v>
      </c>
      <c r="L3" s="7">
        <f>(COUNTA(K7:K21)&amp;" of "&amp;ROWS(K7:K21)&amp;" parts found")</f>
        <v>0</v>
      </c>
      <c r="Q3" s="6">
        <f>SUM(Q7:Q21)</f>
        <v>0</v>
      </c>
      <c r="R3" s="7">
        <f>(COUNTA(Q7:Q21)&amp;" of "&amp;ROWS(Q7:Q21)&amp;" parts found")</f>
        <v>0</v>
      </c>
      <c r="W3" s="6">
        <f>SUM(W7:W21)</f>
        <v>0</v>
      </c>
      <c r="X3" s="7">
        <f>(COUNTA(W7:W21)&amp;" of "&amp;ROWS(W7:W21)&amp;" parts found")</f>
        <v>0</v>
      </c>
      <c r="AC3" s="6">
        <f>SUM(AC7:AC21)</f>
        <v>0</v>
      </c>
      <c r="AD3" s="7">
        <f>(COUNTA(AC7:AC21)&amp;" of "&amp;ROWS(AC7:AC21)&amp;" parts found")</f>
        <v>0</v>
      </c>
      <c r="AI3" s="6">
        <f>SUM(AI7:AI21)</f>
        <v>0</v>
      </c>
      <c r="AJ3" s="7">
        <f>(COUNTA(AI7:AI21)&amp;" of "&amp;ROWS(AI7:AI21)&amp;" parts found")</f>
        <v>0</v>
      </c>
      <c r="AO3" s="6">
        <f>SUM(AO7:AO21)</f>
        <v>0</v>
      </c>
      <c r="AP3" s="7">
        <f>(COUNTA(AO7:AO21)&amp;" of "&amp;ROWS(AO7:AO21)&amp;" parts found")</f>
        <v>0</v>
      </c>
      <c r="AU3" s="6">
        <f>SUM(AU7:AU21)</f>
        <v>0</v>
      </c>
      <c r="AV3" s="7">
        <f>(COUNTA(AU7:AU21)&amp;" of "&amp;ROWS(AU7:AU21)&amp;" parts found")</f>
        <v>0</v>
      </c>
      <c r="BA3" s="6">
        <f>SUM(BA7:BA21)</f>
        <v>0</v>
      </c>
      <c r="BB3" s="7">
        <f>(COUNTA(BA7:BA21)&amp;" of "&amp;ROWS(BA7:BA21)&amp;" parts found")</f>
        <v>0</v>
      </c>
    </row>
    <row r="4" spans="1:55">
      <c r="A4" s="2" t="s">
        <v>63</v>
      </c>
      <c r="B4" s="3" t="s">
        <v>64</v>
      </c>
    </row>
    <row r="5" spans="1:55">
      <c r="A5" s="8" t="s">
        <v>0</v>
      </c>
      <c r="B5" s="8"/>
      <c r="C5" s="8"/>
      <c r="D5" s="8"/>
      <c r="E5" s="8"/>
      <c r="F5" s="8"/>
      <c r="G5" s="8"/>
      <c r="H5" s="9" t="s">
        <v>65</v>
      </c>
      <c r="I5" s="9"/>
      <c r="J5" s="9"/>
      <c r="K5" s="9"/>
      <c r="L5" s="9"/>
      <c r="M5" s="9"/>
      <c r="N5" s="10" t="s">
        <v>71</v>
      </c>
      <c r="O5" s="10"/>
      <c r="P5" s="10"/>
      <c r="Q5" s="10"/>
      <c r="R5" s="10"/>
      <c r="S5" s="10"/>
      <c r="T5" s="11" t="s">
        <v>80</v>
      </c>
      <c r="U5" s="11"/>
      <c r="V5" s="11"/>
      <c r="W5" s="11"/>
      <c r="X5" s="11"/>
      <c r="Y5" s="11"/>
      <c r="Z5" s="12" t="s">
        <v>83</v>
      </c>
      <c r="AA5" s="12"/>
      <c r="AB5" s="12"/>
      <c r="AC5" s="12"/>
      <c r="AD5" s="12"/>
      <c r="AE5" s="12"/>
      <c r="AF5" s="13" t="s">
        <v>86</v>
      </c>
      <c r="AG5" s="13"/>
      <c r="AH5" s="13"/>
      <c r="AI5" s="13"/>
      <c r="AJ5" s="13"/>
      <c r="AK5" s="13"/>
      <c r="AL5" s="14" t="s">
        <v>96</v>
      </c>
      <c r="AM5" s="14"/>
      <c r="AN5" s="14"/>
      <c r="AO5" s="14"/>
      <c r="AP5" s="14"/>
      <c r="AQ5" s="14"/>
      <c r="AR5" s="15" t="s">
        <v>103</v>
      </c>
      <c r="AS5" s="15"/>
      <c r="AT5" s="15"/>
      <c r="AU5" s="15"/>
      <c r="AV5" s="15"/>
      <c r="AW5" s="15"/>
      <c r="AX5" s="16" t="s">
        <v>106</v>
      </c>
      <c r="AY5" s="16"/>
      <c r="AZ5" s="16"/>
      <c r="BA5" s="16"/>
      <c r="BB5" s="16"/>
      <c r="BC5" s="16"/>
    </row>
    <row r="6" spans="1:55">
      <c r="A6" s="17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7" t="s">
        <v>7</v>
      </c>
      <c r="H6" s="17" t="s">
        <v>66</v>
      </c>
      <c r="I6" s="17" t="s">
        <v>67</v>
      </c>
      <c r="J6" s="17" t="s">
        <v>6</v>
      </c>
      <c r="K6" s="17" t="s">
        <v>7</v>
      </c>
      <c r="L6" s="17" t="s">
        <v>68</v>
      </c>
      <c r="M6" s="17" t="s">
        <v>69</v>
      </c>
      <c r="N6" s="17" t="s">
        <v>66</v>
      </c>
      <c r="O6" s="17" t="s">
        <v>67</v>
      </c>
      <c r="P6" s="17" t="s">
        <v>6</v>
      </c>
      <c r="Q6" s="17" t="s">
        <v>7</v>
      </c>
      <c r="R6" s="17" t="s">
        <v>68</v>
      </c>
      <c r="S6" s="17" t="s">
        <v>69</v>
      </c>
      <c r="T6" s="17" t="s">
        <v>66</v>
      </c>
      <c r="U6" s="17" t="s">
        <v>67</v>
      </c>
      <c r="V6" s="17" t="s">
        <v>6</v>
      </c>
      <c r="W6" s="17" t="s">
        <v>7</v>
      </c>
      <c r="X6" s="17" t="s">
        <v>68</v>
      </c>
      <c r="Y6" s="17" t="s">
        <v>69</v>
      </c>
      <c r="Z6" s="17" t="s">
        <v>66</v>
      </c>
      <c r="AA6" s="17" t="s">
        <v>67</v>
      </c>
      <c r="AB6" s="17" t="s">
        <v>6</v>
      </c>
      <c r="AC6" s="17" t="s">
        <v>7</v>
      </c>
      <c r="AD6" s="17" t="s">
        <v>68</v>
      </c>
      <c r="AE6" s="17" t="s">
        <v>69</v>
      </c>
      <c r="AF6" s="17" t="s">
        <v>66</v>
      </c>
      <c r="AG6" s="17" t="s">
        <v>67</v>
      </c>
      <c r="AH6" s="17" t="s">
        <v>6</v>
      </c>
      <c r="AI6" s="17" t="s">
        <v>7</v>
      </c>
      <c r="AJ6" s="17" t="s">
        <v>68</v>
      </c>
      <c r="AK6" s="17" t="s">
        <v>69</v>
      </c>
      <c r="AL6" s="17" t="s">
        <v>66</v>
      </c>
      <c r="AM6" s="17" t="s">
        <v>67</v>
      </c>
      <c r="AN6" s="17" t="s">
        <v>6</v>
      </c>
      <c r="AO6" s="17" t="s">
        <v>7</v>
      </c>
      <c r="AP6" s="17" t="s">
        <v>68</v>
      </c>
      <c r="AQ6" s="17" t="s">
        <v>69</v>
      </c>
      <c r="AR6" s="17" t="s">
        <v>66</v>
      </c>
      <c r="AS6" s="17" t="s">
        <v>67</v>
      </c>
      <c r="AT6" s="17" t="s">
        <v>6</v>
      </c>
      <c r="AU6" s="17" t="s">
        <v>7</v>
      </c>
      <c r="AV6" s="17" t="s">
        <v>68</v>
      </c>
      <c r="AW6" s="17" t="s">
        <v>69</v>
      </c>
      <c r="AX6" s="17" t="s">
        <v>66</v>
      </c>
      <c r="AY6" s="17" t="s">
        <v>67</v>
      </c>
      <c r="AZ6" s="17" t="s">
        <v>6</v>
      </c>
      <c r="BA6" s="17" t="s">
        <v>7</v>
      </c>
      <c r="BB6" s="17" t="s">
        <v>68</v>
      </c>
      <c r="BC6" s="17" t="s">
        <v>69</v>
      </c>
    </row>
    <row r="7" spans="1:55" ht="30.0" customHeight="1">
      <c r="A7" s="18" t="s">
        <v>8</v>
      </c>
      <c r="B7" s="18" t="s">
        <v>9</v>
      </c>
      <c r="C7" s="18" t="s">
        <v>10</v>
      </c>
      <c r="D7" s="18" t="s">
        <v>11</v>
      </c>
      <c r="E7" s="18">
        <f>CEILING(BoardQty*1.0,1)</f>
        <v>100</v>
      </c>
      <c r="F7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7" s="19">
        <f>iferror(E7*F7,"")</f>
        <v>0</v>
      </c>
    </row>
    <row r="8" spans="1:55" ht="30.0" customHeight="1">
      <c r="A8" s="18" t="s">
        <v>12</v>
      </c>
      <c r="B8" s="18" t="s">
        <v>13</v>
      </c>
      <c r="C8" s="18" t="s">
        <v>14</v>
      </c>
      <c r="E8" s="18">
        <f>CEILING(BoardQty*2,1)</f>
        <v>200</v>
      </c>
      <c r="F8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8" s="19">
        <f>iferror(E8*F8,"")</f>
        <v>0</v>
      </c>
    </row>
    <row r="9" spans="1:55" ht="30.0" customHeight="1">
      <c r="A9" s="18" t="s">
        <v>15</v>
      </c>
      <c r="B9" s="18" t="s">
        <v>16</v>
      </c>
      <c r="C9" s="18" t="s">
        <v>14</v>
      </c>
      <c r="E9" s="18">
        <f>CEILING(BoardQty*1,1)</f>
        <v>100</v>
      </c>
      <c r="F9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9" s="19">
        <f>iferror(E9*F9,"")</f>
        <v>0</v>
      </c>
    </row>
    <row r="10" spans="1:55" ht="60.0" customHeight="1">
      <c r="A10" s="18" t="s">
        <v>17</v>
      </c>
      <c r="B10" s="18" t="s">
        <v>18</v>
      </c>
      <c r="D10" s="18" t="s">
        <v>18</v>
      </c>
      <c r="E10" s="18">
        <f>CEILING(BoardQty*1.0,1)</f>
        <v>100</v>
      </c>
      <c r="F10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0" s="19">
        <f>iferror(E10*F10,"")</f>
        <v>0</v>
      </c>
      <c r="N10" s="18">
        <v>401</v>
      </c>
      <c r="P10" s="19">
        <f>iferror(EUR_USD*lookup(if(O10="",E10,O10),{0,1,5,10,25,50,100,250,500,1000},{0.0,8.84,8.176,7.514,7.072,6.63,6.188,6.07752,5.967,5.8786}),"")</f>
        <v>0</v>
      </c>
      <c r="Q10" s="19">
        <f>iferror(if(O10="",E10,O10)*P10,"")</f>
        <v>0</v>
      </c>
      <c r="R10" s="18" t="s">
        <v>72</v>
      </c>
      <c r="S10" s="20" t="s">
        <v>73</v>
      </c>
      <c r="T10" s="18">
        <v>6</v>
      </c>
      <c r="V10" s="19">
        <f>iferror(EUR_GBP*lookup(if(U10="",E10,U10),{0,1,5,10,20,50},{0.0,7.03,6.75,6.47,6.17,5.46}),"")</f>
        <v>0</v>
      </c>
      <c r="W10" s="19">
        <f>iferror(if(U10="",E10,U10)*V10,"")</f>
        <v>0</v>
      </c>
      <c r="X10" s="18" t="s">
        <v>81</v>
      </c>
      <c r="Y10" s="20" t="s">
        <v>82</v>
      </c>
      <c r="AF10" s="18">
        <v>297</v>
      </c>
      <c r="AH10" s="19">
        <f>iferror(EUR_USD*lookup(if(AG10="",E10,AG10),{0,1,10,50,100,1000,10000},{0.0,7.96,7.33,6.62,6.18,5.87,5.87}),"")</f>
        <v>0</v>
      </c>
      <c r="AI10" s="19">
        <f>iferror(if(AG10="",E10,AG10)*AH10,"")</f>
        <v>0</v>
      </c>
      <c r="AJ10" s="18" t="s">
        <v>87</v>
      </c>
      <c r="AK10" s="20" t="s">
        <v>88</v>
      </c>
      <c r="AL10" s="18">
        <v>231</v>
      </c>
      <c r="AN10" s="19">
        <f>iferror(EUR_USD*lookup(if(AM10="",E10,AM10),{0,1,5,10},{0.0,9.35,9.07,8.59}),"")</f>
        <v>0</v>
      </c>
      <c r="AO10" s="19">
        <f>iferror(if(AM10="",E10,AM10)*AN10,"")</f>
        <v>0</v>
      </c>
      <c r="AP10" s="18" t="s">
        <v>97</v>
      </c>
      <c r="AQ10" s="20" t="s">
        <v>98</v>
      </c>
      <c r="AR10" s="21" t="s">
        <v>91</v>
      </c>
      <c r="AT10" s="19">
        <f>iferror(EUR_GBP*lookup(if(AS10="",E10,AS10),{0,1},{0.0,5.97}),"")</f>
        <v>0</v>
      </c>
      <c r="AU10" s="19">
        <f>iferror(if(AS10="",E10,AS10)*AT10,"")</f>
        <v>0</v>
      </c>
      <c r="AV10" s="18" t="s">
        <v>104</v>
      </c>
      <c r="AW10" s="20" t="s">
        <v>105</v>
      </c>
      <c r="AX10" s="21" t="s">
        <v>91</v>
      </c>
      <c r="AZ10" s="19">
        <f>iferror(EUR_GBP*lookup(if(AY10="",E10,AY10),{0,1,10,50},{0.0,6.24,5.11,4.67}),"")</f>
        <v>0</v>
      </c>
      <c r="BA10" s="19">
        <f>iferror(if(AY10="",E10,AY10)*AZ10,"")</f>
        <v>0</v>
      </c>
      <c r="BB10" s="18" t="s">
        <v>107</v>
      </c>
      <c r="BC10" s="20" t="s">
        <v>108</v>
      </c>
    </row>
    <row r="11" spans="1:55" ht="60.0" customHeight="1">
      <c r="A11" s="18" t="s">
        <v>19</v>
      </c>
      <c r="B11" s="18" t="s">
        <v>20</v>
      </c>
      <c r="C11" s="18" t="s">
        <v>21</v>
      </c>
      <c r="D11" s="18" t="s">
        <v>21</v>
      </c>
      <c r="E11" s="18">
        <f>CEILING(BoardQty*1.0,1)</f>
        <v>100</v>
      </c>
      <c r="F11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1" s="19">
        <f>iferror(E11*F11,"")</f>
        <v>0</v>
      </c>
      <c r="N11" s="18">
        <v>21890</v>
      </c>
      <c r="P11" s="19">
        <f>iferror(EUR_USD*lookup(if(O11="",E11,O11),{0,1,10,25,50,100,250,500,1000,2500},{0.0,1.0,0.845,0.8108,0.7936,0.759,0.69,0.621,0.552,0.50025}),"")</f>
        <v>0</v>
      </c>
      <c r="Q11" s="19">
        <f>iferror(if(O11="",E11,O11)*P11,"")</f>
        <v>0</v>
      </c>
      <c r="R11" s="18" t="s">
        <v>74</v>
      </c>
      <c r="S11" s="20" t="s">
        <v>75</v>
      </c>
    </row>
    <row r="12" spans="1:55" ht="60.0" customHeight="1">
      <c r="A12" s="18" t="s">
        <v>22</v>
      </c>
      <c r="B12" s="18" t="s">
        <v>23</v>
      </c>
      <c r="C12" s="18" t="s">
        <v>24</v>
      </c>
      <c r="D12" s="18" t="s">
        <v>23</v>
      </c>
      <c r="E12" s="18">
        <f>CEILING(BoardQty*1.0,1)</f>
        <v>100</v>
      </c>
      <c r="F12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2" s="19">
        <f>iferror(E12*F12,"")</f>
        <v>0</v>
      </c>
      <c r="N12" s="18">
        <v>465</v>
      </c>
      <c r="P12" s="19">
        <f>iferror(EUR_USD*lookup(if(O12="",E12,O12),{0,1},{0.0,2.05}),"")</f>
        <v>0</v>
      </c>
      <c r="Q12" s="19">
        <f>iferror(if(O12="",E12,O12)*P12,"")</f>
        <v>0</v>
      </c>
      <c r="R12" s="18" t="s">
        <v>76</v>
      </c>
      <c r="S12" s="20" t="s">
        <v>77</v>
      </c>
      <c r="AF12" s="21" t="s">
        <v>91</v>
      </c>
      <c r="AH12" s="19">
        <f>iferror(EUR_USD*lookup(if(AG12="",E12,AG12),{0,1,10,50,100,1000,10000},{0.0,2.25,2.25,2.19,2.14,2.04,2.03}),"")</f>
        <v>0</v>
      </c>
      <c r="AI12" s="19">
        <f>iferror(if(AG12="",E12,AG12)*AH12,"")</f>
        <v>0</v>
      </c>
      <c r="AJ12" s="18" t="s">
        <v>89</v>
      </c>
      <c r="AK12" s="20" t="s">
        <v>90</v>
      </c>
      <c r="AL12" s="21" t="s">
        <v>91</v>
      </c>
      <c r="AN12" s="19">
        <f>iferror(EUR_USD*lookup(if(AM12="",E12,AM12),{0,1,100},{0.0,2.25,2.25}),"")</f>
        <v>0</v>
      </c>
      <c r="AO12" s="19">
        <f>iferror(if(AM12="",E12,AM12)*AN12,"")</f>
        <v>0</v>
      </c>
      <c r="AP12" s="18" t="s">
        <v>99</v>
      </c>
      <c r="AQ12" s="20" t="s">
        <v>100</v>
      </c>
    </row>
    <row r="13" spans="1:55" ht="60.0" customHeight="1">
      <c r="A13" s="18" t="s">
        <v>25</v>
      </c>
      <c r="B13" s="18" t="s">
        <v>26</v>
      </c>
      <c r="C13" s="18" t="s">
        <v>24</v>
      </c>
      <c r="D13" s="18" t="s">
        <v>26</v>
      </c>
      <c r="E13" s="18">
        <f>CEILING(BoardQty*1.0,1)</f>
        <v>100</v>
      </c>
      <c r="F13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3" s="19">
        <f>iferror(E13*F13,"")</f>
        <v>0</v>
      </c>
      <c r="N13" s="18">
        <v>7090</v>
      </c>
      <c r="P13" s="19">
        <f>iferror(EUR_USD*lookup(if(O13="",E13,O13),{0,1},{0.0,2.05}),"")</f>
        <v>0</v>
      </c>
      <c r="Q13" s="19">
        <f>iferror(if(O13="",E13,O13)*P13,"")</f>
        <v>0</v>
      </c>
      <c r="R13" s="18" t="s">
        <v>78</v>
      </c>
      <c r="S13" s="20" t="s">
        <v>79</v>
      </c>
      <c r="AF13" s="18">
        <v>1474</v>
      </c>
      <c r="AH13" s="19">
        <f>iferror(EUR_USD*lookup(if(AG13="",E13,AG13),{0,1,10,50,100,1000,10000},{0.0,2.25,2.25,2.19,2.14,2.04,2.03}),"")</f>
        <v>0</v>
      </c>
      <c r="AI13" s="19">
        <f>iferror(if(AG13="",E13,AG13)*AH13,"")</f>
        <v>0</v>
      </c>
      <c r="AJ13" s="18" t="s">
        <v>92</v>
      </c>
      <c r="AK13" s="20" t="s">
        <v>93</v>
      </c>
      <c r="AL13" s="21" t="s">
        <v>91</v>
      </c>
      <c r="AN13" s="19">
        <f>iferror(EUR_USD*lookup(if(AM13="",E13,AM13),{0,1,100},{0.0,2.25,2.25}),"")</f>
        <v>0</v>
      </c>
      <c r="AO13" s="19">
        <f>iferror(if(AM13="",E13,AM13)*AN13,"")</f>
        <v>0</v>
      </c>
      <c r="AP13" s="18" t="s">
        <v>101</v>
      </c>
      <c r="AQ13" s="20" t="s">
        <v>102</v>
      </c>
    </row>
    <row r="14" spans="1:55">
      <c r="A14" s="18" t="s">
        <v>27</v>
      </c>
      <c r="B14" s="18" t="s">
        <v>28</v>
      </c>
      <c r="C14" s="18" t="s">
        <v>29</v>
      </c>
      <c r="E14" s="18">
        <f>CEILING(BoardQty*2,1)</f>
        <v>200</v>
      </c>
      <c r="F14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4" s="19">
        <f>iferror(E14*F14,"")</f>
        <v>0</v>
      </c>
    </row>
    <row r="15" spans="1:55" ht="30.0" customHeight="1">
      <c r="A15" s="18" t="s">
        <v>30</v>
      </c>
      <c r="B15" s="18" t="s">
        <v>31</v>
      </c>
      <c r="C15" s="18" t="s">
        <v>32</v>
      </c>
      <c r="E15" s="18">
        <f>CEILING(BoardQty*1,1)</f>
        <v>100</v>
      </c>
      <c r="F15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5" s="19">
        <f>iferror(E15*F15,"")</f>
        <v>0</v>
      </c>
    </row>
    <row r="16" spans="1:55" ht="30.0" customHeight="1">
      <c r="A16" s="18" t="s">
        <v>33</v>
      </c>
      <c r="B16" s="18" t="s">
        <v>34</v>
      </c>
      <c r="C16" s="18" t="s">
        <v>32</v>
      </c>
      <c r="E16" s="18">
        <f>CEILING(BoardQty*1,1)</f>
        <v>100</v>
      </c>
      <c r="F16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6" s="19">
        <f>iferror(E16*F16,"")</f>
        <v>0</v>
      </c>
    </row>
    <row r="17" spans="1:53" ht="30.0" customHeight="1">
      <c r="A17" s="18" t="s">
        <v>35</v>
      </c>
      <c r="B17" s="18" t="s">
        <v>36</v>
      </c>
      <c r="C17" s="18" t="s">
        <v>32</v>
      </c>
      <c r="E17" s="18">
        <f>CEILING(BoardQty*1,1)</f>
        <v>100</v>
      </c>
      <c r="F17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7" s="19">
        <f>iferror(E17*F17,"")</f>
        <v>0</v>
      </c>
    </row>
    <row r="18" spans="1:53" ht="30.0" customHeight="1">
      <c r="A18" s="18" t="s">
        <v>37</v>
      </c>
      <c r="B18" s="18" t="s">
        <v>38</v>
      </c>
      <c r="C18" s="18" t="s">
        <v>32</v>
      </c>
      <c r="E18" s="18">
        <f>CEILING(BoardQty*1,1)</f>
        <v>100</v>
      </c>
      <c r="F18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8" s="19">
        <f>iferror(E18*F18,"")</f>
        <v>0</v>
      </c>
    </row>
    <row r="19" spans="1:53" ht="30.0" customHeight="1">
      <c r="A19" s="18" t="s">
        <v>39</v>
      </c>
      <c r="B19" s="18" t="s">
        <v>40</v>
      </c>
      <c r="C19" s="18" t="s">
        <v>32</v>
      </c>
      <c r="E19" s="18">
        <f>CEILING(BoardQty*1,1)</f>
        <v>100</v>
      </c>
      <c r="F19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9" s="19">
        <f>iferror(E19*F19,"")</f>
        <v>0</v>
      </c>
    </row>
    <row r="20" spans="1:53" ht="45.0" customHeight="1">
      <c r="A20" s="18" t="s">
        <v>41</v>
      </c>
      <c r="B20" s="18" t="s">
        <v>42</v>
      </c>
      <c r="C20" s="18" t="s">
        <v>43</v>
      </c>
      <c r="D20" s="18" t="s">
        <v>44</v>
      </c>
      <c r="E20" s="18">
        <f>CEILING(BoardQty*1,1)</f>
        <v>100</v>
      </c>
      <c r="F20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20" s="19">
        <f>iferror(E20*F20,"")</f>
        <v>0</v>
      </c>
    </row>
    <row r="21" spans="1:53" ht="60.0" customHeight="1">
      <c r="A21" s="18" t="s">
        <v>45</v>
      </c>
      <c r="B21" s="18" t="s">
        <v>46</v>
      </c>
      <c r="C21" s="18" t="s">
        <v>47</v>
      </c>
      <c r="D21" s="18" t="s">
        <v>48</v>
      </c>
      <c r="E21" s="18">
        <f>CEILING(BoardQty*1.0,1)</f>
        <v>100</v>
      </c>
      <c r="F21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21" s="19">
        <f>iferror(E21*F21,"")</f>
        <v>0</v>
      </c>
      <c r="Z21" s="18">
        <v>5</v>
      </c>
      <c r="AB21" s="19">
        <f>iferror(lookup(if(AA21="",E21,AA21),{0,1,10,30,100,102,104},{0.0,7.3835,6.5201,6.3827,6.1795,6.1795,6.1795}),"")</f>
        <v>0</v>
      </c>
      <c r="AC21" s="19">
        <f>iferror(if(AA21="",E21,AA21)*AB21,"")</f>
        <v>0</v>
      </c>
      <c r="AD21" s="18" t="s">
        <v>84</v>
      </c>
      <c r="AE21" s="20" t="s">
        <v>85</v>
      </c>
      <c r="AF21" s="18">
        <v>784</v>
      </c>
      <c r="AH21" s="19">
        <f>iferror(EUR_USD*lookup(if(AG21="",E21,AG21),{0,1,10,50,100,1000,10000},{0.0,11.74,10.6,10.11,8.77,6.97,6.97}),"")</f>
        <v>0</v>
      </c>
      <c r="AI21" s="19">
        <f>iferror(if(AG21="",E21,AG21)*AH21,"")</f>
        <v>0</v>
      </c>
      <c r="AJ21" s="18" t="s">
        <v>94</v>
      </c>
      <c r="AK21" s="20" t="s">
        <v>95</v>
      </c>
    </row>
    <row r="23" spans="1:53">
      <c r="B23" s="22" t="s">
        <v>51</v>
      </c>
      <c r="F23" s="2" t="s">
        <v>49</v>
      </c>
      <c r="G23" s="6">
        <f>SUM(INDIRECT(ADDRESS(ROW(),COLUMN(arrow_part_data)+3)),INDIRECT(ADDRESS(ROW(),COLUMN(digikey_part_data)+3)),INDIRECT(ADDRESS(ROW(),COLUMN(farnell_part_data)+3)),INDIRECT(ADDRESS(ROW(),COLUMN(lcsc_part_data)+3)),INDIRECT(ADDRESS(ROW(),COLUMN(mouser_part_data)+3)),INDIRECT(ADDRESS(ROW(),COLUMN(newark_part_data)+3)),INDIRECT(ADDRESS(ROW(),COLUMN(rs_part_data)+3)),INDIRECT(ADDRESS(ROW(),COLUMN(tme_part_data)+3)))</f>
        <v>0</v>
      </c>
      <c r="H23" s="20" t="s">
        <v>70</v>
      </c>
      <c r="I23" s="7">
        <f>IFERROR(IF(OR(I7:I21),COUNTIFS(I7:I21,"&gt;0",K7:K21,"&lt;&gt;")&amp;" of "&amp;(ROWS(K7:K21)-COUNTBLANK(K7:K21))&amp;" parts purchased",""),"")</f>
        <v>0</v>
      </c>
      <c r="K23" s="6">
        <f>SUMIF(I7:I21,"&gt;0",K7:K21)</f>
        <v>0</v>
      </c>
      <c r="N23" s="20" t="s">
        <v>70</v>
      </c>
      <c r="O23" s="7">
        <f>IFERROR(IF(OR(O7:O21),COUNTIFS(O7:O21,"&gt;0",Q7:Q21,"&lt;&gt;")&amp;" of "&amp;(ROWS(Q7:Q21)-COUNTBLANK(Q7:Q21))&amp;" parts purchased",""),"")</f>
        <v>0</v>
      </c>
      <c r="Q23" s="6">
        <f>SUMIF(O7:O21,"&gt;0",Q7:Q21)</f>
        <v>0</v>
      </c>
      <c r="T23" s="20" t="s">
        <v>70</v>
      </c>
      <c r="U23" s="7">
        <f>IFERROR(IF(OR(U7:U21),COUNTIFS(U7:U21,"&gt;0",W7:W21,"&lt;&gt;")&amp;" of "&amp;(ROWS(W7:W21)-COUNTBLANK(W7:W21))&amp;" parts purchased",""),"")</f>
        <v>0</v>
      </c>
      <c r="W23" s="6">
        <f>SUMIF(U7:U21,"&gt;0",W7:W21)</f>
        <v>0</v>
      </c>
      <c r="Z23" s="20" t="s">
        <v>70</v>
      </c>
      <c r="AA23" s="7">
        <f>IFERROR(IF(OR(AA7:AA21),COUNTIFS(AA7:AA21,"&gt;0",AC7:AC21,"&lt;&gt;")&amp;" of "&amp;(ROWS(AC7:AC21)-COUNTBLANK(AC7:AC21))&amp;" parts purchased",""),"")</f>
        <v>0</v>
      </c>
      <c r="AC23" s="6">
        <f>SUMIF(AA7:AA21,"&gt;0",AC7:AC21)</f>
        <v>0</v>
      </c>
      <c r="AF23" s="20" t="s">
        <v>70</v>
      </c>
      <c r="AG23" s="7">
        <f>IFERROR(IF(OR(AG7:AG21),COUNTIFS(AG7:AG21,"&gt;0",AI7:AI21,"&lt;&gt;")&amp;" of "&amp;(ROWS(AI7:AI21)-COUNTBLANK(AI7:AI21))&amp;" parts purchased",""),"")</f>
        <v>0</v>
      </c>
      <c r="AI23" s="6">
        <f>SUMIF(AG7:AG21,"&gt;0",AI7:AI21)</f>
        <v>0</v>
      </c>
      <c r="AL23" s="20" t="s">
        <v>70</v>
      </c>
      <c r="AM23" s="7">
        <f>IFERROR(IF(OR(AM7:AM21),COUNTIFS(AM7:AM21,"&gt;0",AO7:AO21,"&lt;&gt;")&amp;" of "&amp;(ROWS(AO7:AO21)-COUNTBLANK(AO7:AO21))&amp;" parts purchased",""),"")</f>
        <v>0</v>
      </c>
      <c r="AO23" s="6">
        <f>SUMIF(AM7:AM21,"&gt;0",AO7:AO21)</f>
        <v>0</v>
      </c>
      <c r="AR23" s="20" t="s">
        <v>70</v>
      </c>
      <c r="AS23" s="7">
        <f>IFERROR(IF(OR(AS7:AS21),COUNTIFS(AS7:AS21,"&gt;0",AU7:AU21,"&lt;&gt;")&amp;" of "&amp;(ROWS(AU7:AU21)-COUNTBLANK(AU7:AU21))&amp;" parts purchased",""),"")</f>
        <v>0</v>
      </c>
      <c r="AU23" s="6">
        <f>SUMIF(AS7:AS21,"&gt;0",AU7:AU21)</f>
        <v>0</v>
      </c>
      <c r="AX23" s="20" t="s">
        <v>70</v>
      </c>
      <c r="AY23" s="7">
        <f>IFERROR(IF(OR(AY7:AY21),COUNTIFS(AY7:AY21,"&gt;0",BA7:BA21,"&lt;&gt;")&amp;" of "&amp;(ROWS(BA7:BA21)-COUNTBLANK(BA7:BA21))&amp;" parts purchased",""),"")</f>
        <v>0</v>
      </c>
      <c r="BA23" s="6">
        <f>SUMIF(AY7:AY21,"&gt;0",BA7:BA21)</f>
        <v>0</v>
      </c>
    </row>
    <row r="24" spans="1:53">
      <c r="B24" s="22" t="s">
        <v>52</v>
      </c>
      <c r="C24">
        <v>1.201807518507836</v>
      </c>
      <c r="F24" s="22" t="s">
        <v>50</v>
      </c>
      <c r="I24">
        <f t="array" ref="I24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4">
        <f t="array" ref="O24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4">
        <f t="array" ref="U24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4" s="7">
        <f>IFERROR(IF(COUNTIFS(AA7:AA21,"&gt;0",AC7:AC21,"&lt;&gt;")&gt;0,"Quantity,Comment,Designator,Footprint,LCSC Part #(optional)",""),"")</f>
        <v>0</v>
      </c>
      <c r="AG24">
        <f t="array" ref="AG24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4">
        <f t="array" ref="AM24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4">
        <f t="array" ref="AS24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4">
        <f t="array" ref="AY24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5" spans="1:53">
      <c r="B25" s="22" t="s">
        <v>53</v>
      </c>
      <c r="C25">
        <v>0.886053517632465</v>
      </c>
      <c r="I25">
        <f t="array" ref="I25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5">
        <f t="array" ref="O25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5">
        <f t="array" ref="U25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5">
        <f t="array" ref="AA25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5">
        <f t="array" ref="AG25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5">
        <f t="array" ref="AM25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5">
        <f t="array" ref="AS25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5">
        <f t="array" ref="AY25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6" spans="1:53">
      <c r="I26">
        <f t="array" ref="I26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6">
        <f t="array" ref="O26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6">
        <f t="array" ref="U26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6">
        <f t="array" ref="AA26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6">
        <f t="array" ref="AG26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6">
        <f t="array" ref="AM26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6">
        <f t="array" ref="AS26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6">
        <f t="array" ref="AY26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7" spans="1:53">
      <c r="A27" s="3" t="s">
        <v>109</v>
      </c>
      <c r="I27">
        <f t="array" ref="I27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7">
        <f t="array" ref="O27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7">
        <f t="array" ref="U27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7">
        <f t="array" ref="AA27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7">
        <f t="array" ref="AG27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7">
        <f t="array" ref="AM27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7">
        <f t="array" ref="AS27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7">
        <f t="array" ref="AY27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8" spans="1:53">
      <c r="I28">
        <f t="array" ref="I28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8">
        <f t="array" ref="O28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8">
        <f t="array" ref="U28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8">
        <f t="array" ref="AA28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8">
        <f t="array" ref="AG28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8">
        <f t="array" ref="AM28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8">
        <f t="array" ref="AS28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8">
        <f t="array" ref="AY28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9" spans="1:53">
      <c r="I29">
        <f t="array" ref="I29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9">
        <f t="array" ref="O29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9">
        <f t="array" ref="U29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9">
        <f t="array" ref="AA29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9">
        <f t="array" ref="AG29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9">
        <f t="array" ref="AM29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9">
        <f t="array" ref="AS29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9">
        <f t="array" ref="AY29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0" spans="1:53">
      <c r="I30">
        <f t="array" ref="I30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0">
        <f t="array" ref="O30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0">
        <f t="array" ref="U30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0">
        <f t="array" ref="AA30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0">
        <f t="array" ref="AG30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0">
        <f t="array" ref="AM30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0">
        <f t="array" ref="AS30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0">
        <f t="array" ref="AY30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1" spans="1:53">
      <c r="I31">
        <f t="array" ref="I31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1">
        <f t="array" ref="O31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1">
        <f t="array" ref="U31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1">
        <f t="array" ref="AA31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1">
        <f t="array" ref="AG31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1">
        <f t="array" ref="AM31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1">
        <f t="array" ref="AS31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1">
        <f t="array" ref="AY31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2" spans="1:53">
      <c r="I32">
        <f t="array" ref="I32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2">
        <f t="array" ref="O32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2">
        <f t="array" ref="U32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2">
        <f t="array" ref="AA32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2">
        <f t="array" ref="AG32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2">
        <f t="array" ref="AM32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2">
        <f t="array" ref="AS32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2">
        <f t="array" ref="AY32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3" spans="9:51">
      <c r="I33">
        <f t="array" ref="I33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3">
        <f t="array" ref="O33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3">
        <f t="array" ref="U33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3">
        <f t="array" ref="AA33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3">
        <f t="array" ref="AG33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3">
        <f t="array" ref="AM33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3">
        <f t="array" ref="AS33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3">
        <f t="array" ref="AY33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4" spans="9:51">
      <c r="I34">
        <f t="array" ref="I34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4">
        <f t="array" ref="O34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4">
        <f t="array" ref="U34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4">
        <f t="array" ref="AA34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4">
        <f t="array" ref="AG34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4">
        <f t="array" ref="AM34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4">
        <f t="array" ref="AS34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4">
        <f t="array" ref="AY34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5" spans="9:51">
      <c r="I35">
        <f t="array" ref="I35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5">
        <f t="array" ref="O35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5">
        <f t="array" ref="U35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5">
        <f t="array" ref="AA35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5">
        <f t="array" ref="AG35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5">
        <f t="array" ref="AM35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5">
        <f t="array" ref="AS35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5">
        <f t="array" ref="AY35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6" spans="9:51">
      <c r="I36">
        <f t="array" ref="I36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6">
        <f t="array" ref="O36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6">
        <f t="array" ref="U36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6">
        <f t="array" ref="AA36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6">
        <f t="array" ref="AG36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6">
        <f t="array" ref="AM36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6">
        <f t="array" ref="AS36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6">
        <f t="array" ref="AY36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7" spans="9:51">
      <c r="I37">
        <f t="array" ref="I37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7">
        <f t="array" ref="O37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7">
        <f t="array" ref="U37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7">
        <f t="array" ref="AA37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7">
        <f t="array" ref="AG37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7">
        <f t="array" ref="AM37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7">
        <f t="array" ref="AS37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7">
        <f t="array" ref="AY37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8" spans="9:51">
      <c r="I38">
        <f t="array" ref="I38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8">
        <f t="array" ref="O38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8">
        <f t="array" ref="U38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8">
        <f t="array" ref="AA38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8">
        <f t="array" ref="AG38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8">
        <f t="array" ref="AM38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8">
        <f t="array" ref="AS38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8">
        <f t="array" ref="AY38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9" spans="9:51">
      <c r="AA39">
        <f t="array" ref="AA39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</row>
  </sheetData>
  <mergeCells count="9">
    <mergeCell ref="A5:G5"/>
    <mergeCell ref="H5:M5"/>
    <mergeCell ref="N5:S5"/>
    <mergeCell ref="T5:Y5"/>
    <mergeCell ref="Z5:AE5"/>
    <mergeCell ref="AF5:AK5"/>
    <mergeCell ref="AL5:AQ5"/>
    <mergeCell ref="AR5:AW5"/>
    <mergeCell ref="AX5:BC5"/>
  </mergeCells>
  <conditionalFormatting sqref="AA21">
    <cfRule type="cellIs" dxfId="1" priority="88" operator="greaterThan">
      <formula>Z21</formula>
    </cfRule>
  </conditionalFormatting>
  <conditionalFormatting sqref="AB21">
    <cfRule type="cellIs" dxfId="4" priority="90" operator="lessThanOrEqual">
      <formula>F21</formula>
    </cfRule>
  </conditionalFormatting>
  <conditionalFormatting sqref="AC21">
    <cfRule type="cellIs" dxfId="4" priority="89" operator="lessThanOrEqual">
      <formula>G21</formula>
    </cfRule>
  </conditionalFormatting>
  <conditionalFormatting sqref="AF10">
    <cfRule type="cellIs" dxfId="1" priority="91" operator="equal">
      <formula>0</formula>
    </cfRule>
    <cfRule type="cellIs" dxfId="2" priority="92" operator="lessThan">
      <formula>E10</formula>
    </cfRule>
  </conditionalFormatting>
  <conditionalFormatting sqref="AF12">
    <cfRule type="cellIs" dxfId="1" priority="96" operator="equal">
      <formula>0</formula>
    </cfRule>
    <cfRule type="cellIs" dxfId="2" priority="97" operator="lessThan">
      <formula>E12</formula>
    </cfRule>
  </conditionalFormatting>
  <conditionalFormatting sqref="AF13">
    <cfRule type="cellIs" dxfId="1" priority="101" operator="equal">
      <formula>0</formula>
    </cfRule>
    <cfRule type="cellIs" dxfId="2" priority="102" operator="lessThan">
      <formula>E13</formula>
    </cfRule>
  </conditionalFormatting>
  <conditionalFormatting sqref="AF21">
    <cfRule type="cellIs" dxfId="1" priority="106" operator="equal">
      <formula>0</formula>
    </cfRule>
    <cfRule type="cellIs" dxfId="2" priority="107" operator="lessThan">
      <formula>E21</formula>
    </cfRule>
  </conditionalFormatting>
  <conditionalFormatting sqref="AG10">
    <cfRule type="cellIs" dxfId="1" priority="93" operator="greaterThan">
      <formula>AF10</formula>
    </cfRule>
  </conditionalFormatting>
  <conditionalFormatting sqref="AG12">
    <cfRule type="cellIs" dxfId="1" priority="98" operator="greaterThan">
      <formula>AF12</formula>
    </cfRule>
  </conditionalFormatting>
  <conditionalFormatting sqref="AG13">
    <cfRule type="cellIs" dxfId="1" priority="103" operator="greaterThan">
      <formula>AF13</formula>
    </cfRule>
  </conditionalFormatting>
  <conditionalFormatting sqref="AG21">
    <cfRule type="cellIs" dxfId="1" priority="108" operator="greaterThan">
      <formula>AF21</formula>
    </cfRule>
  </conditionalFormatting>
  <conditionalFormatting sqref="AH10">
    <cfRule type="cellIs" dxfId="4" priority="95" operator="lessThanOrEqual">
      <formula>F10</formula>
    </cfRule>
  </conditionalFormatting>
  <conditionalFormatting sqref="AH12">
    <cfRule type="cellIs" dxfId="4" priority="100" operator="lessThanOrEqual">
      <formula>F12</formula>
    </cfRule>
  </conditionalFormatting>
  <conditionalFormatting sqref="AH13">
    <cfRule type="cellIs" dxfId="4" priority="105" operator="lessThanOrEqual">
      <formula>F13</formula>
    </cfRule>
  </conditionalFormatting>
  <conditionalFormatting sqref="AH21">
    <cfRule type="cellIs" dxfId="4" priority="110" operator="lessThanOrEqual">
      <formula>F21</formula>
    </cfRule>
  </conditionalFormatting>
  <conditionalFormatting sqref="AI10">
    <cfRule type="cellIs" dxfId="4" priority="94" operator="lessThanOrEqual">
      <formula>G10</formula>
    </cfRule>
  </conditionalFormatting>
  <conditionalFormatting sqref="AI12">
    <cfRule type="cellIs" dxfId="4" priority="99" operator="lessThanOrEqual">
      <formula>G12</formula>
    </cfRule>
  </conditionalFormatting>
  <conditionalFormatting sqref="AI13">
    <cfRule type="cellIs" dxfId="4" priority="104" operator="lessThanOrEqual">
      <formula>G13</formula>
    </cfRule>
  </conditionalFormatting>
  <conditionalFormatting sqref="AI21">
    <cfRule type="cellIs" dxfId="4" priority="109" operator="lessThanOrEqual">
      <formula>G21</formula>
    </cfRule>
  </conditionalFormatting>
  <conditionalFormatting sqref="AL10">
    <cfRule type="cellIs" dxfId="1" priority="111" operator="equal">
      <formula>0</formula>
    </cfRule>
    <cfRule type="cellIs" dxfId="2" priority="112" operator="lessThan">
      <formula>E10</formula>
    </cfRule>
  </conditionalFormatting>
  <conditionalFormatting sqref="AL12">
    <cfRule type="cellIs" dxfId="1" priority="116" operator="equal">
      <formula>0</formula>
    </cfRule>
    <cfRule type="cellIs" dxfId="2" priority="117" operator="lessThan">
      <formula>E12</formula>
    </cfRule>
  </conditionalFormatting>
  <conditionalFormatting sqref="AL13">
    <cfRule type="cellIs" dxfId="1" priority="122" operator="equal">
      <formula>0</formula>
    </cfRule>
    <cfRule type="cellIs" dxfId="2" priority="123" operator="lessThan">
      <formula>E13</formula>
    </cfRule>
  </conditionalFormatting>
  <conditionalFormatting sqref="AM10">
    <cfRule type="cellIs" dxfId="1" priority="113" operator="greaterThan">
      <formula>AL10</formula>
    </cfRule>
  </conditionalFormatting>
  <conditionalFormatting sqref="AM12">
    <cfRule type="expression" dxfId="3" priority="118">
      <formula>AND(AM12&gt;0,AM12&lt;100)</formula>
    </cfRule>
    <cfRule type="cellIs" dxfId="1" priority="119" operator="greaterThan">
      <formula>AL12</formula>
    </cfRule>
  </conditionalFormatting>
  <conditionalFormatting sqref="AM13">
    <cfRule type="cellIs" dxfId="1" priority="124" operator="greaterThan">
      <formula>AL13</formula>
    </cfRule>
  </conditionalFormatting>
  <conditionalFormatting sqref="AN10">
    <cfRule type="cellIs" dxfId="4" priority="115" operator="lessThanOrEqual">
      <formula>F10</formula>
    </cfRule>
  </conditionalFormatting>
  <conditionalFormatting sqref="AN12">
    <cfRule type="cellIs" dxfId="4" priority="121" operator="lessThanOrEqual">
      <formula>F12</formula>
    </cfRule>
  </conditionalFormatting>
  <conditionalFormatting sqref="AN13">
    <cfRule type="cellIs" dxfId="4" priority="126" operator="lessThanOrEqual">
      <formula>F13</formula>
    </cfRule>
  </conditionalFormatting>
  <conditionalFormatting sqref="AO10">
    <cfRule type="cellIs" dxfId="4" priority="114" operator="lessThanOrEqual">
      <formula>G10</formula>
    </cfRule>
  </conditionalFormatting>
  <conditionalFormatting sqref="AO12">
    <cfRule type="cellIs" dxfId="4" priority="120" operator="lessThanOrEqual">
      <formula>G12</formula>
    </cfRule>
  </conditionalFormatting>
  <conditionalFormatting sqref="AO13">
    <cfRule type="cellIs" dxfId="4" priority="125" operator="lessThanOrEqual">
      <formula>G13</formula>
    </cfRule>
  </conditionalFormatting>
  <conditionalFormatting sqref="AR10">
    <cfRule type="cellIs" dxfId="1" priority="127" operator="equal">
      <formula>0</formula>
    </cfRule>
    <cfRule type="cellIs" dxfId="2" priority="128" operator="lessThan">
      <formula>E10</formula>
    </cfRule>
  </conditionalFormatting>
  <conditionalFormatting sqref="AS10">
    <cfRule type="cellIs" dxfId="1" priority="129" operator="greaterThan">
      <formula>AR10</formula>
    </cfRule>
  </conditionalFormatting>
  <conditionalFormatting sqref="AT10">
    <cfRule type="cellIs" dxfId="4" priority="131" operator="lessThanOrEqual">
      <formula>F10</formula>
    </cfRule>
  </conditionalFormatting>
  <conditionalFormatting sqref="AU10">
    <cfRule type="cellIs" dxfId="4" priority="130" operator="lessThanOrEqual">
      <formula>G10</formula>
    </cfRule>
  </conditionalFormatting>
  <conditionalFormatting sqref="AX10">
    <cfRule type="cellIs" dxfId="1" priority="132" operator="equal">
      <formula>0</formula>
    </cfRule>
    <cfRule type="cellIs" dxfId="2" priority="133" operator="lessThan">
      <formula>E10</formula>
    </cfRule>
  </conditionalFormatting>
  <conditionalFormatting sqref="AY10">
    <cfRule type="cellIs" dxfId="1" priority="134" operator="greaterThan">
      <formula>AX10</formula>
    </cfRule>
  </conditionalFormatting>
  <conditionalFormatting sqref="AZ10">
    <cfRule type="cellIs" dxfId="4" priority="136" operator="lessThanOrEqual">
      <formula>F10</formula>
    </cfRule>
  </conditionalFormatting>
  <conditionalFormatting sqref="BA10">
    <cfRule type="cellIs" dxfId="4" priority="135" operator="lessThanOrEqual">
      <formula>G10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N10">
    <cfRule type="cellIs" dxfId="1" priority="61" operator="equal">
      <formula>0</formula>
    </cfRule>
    <cfRule type="cellIs" dxfId="2" priority="62" operator="lessThan">
      <formula>E10</formula>
    </cfRule>
  </conditionalFormatting>
  <conditionalFormatting sqref="N11">
    <cfRule type="cellIs" dxfId="1" priority="66" operator="equal">
      <formula>0</formula>
    </cfRule>
    <cfRule type="cellIs" dxfId="2" priority="67" operator="lessThan">
      <formula>E11</formula>
    </cfRule>
  </conditionalFormatting>
  <conditionalFormatting sqref="N12">
    <cfRule type="cellIs" dxfId="1" priority="71" operator="equal">
      <formula>0</formula>
    </cfRule>
    <cfRule type="cellIs" dxfId="2" priority="72" operator="lessThan">
      <formula>E12</formula>
    </cfRule>
  </conditionalFormatting>
  <conditionalFormatting sqref="N13">
    <cfRule type="cellIs" dxfId="1" priority="76" operator="equal">
      <formula>0</formula>
    </cfRule>
    <cfRule type="cellIs" dxfId="2" priority="77" operator="lessThan">
      <formula>E13</formula>
    </cfRule>
  </conditionalFormatting>
  <conditionalFormatting sqref="O10">
    <cfRule type="cellIs" dxfId="1" priority="63" operator="greaterThan">
      <formula>N10</formula>
    </cfRule>
  </conditionalFormatting>
  <conditionalFormatting sqref="O11">
    <cfRule type="cellIs" dxfId="1" priority="68" operator="greaterThan">
      <formula>N11</formula>
    </cfRule>
  </conditionalFormatting>
  <conditionalFormatting sqref="O12">
    <cfRule type="cellIs" dxfId="1" priority="73" operator="greaterThan">
      <formula>N12</formula>
    </cfRule>
  </conditionalFormatting>
  <conditionalFormatting sqref="O13">
    <cfRule type="cellIs" dxfId="1" priority="78" operator="greaterThan">
      <formula>N13</formula>
    </cfRule>
  </conditionalFormatting>
  <conditionalFormatting sqref="P10">
    <cfRule type="cellIs" dxfId="4" priority="65" operator="lessThanOrEqual">
      <formula>F10</formula>
    </cfRule>
  </conditionalFormatting>
  <conditionalFormatting sqref="P11">
    <cfRule type="cellIs" dxfId="4" priority="70" operator="lessThanOrEqual">
      <formula>F11</formula>
    </cfRule>
  </conditionalFormatting>
  <conditionalFormatting sqref="P12">
    <cfRule type="cellIs" dxfId="4" priority="75" operator="lessThanOrEqual">
      <formula>F12</formula>
    </cfRule>
  </conditionalFormatting>
  <conditionalFormatting sqref="P13">
    <cfRule type="cellIs" dxfId="4" priority="80" operator="lessThanOrEqual">
      <formula>F13</formula>
    </cfRule>
  </conditionalFormatting>
  <conditionalFormatting sqref="Q10">
    <cfRule type="cellIs" dxfId="4" priority="64" operator="lessThanOrEqual">
      <formula>G10</formula>
    </cfRule>
  </conditionalFormatting>
  <conditionalFormatting sqref="Q11">
    <cfRule type="cellIs" dxfId="4" priority="69" operator="lessThanOrEqual">
      <formula>G11</formula>
    </cfRule>
  </conditionalFormatting>
  <conditionalFormatting sqref="Q12">
    <cfRule type="cellIs" dxfId="4" priority="74" operator="lessThanOrEqual">
      <formula>G12</formula>
    </cfRule>
  </conditionalFormatting>
  <conditionalFormatting sqref="Q13">
    <cfRule type="cellIs" dxfId="4" priority="79" operator="lessThanOrEqual">
      <formula>G13</formula>
    </cfRule>
  </conditionalFormatting>
  <conditionalFormatting sqref="T10">
    <cfRule type="cellIs" dxfId="1" priority="81" operator="equal">
      <formula>0</formula>
    </cfRule>
    <cfRule type="cellIs" dxfId="2" priority="82" operator="lessThan">
      <formula>E10</formula>
    </cfRule>
  </conditionalFormatting>
  <conditionalFormatting sqref="U10">
    <cfRule type="cellIs" dxfId="1" priority="83" operator="greaterThan">
      <formula>T10</formula>
    </cfRule>
  </conditionalFormatting>
  <conditionalFormatting sqref="V10">
    <cfRule type="cellIs" dxfId="4" priority="85" operator="lessThanOrEqual">
      <formula>F10</formula>
    </cfRule>
  </conditionalFormatting>
  <conditionalFormatting sqref="W10">
    <cfRule type="cellIs" dxfId="4" priority="84" operator="lessThanOrEqual">
      <formula>G10</formula>
    </cfRule>
  </conditionalFormatting>
  <conditionalFormatting sqref="Z21">
    <cfRule type="cellIs" dxfId="1" priority="86" operator="equal">
      <formula>0</formula>
    </cfRule>
    <cfRule type="cellIs" dxfId="2" priority="87" operator="lessThan">
      <formula>E21</formula>
    </cfRule>
  </conditionalFormatting>
  <hyperlinks>
    <hyperlink ref="D10" r:id="rId1"/>
    <hyperlink ref="S10" r:id="rId2"/>
    <hyperlink ref="Y10" r:id="rId3"/>
    <hyperlink ref="AK10" r:id="rId4"/>
    <hyperlink ref="AQ10" r:id="rId5"/>
    <hyperlink ref="AW10" r:id="rId6"/>
    <hyperlink ref="BC10" r:id="rId7"/>
    <hyperlink ref="S11" r:id="rId8"/>
    <hyperlink ref="D12" r:id="rId9"/>
    <hyperlink ref="S12" r:id="rId10"/>
    <hyperlink ref="AK12" r:id="rId11"/>
    <hyperlink ref="AQ12" r:id="rId12"/>
    <hyperlink ref="D13" r:id="rId13"/>
    <hyperlink ref="S13" r:id="rId14"/>
    <hyperlink ref="AK13" r:id="rId15"/>
    <hyperlink ref="AQ13" r:id="rId16"/>
    <hyperlink ref="D20" r:id="rId17"/>
    <hyperlink ref="D21" r:id="rId18"/>
    <hyperlink ref="AE21" r:id="rId19"/>
    <hyperlink ref="AK21" r:id="rId20"/>
    <hyperlink ref="H23" r:id="rId21"/>
    <hyperlink ref="N23" r:id="rId22"/>
    <hyperlink ref="T23" r:id="rId23"/>
    <hyperlink ref="Z23" r:id="rId24"/>
    <hyperlink ref="AF23" r:id="rId25"/>
    <hyperlink ref="AL23" r:id="rId26"/>
    <hyperlink ref="AR23" r:id="rId27"/>
    <hyperlink ref="AX23" r:id="rId28"/>
  </hyperlinks>
  <pageMargins left="0.7" right="0.7" top="0.75" bottom="0.75" header="0.3" footer="0.3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pcb-adr1399-vref-kicost</vt:lpstr>
      <vt:lpstr>'pcb-adr1399-vref-kicost'!arrow_part_data</vt:lpstr>
      <vt:lpstr>'pcb-adr1399-vref-kicost'!BoardQty</vt:lpstr>
      <vt:lpstr>'pcb-adr1399-vref-kicost'!digikey_part_data</vt:lpstr>
      <vt:lpstr>'pcb-adr1399-vref-kicost'!EUR_GBP</vt:lpstr>
      <vt:lpstr>'pcb-adr1399-vref-kicost'!EUR_USD</vt:lpstr>
      <vt:lpstr>'pcb-adr1399-vref-kicost'!farnell_part_data</vt:lpstr>
      <vt:lpstr>'pcb-adr1399-vref-kicost'!global_part_data</vt:lpstr>
      <vt:lpstr>'pcb-adr1399-vref-kicost'!lcsc_part_data</vt:lpstr>
      <vt:lpstr>'pcb-adr1399-vref-kicost'!mouser_part_data</vt:lpstr>
      <vt:lpstr>'pcb-adr1399-vref-kicost'!newark_part_data</vt:lpstr>
      <vt:lpstr>'pcb-adr1399-vref-kicost'!PURCHASE_DESCRIPTION</vt:lpstr>
      <vt:lpstr>'pcb-adr1399-vref-kicost'!rs_part_data</vt:lpstr>
      <vt:lpstr>'pcb-adr1399-vref-kicost'!tme_part_data</vt:lpstr>
      <vt:lpstr>'pcb-adr1399-vref-kicost'!TotalCost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2022-02-03T21:59:42Z</dcterms:created>
  <dcterms:modified xsi:type="dcterms:W3CDTF">2022-02-03T21:59:42Z</dcterms:modified>
</cp:coreProperties>
</file>